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ak Pandapotan\AAN POE\SHL\"/>
    </mc:Choice>
  </mc:AlternateContent>
  <xr:revisionPtr revIDLastSave="0" documentId="13_ncr:1_{922EE00E-4DEB-49F0-AA12-A5A6C3D48C9E}" xr6:coauthVersionLast="46" xr6:coauthVersionMax="46" xr10:uidLastSave="{00000000-0000-0000-0000-000000000000}"/>
  <bookViews>
    <workbookView xWindow="-110" yWindow="-110" windowWidth="19420" windowHeight="10420" activeTab="4" xr2:uid="{6C1AAD06-FBEC-421F-9F08-00D8D21750F8}"/>
  </bookViews>
  <sheets>
    <sheet name="RAB" sheetId="1" r:id="rId1"/>
    <sheet name=" Pendanaan" sheetId="5" r:id="rId2"/>
    <sheet name="CF" sheetId="2" state="hidden" r:id="rId3"/>
    <sheet name="cf 2020 &amp; 2021" sheetId="3" state="hidden" r:id="rId4"/>
    <sheet name="rcn CF 21" sheetId="7" r:id="rId5"/>
    <sheet name="Sheet1" sheetId="4" state="hidden" r:id="rId6"/>
    <sheet name="pro &amp; kontra" sheetId="6" r:id="rId7"/>
    <sheet name="rcn Laba (Rugi)" sheetId="8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8" l="1"/>
  <c r="L10" i="8"/>
  <c r="K11" i="8"/>
  <c r="K10" i="8"/>
  <c r="J11" i="8"/>
  <c r="J10" i="8"/>
  <c r="J90" i="7"/>
  <c r="J49" i="7"/>
  <c r="F30" i="8" l="1"/>
  <c r="F31" i="8" s="1"/>
  <c r="F22" i="8"/>
  <c r="F23" i="8"/>
  <c r="G31" i="8"/>
  <c r="G32" i="8" s="1"/>
  <c r="G36" i="8" s="1"/>
  <c r="G13" i="8"/>
  <c r="G27" i="8" s="1"/>
  <c r="G26" i="8"/>
  <c r="E26" i="8"/>
  <c r="F26" i="8" l="1"/>
  <c r="F27" i="8" s="1"/>
  <c r="F32" i="8" s="1"/>
  <c r="I16" i="7" l="1"/>
  <c r="F52" i="5"/>
  <c r="I28" i="5"/>
  <c r="I31" i="5"/>
  <c r="J34" i="5"/>
  <c r="G21" i="5"/>
  <c r="I21" i="5"/>
  <c r="I22" i="5"/>
  <c r="H21" i="5"/>
  <c r="F19" i="7"/>
  <c r="M31" i="8"/>
  <c r="M30" i="8"/>
  <c r="M29" i="8"/>
  <c r="M23" i="8"/>
  <c r="M22" i="8"/>
  <c r="M21" i="8"/>
  <c r="M20" i="8"/>
  <c r="M19" i="8"/>
  <c r="M18" i="8"/>
  <c r="M17" i="8"/>
  <c r="M16" i="8"/>
  <c r="M15" i="8"/>
  <c r="M11" i="8"/>
  <c r="I11" i="8" s="1"/>
  <c r="AI11" i="8" s="1"/>
  <c r="M10" i="8"/>
  <c r="H30" i="8"/>
  <c r="H31" i="8" s="1"/>
  <c r="H23" i="8"/>
  <c r="H26" i="8" s="1"/>
  <c r="H13" i="8"/>
  <c r="X57" i="8"/>
  <c r="X58" i="8" s="1"/>
  <c r="W57" i="8"/>
  <c r="W58" i="8" s="1"/>
  <c r="V57" i="8"/>
  <c r="V58" i="8" s="1"/>
  <c r="T57" i="8"/>
  <c r="T58" i="8" s="1"/>
  <c r="R57" i="8"/>
  <c r="R55" i="8"/>
  <c r="AG36" i="8"/>
  <c r="AI35" i="8"/>
  <c r="AH35" i="8"/>
  <c r="AG35" i="8"/>
  <c r="AA35" i="8"/>
  <c r="AI34" i="8"/>
  <c r="AH34" i="8"/>
  <c r="AG34" i="8"/>
  <c r="AA34" i="8"/>
  <c r="AI33" i="8"/>
  <c r="AH33" i="8"/>
  <c r="AG33" i="8"/>
  <c r="AA33" i="8"/>
  <c r="AG31" i="8"/>
  <c r="T31" i="8"/>
  <c r="S31" i="8"/>
  <c r="R31" i="8"/>
  <c r="P31" i="8"/>
  <c r="O31" i="8"/>
  <c r="N31" i="8"/>
  <c r="L31" i="8"/>
  <c r="K31" i="8"/>
  <c r="J31" i="8"/>
  <c r="E31" i="8"/>
  <c r="D31" i="8"/>
  <c r="AG30" i="8"/>
  <c r="X30" i="8"/>
  <c r="X31" i="8" s="1"/>
  <c r="W30" i="8"/>
  <c r="W31" i="8" s="1"/>
  <c r="V30" i="8"/>
  <c r="U30" i="8"/>
  <c r="U31" i="8" s="1"/>
  <c r="Q30" i="8"/>
  <c r="Q31" i="8" s="1"/>
  <c r="AJ30" i="8"/>
  <c r="AH29" i="8"/>
  <c r="AO28" i="8" s="1"/>
  <c r="AG29" i="8"/>
  <c r="Y29" i="8"/>
  <c r="U29" i="8"/>
  <c r="Q29" i="8"/>
  <c r="AJ29" i="8"/>
  <c r="AA28" i="8"/>
  <c r="AH27" i="8"/>
  <c r="AH26" i="8"/>
  <c r="W26" i="8"/>
  <c r="V26" i="8"/>
  <c r="T26" i="8"/>
  <c r="S26" i="8"/>
  <c r="R26" i="8"/>
  <c r="O26" i="8"/>
  <c r="N26" i="8"/>
  <c r="L26" i="8"/>
  <c r="K26" i="8"/>
  <c r="J26" i="8"/>
  <c r="D26" i="8"/>
  <c r="D27" i="8" s="1"/>
  <c r="AH23" i="8"/>
  <c r="AG23" i="8"/>
  <c r="Y23" i="8"/>
  <c r="U23" i="8"/>
  <c r="Q23" i="8"/>
  <c r="AJ23" i="8"/>
  <c r="AH22" i="8"/>
  <c r="AG22" i="8"/>
  <c r="Y22" i="8"/>
  <c r="U22" i="8"/>
  <c r="Q22" i="8"/>
  <c r="AJ22" i="8"/>
  <c r="AH21" i="8"/>
  <c r="AG21" i="8"/>
  <c r="Y21" i="8"/>
  <c r="U21" i="8"/>
  <c r="Q21" i="8"/>
  <c r="I21" i="8" s="1"/>
  <c r="AA21" i="8" s="1"/>
  <c r="AJ21" i="8"/>
  <c r="AH20" i="8"/>
  <c r="AG20" i="8"/>
  <c r="Y20" i="8"/>
  <c r="U20" i="8"/>
  <c r="Q20" i="8"/>
  <c r="AJ20" i="8"/>
  <c r="AH19" i="8"/>
  <c r="AG19" i="8"/>
  <c r="Y19" i="8"/>
  <c r="U19" i="8"/>
  <c r="Q19" i="8"/>
  <c r="AH18" i="8"/>
  <c r="AG18" i="8"/>
  <c r="Y18" i="8"/>
  <c r="U18" i="8"/>
  <c r="Q18" i="8"/>
  <c r="AJ18" i="8"/>
  <c r="AH17" i="8"/>
  <c r="AG17" i="8"/>
  <c r="Y17" i="8"/>
  <c r="U17" i="8"/>
  <c r="Q17" i="8"/>
  <c r="AJ17" i="8"/>
  <c r="AH16" i="8"/>
  <c r="AG16" i="8"/>
  <c r="Y16" i="8"/>
  <c r="U16" i="8"/>
  <c r="Q16" i="8"/>
  <c r="AH15" i="8"/>
  <c r="AG15" i="8"/>
  <c r="AB15" i="8"/>
  <c r="AB16" i="8" s="1"/>
  <c r="X15" i="8"/>
  <c r="Y15" i="8" s="1"/>
  <c r="U15" i="8"/>
  <c r="P15" i="8"/>
  <c r="Q15" i="8" s="1"/>
  <c r="AJ15" i="8"/>
  <c r="AA14" i="8"/>
  <c r="M14" i="8"/>
  <c r="AH13" i="8"/>
  <c r="U13" i="8"/>
  <c r="Q13" i="8"/>
  <c r="E13" i="8"/>
  <c r="E27" i="8" s="1"/>
  <c r="E32" i="8" s="1"/>
  <c r="E36" i="8" s="1"/>
  <c r="E37" i="8" s="1"/>
  <c r="AJ12" i="8"/>
  <c r="AI12" i="8"/>
  <c r="AH12" i="8"/>
  <c r="AG12" i="8"/>
  <c r="Y12" i="8"/>
  <c r="Y13" i="8" s="1"/>
  <c r="AH11" i="8"/>
  <c r="AG11" i="8"/>
  <c r="X11" i="8"/>
  <c r="W11" i="8"/>
  <c r="V11" i="8"/>
  <c r="T11" i="8"/>
  <c r="S11" i="8"/>
  <c r="R11" i="8"/>
  <c r="P11" i="8"/>
  <c r="O11" i="8"/>
  <c r="N11" i="8"/>
  <c r="AH10" i="8"/>
  <c r="AG10" i="8"/>
  <c r="X10" i="8"/>
  <c r="X13" i="8" s="1"/>
  <c r="W10" i="8"/>
  <c r="W13" i="8" s="1"/>
  <c r="W27" i="8" s="1"/>
  <c r="V10" i="8"/>
  <c r="V13" i="8" s="1"/>
  <c r="V27" i="8" s="1"/>
  <c r="T10" i="8"/>
  <c r="S10" i="8"/>
  <c r="S13" i="8" s="1"/>
  <c r="S27" i="8" s="1"/>
  <c r="R10" i="8"/>
  <c r="R13" i="8" s="1"/>
  <c r="R27" i="8" s="1"/>
  <c r="P10" i="8"/>
  <c r="P13" i="8" s="1"/>
  <c r="O10" i="8"/>
  <c r="N10" i="8"/>
  <c r="N13" i="8" s="1"/>
  <c r="AJ11" i="8" l="1"/>
  <c r="N27" i="8"/>
  <c r="N32" i="8" s="1"/>
  <c r="N36" i="8" s="1"/>
  <c r="S32" i="8"/>
  <c r="S36" i="8" s="1"/>
  <c r="I16" i="8"/>
  <c r="I23" i="8"/>
  <c r="AI23" i="8" s="1"/>
  <c r="AL23" i="8" s="1"/>
  <c r="Y30" i="8"/>
  <c r="Y31" i="8" s="1"/>
  <c r="AK33" i="8"/>
  <c r="O13" i="8"/>
  <c r="T13" i="8"/>
  <c r="T27" i="8" s="1"/>
  <c r="T32" i="8" s="1"/>
  <c r="T36" i="8" s="1"/>
  <c r="AG13" i="8"/>
  <c r="AK13" i="8" s="1"/>
  <c r="I29" i="8"/>
  <c r="AI29" i="8" s="1"/>
  <c r="AL29" i="8" s="1"/>
  <c r="W32" i="8"/>
  <c r="W36" i="8" s="1"/>
  <c r="V31" i="8"/>
  <c r="V32" i="8" s="1"/>
  <c r="V36" i="8" s="1"/>
  <c r="H27" i="8"/>
  <c r="H32" i="8" s="1"/>
  <c r="H36" i="8" s="1"/>
  <c r="Q26" i="8"/>
  <c r="Q27" i="8" s="1"/>
  <c r="Q32" i="8" s="1"/>
  <c r="Q36" i="8" s="1"/>
  <c r="AK15" i="8"/>
  <c r="I18" i="8"/>
  <c r="AA18" i="8" s="1"/>
  <c r="AK20" i="8"/>
  <c r="U26" i="8"/>
  <c r="U27" i="8" s="1"/>
  <c r="U32" i="8" s="1"/>
  <c r="U36" i="8" s="1"/>
  <c r="I17" i="8"/>
  <c r="AI17" i="8" s="1"/>
  <c r="AL17" i="8" s="1"/>
  <c r="I19" i="8"/>
  <c r="AI19" i="8" s="1"/>
  <c r="AL19" i="8" s="1"/>
  <c r="I22" i="8"/>
  <c r="AA22" i="8" s="1"/>
  <c r="Y26" i="8"/>
  <c r="Y27" i="8" s="1"/>
  <c r="AK23" i="8"/>
  <c r="AK35" i="8"/>
  <c r="AK18" i="8"/>
  <c r="O27" i="8"/>
  <c r="O32" i="8" s="1"/>
  <c r="O36" i="8" s="1"/>
  <c r="AL11" i="8"/>
  <c r="AK17" i="8"/>
  <c r="AK22" i="8"/>
  <c r="R58" i="8"/>
  <c r="F13" i="8"/>
  <c r="AK11" i="8"/>
  <c r="AK12" i="8"/>
  <c r="AK16" i="8"/>
  <c r="AK19" i="8"/>
  <c r="AK21" i="8"/>
  <c r="R32" i="8"/>
  <c r="R36" i="8" s="1"/>
  <c r="AI16" i="8"/>
  <c r="AL16" i="8" s="1"/>
  <c r="AA16" i="8"/>
  <c r="AI18" i="8"/>
  <c r="AL18" i="8" s="1"/>
  <c r="D32" i="8"/>
  <c r="D36" i="8" s="1"/>
  <c r="AJ19" i="8"/>
  <c r="I20" i="8"/>
  <c r="AG26" i="8"/>
  <c r="AG27" i="8" s="1"/>
  <c r="AK29" i="8"/>
  <c r="AI21" i="8"/>
  <c r="AL21" i="8" s="1"/>
  <c r="P26" i="8"/>
  <c r="P27" i="8" s="1"/>
  <c r="P32" i="8" s="1"/>
  <c r="P36" i="8" s="1"/>
  <c r="X26" i="8"/>
  <c r="X27" i="8" s="1"/>
  <c r="X32" i="8" s="1"/>
  <c r="X36" i="8" s="1"/>
  <c r="M26" i="8"/>
  <c r="AJ26" i="8" s="1"/>
  <c r="AA29" i="8"/>
  <c r="AB29" i="8" s="1"/>
  <c r="AK10" i="8"/>
  <c r="AJ16" i="8"/>
  <c r="I15" i="8"/>
  <c r="AA23" i="8" l="1"/>
  <c r="AA19" i="8"/>
  <c r="AI22" i="8"/>
  <c r="AL22" i="8" s="1"/>
  <c r="I30" i="8"/>
  <c r="AA30" i="8" s="1"/>
  <c r="AB30" i="8" s="1"/>
  <c r="F36" i="8"/>
  <c r="Y32" i="8"/>
  <c r="Y36" i="8" s="1"/>
  <c r="Y37" i="8" s="1"/>
  <c r="AA17" i="8"/>
  <c r="AK26" i="8"/>
  <c r="AG32" i="8"/>
  <c r="AK27" i="8"/>
  <c r="AJ31" i="8"/>
  <c r="AA20" i="8"/>
  <c r="AI20" i="8"/>
  <c r="AL20" i="8" s="1"/>
  <c r="AI15" i="8"/>
  <c r="AL15" i="8" s="1"/>
  <c r="AA15" i="8"/>
  <c r="I26" i="8"/>
  <c r="U37" i="8"/>
  <c r="AI30" i="8" l="1"/>
  <c r="I31" i="8"/>
  <c r="AA31" i="8" s="1"/>
  <c r="AA26" i="8"/>
  <c r="AI26" i="8"/>
  <c r="AL26" i="8" s="1"/>
  <c r="AI31" i="8" l="1"/>
  <c r="W31" i="7" l="1"/>
  <c r="V31" i="7"/>
  <c r="U31" i="7"/>
  <c r="V30" i="7"/>
  <c r="U30" i="7"/>
  <c r="S32" i="7"/>
  <c r="R32" i="7"/>
  <c r="S31" i="7"/>
  <c r="R31" i="7"/>
  <c r="O32" i="7"/>
  <c r="N32" i="7"/>
  <c r="M32" i="7"/>
  <c r="O31" i="7"/>
  <c r="N31" i="7"/>
  <c r="M31" i="7"/>
  <c r="O30" i="7"/>
  <c r="P30" i="7" s="1"/>
  <c r="N30" i="7"/>
  <c r="M30" i="7"/>
  <c r="L31" i="7"/>
  <c r="K16" i="7"/>
  <c r="I51" i="7"/>
  <c r="Q16" i="7"/>
  <c r="K30" i="7"/>
  <c r="K32" i="7"/>
  <c r="K14" i="7"/>
  <c r="J14" i="7"/>
  <c r="K13" i="7"/>
  <c r="J13" i="7"/>
  <c r="I14" i="7"/>
  <c r="I13" i="7"/>
  <c r="T252" i="2"/>
  <c r="T245" i="2"/>
  <c r="T250" i="2"/>
  <c r="T243" i="2"/>
  <c r="T242" i="2" s="1"/>
  <c r="U247" i="2" s="1"/>
  <c r="T251" i="2"/>
  <c r="P32" i="7" l="1"/>
  <c r="X31" i="7"/>
  <c r="P31" i="7"/>
  <c r="U253" i="2"/>
  <c r="I32" i="7" l="1"/>
  <c r="I76" i="7"/>
  <c r="AA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AE85" i="7"/>
  <c r="AD85" i="7"/>
  <c r="AG85" i="7" s="1"/>
  <c r="G85" i="7"/>
  <c r="AA84" i="7"/>
  <c r="AE83" i="7"/>
  <c r="AD83" i="7"/>
  <c r="AA83" i="7"/>
  <c r="L83" i="7"/>
  <c r="H83" i="7"/>
  <c r="AF83" i="7" s="1"/>
  <c r="AH83" i="7" s="1"/>
  <c r="G83" i="7"/>
  <c r="D83" i="7"/>
  <c r="C83" i="7"/>
  <c r="AA82" i="7"/>
  <c r="AE81" i="7"/>
  <c r="AG81" i="7" s="1"/>
  <c r="AD81" i="7"/>
  <c r="G81" i="7"/>
  <c r="AA80" i="7"/>
  <c r="Y80" i="7"/>
  <c r="AE79" i="7"/>
  <c r="AD79" i="7"/>
  <c r="G79" i="7"/>
  <c r="G78" i="7"/>
  <c r="F78" i="7"/>
  <c r="E78" i="7"/>
  <c r="D78" i="7"/>
  <c r="C78" i="7"/>
  <c r="AE77" i="7"/>
  <c r="AD77" i="7"/>
  <c r="AE76" i="7"/>
  <c r="AD76" i="7"/>
  <c r="K76" i="7"/>
  <c r="G76" i="7"/>
  <c r="F76" i="7"/>
  <c r="E76" i="7"/>
  <c r="D76" i="7"/>
  <c r="C76" i="7"/>
  <c r="T75" i="7"/>
  <c r="L75" i="7"/>
  <c r="AE74" i="7"/>
  <c r="AD74" i="7"/>
  <c r="G74" i="7"/>
  <c r="F74" i="7"/>
  <c r="E74" i="7"/>
  <c r="D74" i="7"/>
  <c r="C74" i="7"/>
  <c r="AA73" i="7"/>
  <c r="Y73" i="7"/>
  <c r="Y72" i="7"/>
  <c r="H72" i="7"/>
  <c r="AA72" i="7" s="1"/>
  <c r="AE71" i="7"/>
  <c r="AG71" i="7" s="1"/>
  <c r="AD71" i="7"/>
  <c r="G71" i="7"/>
  <c r="AE70" i="7"/>
  <c r="AD70" i="7"/>
  <c r="G70" i="7"/>
  <c r="F70" i="7"/>
  <c r="E70" i="7"/>
  <c r="D70" i="7"/>
  <c r="C70" i="7"/>
  <c r="AE69" i="7"/>
  <c r="AH69" i="7" s="1"/>
  <c r="AD69" i="7"/>
  <c r="G69" i="7"/>
  <c r="F69" i="7"/>
  <c r="E69" i="7"/>
  <c r="AE68" i="7"/>
  <c r="AD68" i="7"/>
  <c r="AG68" i="7" s="1"/>
  <c r="W68" i="7"/>
  <c r="G68" i="7"/>
  <c r="F68" i="7"/>
  <c r="E68" i="7"/>
  <c r="D68" i="7"/>
  <c r="D71" i="7" s="1"/>
  <c r="C68" i="7"/>
  <c r="AA67" i="7"/>
  <c r="Y67" i="7"/>
  <c r="AE65" i="7"/>
  <c r="AD65" i="7"/>
  <c r="G65" i="7"/>
  <c r="AE64" i="7"/>
  <c r="AD64" i="7"/>
  <c r="G64" i="7"/>
  <c r="F64" i="7"/>
  <c r="E64" i="7"/>
  <c r="D64" i="7"/>
  <c r="C64" i="7"/>
  <c r="AE63" i="7"/>
  <c r="AD63" i="7"/>
  <c r="AG63" i="7" s="1"/>
  <c r="G63" i="7"/>
  <c r="F63" i="7"/>
  <c r="E63" i="7"/>
  <c r="D63" i="7"/>
  <c r="C63" i="7"/>
  <c r="AE62" i="7"/>
  <c r="AD62" i="7"/>
  <c r="G62" i="7"/>
  <c r="F62" i="7"/>
  <c r="E62" i="7"/>
  <c r="D62" i="7"/>
  <c r="AE61" i="7"/>
  <c r="AD61" i="7"/>
  <c r="Q61" i="7"/>
  <c r="K61" i="7"/>
  <c r="G61" i="7"/>
  <c r="F61" i="7"/>
  <c r="E61" i="7"/>
  <c r="D61" i="7"/>
  <c r="C61" i="7"/>
  <c r="AE60" i="7"/>
  <c r="AD60" i="7"/>
  <c r="G60" i="7"/>
  <c r="F60" i="7"/>
  <c r="E60" i="7"/>
  <c r="D60" i="7"/>
  <c r="C60" i="7"/>
  <c r="AE59" i="7"/>
  <c r="AD59" i="7"/>
  <c r="W59" i="7"/>
  <c r="V59" i="7"/>
  <c r="U59" i="7"/>
  <c r="S59" i="7"/>
  <c r="R59" i="7"/>
  <c r="Q59" i="7"/>
  <c r="O59" i="7"/>
  <c r="N59" i="7"/>
  <c r="P59" i="7" s="1"/>
  <c r="M59" i="7"/>
  <c r="K59" i="7"/>
  <c r="J59" i="7"/>
  <c r="I59" i="7"/>
  <c r="G59" i="7"/>
  <c r="F59" i="7"/>
  <c r="E59" i="7"/>
  <c r="D59" i="7"/>
  <c r="C59" i="7"/>
  <c r="AE58" i="7"/>
  <c r="AD58" i="7"/>
  <c r="W58" i="7"/>
  <c r="X58" i="7" s="1"/>
  <c r="V58" i="7"/>
  <c r="U58" i="7"/>
  <c r="S58" i="7"/>
  <c r="R58" i="7"/>
  <c r="Q58" i="7"/>
  <c r="O58" i="7"/>
  <c r="N58" i="7"/>
  <c r="M58" i="7"/>
  <c r="K58" i="7"/>
  <c r="J58" i="7"/>
  <c r="I58" i="7"/>
  <c r="C58" i="7"/>
  <c r="AE57" i="7"/>
  <c r="AD57" i="7"/>
  <c r="G57" i="7"/>
  <c r="F57" i="7"/>
  <c r="E57" i="7"/>
  <c r="D57" i="7"/>
  <c r="C57" i="7"/>
  <c r="AA42" i="7"/>
  <c r="Y42" i="7"/>
  <c r="AA40" i="7"/>
  <c r="D39" i="7"/>
  <c r="C39" i="7"/>
  <c r="AA38" i="7"/>
  <c r="AA36" i="7"/>
  <c r="Y36" i="7"/>
  <c r="F35" i="7"/>
  <c r="E35" i="7"/>
  <c r="G34" i="7"/>
  <c r="C34" i="7"/>
  <c r="W33" i="7"/>
  <c r="V33" i="7"/>
  <c r="V77" i="7" s="1"/>
  <c r="U33" i="7"/>
  <c r="U77" i="7" s="1"/>
  <c r="S33" i="7"/>
  <c r="R33" i="7"/>
  <c r="R77" i="7" s="1"/>
  <c r="Q33" i="7"/>
  <c r="Q77" i="7" s="1"/>
  <c r="O33" i="7"/>
  <c r="N33" i="7"/>
  <c r="N77" i="7" s="1"/>
  <c r="M33" i="7"/>
  <c r="M77" i="7" s="1"/>
  <c r="K33" i="7"/>
  <c r="J33" i="7"/>
  <c r="J77" i="7" s="1"/>
  <c r="I33" i="7"/>
  <c r="I77" i="7" s="1"/>
  <c r="G33" i="7"/>
  <c r="W32" i="7"/>
  <c r="W76" i="7" s="1"/>
  <c r="V32" i="7"/>
  <c r="V76" i="7" s="1"/>
  <c r="U32" i="7"/>
  <c r="U76" i="7" s="1"/>
  <c r="S76" i="7"/>
  <c r="R76" i="7"/>
  <c r="Q32" i="7"/>
  <c r="O76" i="7"/>
  <c r="N76" i="7"/>
  <c r="M76" i="7"/>
  <c r="J32" i="7"/>
  <c r="J76" i="7" s="1"/>
  <c r="G32" i="7"/>
  <c r="D32" i="7"/>
  <c r="C32" i="7"/>
  <c r="S30" i="7"/>
  <c r="R30" i="7"/>
  <c r="G30" i="7"/>
  <c r="W29" i="7"/>
  <c r="V29" i="7"/>
  <c r="U29" i="7"/>
  <c r="S29" i="7"/>
  <c r="R29" i="7"/>
  <c r="Q29" i="7"/>
  <c r="O29" i="7"/>
  <c r="N29" i="7"/>
  <c r="N74" i="7" s="1"/>
  <c r="M29" i="7"/>
  <c r="J29" i="7"/>
  <c r="J74" i="7" s="1"/>
  <c r="I29" i="7"/>
  <c r="G29" i="7"/>
  <c r="D29" i="7"/>
  <c r="C29" i="7"/>
  <c r="AA28" i="7"/>
  <c r="Y28" i="7"/>
  <c r="Y27" i="7"/>
  <c r="H27" i="7"/>
  <c r="AA27" i="7" s="1"/>
  <c r="F26" i="7"/>
  <c r="W25" i="7"/>
  <c r="W70" i="7" s="1"/>
  <c r="V25" i="7"/>
  <c r="V70" i="7" s="1"/>
  <c r="U25" i="7"/>
  <c r="U70" i="7" s="1"/>
  <c r="S25" i="7"/>
  <c r="S70" i="7" s="1"/>
  <c r="R25" i="7"/>
  <c r="R70" i="7" s="1"/>
  <c r="Q25" i="7"/>
  <c r="Q70" i="7" s="1"/>
  <c r="O25" i="7"/>
  <c r="O70" i="7" s="1"/>
  <c r="N25" i="7"/>
  <c r="N70" i="7" s="1"/>
  <c r="M25" i="7"/>
  <c r="M70" i="7" s="1"/>
  <c r="K25" i="7"/>
  <c r="K70" i="7" s="1"/>
  <c r="J25" i="7"/>
  <c r="J70" i="7" s="1"/>
  <c r="I25" i="7"/>
  <c r="I70" i="7" s="1"/>
  <c r="E25" i="7"/>
  <c r="G25" i="7" s="1"/>
  <c r="D25" i="7"/>
  <c r="D26" i="7" s="1"/>
  <c r="C25" i="7"/>
  <c r="AD24" i="7"/>
  <c r="W24" i="7"/>
  <c r="W69" i="7" s="1"/>
  <c r="V24" i="7"/>
  <c r="V69" i="7" s="1"/>
  <c r="U24" i="7"/>
  <c r="U69" i="7" s="1"/>
  <c r="S24" i="7"/>
  <c r="S69" i="7" s="1"/>
  <c r="R24" i="7"/>
  <c r="R69" i="7" s="1"/>
  <c r="Q24" i="7"/>
  <c r="Q69" i="7" s="1"/>
  <c r="O24" i="7"/>
  <c r="O69" i="7" s="1"/>
  <c r="N24" i="7"/>
  <c r="N69" i="7" s="1"/>
  <c r="M24" i="7"/>
  <c r="M69" i="7" s="1"/>
  <c r="K24" i="7"/>
  <c r="K69" i="7" s="1"/>
  <c r="J24" i="7"/>
  <c r="J69" i="7" s="1"/>
  <c r="I24" i="7"/>
  <c r="I69" i="7" s="1"/>
  <c r="E24" i="7"/>
  <c r="G24" i="7" s="1"/>
  <c r="V23" i="7"/>
  <c r="V68" i="7" s="1"/>
  <c r="U23" i="7"/>
  <c r="U68" i="7" s="1"/>
  <c r="S23" i="7"/>
  <c r="S68" i="7" s="1"/>
  <c r="R23" i="7"/>
  <c r="R68" i="7" s="1"/>
  <c r="Q23" i="7"/>
  <c r="Q68" i="7" s="1"/>
  <c r="O23" i="7"/>
  <c r="O68" i="7" s="1"/>
  <c r="N23" i="7"/>
  <c r="N68" i="7" s="1"/>
  <c r="M23" i="7"/>
  <c r="M68" i="7" s="1"/>
  <c r="K23" i="7"/>
  <c r="K68" i="7" s="1"/>
  <c r="J23" i="7"/>
  <c r="J68" i="7" s="1"/>
  <c r="I23" i="7"/>
  <c r="I68" i="7" s="1"/>
  <c r="E23" i="7"/>
  <c r="C23" i="7"/>
  <c r="AA22" i="7"/>
  <c r="Y22" i="7"/>
  <c r="Y21" i="7"/>
  <c r="H21" i="7"/>
  <c r="AA21" i="7" s="1"/>
  <c r="F20" i="7"/>
  <c r="G19" i="7"/>
  <c r="C19" i="7"/>
  <c r="G18" i="7"/>
  <c r="C18" i="7"/>
  <c r="AD17" i="7"/>
  <c r="W17" i="7"/>
  <c r="W62" i="7" s="1"/>
  <c r="V17" i="7"/>
  <c r="V62" i="7" s="1"/>
  <c r="U17" i="7"/>
  <c r="U62" i="7" s="1"/>
  <c r="S17" i="7"/>
  <c r="S62" i="7" s="1"/>
  <c r="R17" i="7"/>
  <c r="R62" i="7" s="1"/>
  <c r="Q17" i="7"/>
  <c r="Q62" i="7" s="1"/>
  <c r="O17" i="7"/>
  <c r="O62" i="7" s="1"/>
  <c r="N17" i="7"/>
  <c r="N62" i="7" s="1"/>
  <c r="M17" i="7"/>
  <c r="M62" i="7" s="1"/>
  <c r="G17" i="7"/>
  <c r="W16" i="7"/>
  <c r="W61" i="7" s="1"/>
  <c r="V16" i="7"/>
  <c r="V61" i="7" s="1"/>
  <c r="U16" i="7"/>
  <c r="U61" i="7" s="1"/>
  <c r="S16" i="7"/>
  <c r="S61" i="7" s="1"/>
  <c r="R16" i="7"/>
  <c r="R61" i="7" s="1"/>
  <c r="O16" i="7"/>
  <c r="O61" i="7" s="1"/>
  <c r="N16" i="7"/>
  <c r="N61" i="7" s="1"/>
  <c r="M16" i="7"/>
  <c r="M61" i="7" s="1"/>
  <c r="I61" i="7"/>
  <c r="G16" i="7"/>
  <c r="D16" i="7"/>
  <c r="C16" i="7"/>
  <c r="W15" i="7"/>
  <c r="W60" i="7" s="1"/>
  <c r="V15" i="7"/>
  <c r="V60" i="7" s="1"/>
  <c r="U15" i="7"/>
  <c r="U60" i="7" s="1"/>
  <c r="S15" i="7"/>
  <c r="S60" i="7" s="1"/>
  <c r="R15" i="7"/>
  <c r="R60" i="7" s="1"/>
  <c r="Q15" i="7"/>
  <c r="Q60" i="7" s="1"/>
  <c r="O15" i="7"/>
  <c r="O60" i="7" s="1"/>
  <c r="N15" i="7"/>
  <c r="N60" i="7" s="1"/>
  <c r="M15" i="7"/>
  <c r="M60" i="7" s="1"/>
  <c r="G15" i="7"/>
  <c r="C15" i="7"/>
  <c r="H14" i="7"/>
  <c r="G14" i="7"/>
  <c r="X13" i="7"/>
  <c r="T13" i="7"/>
  <c r="P13" i="7"/>
  <c r="L13" i="7"/>
  <c r="G13" i="7"/>
  <c r="D13" i="7"/>
  <c r="C13" i="7"/>
  <c r="AE12" i="7"/>
  <c r="X12" i="7"/>
  <c r="T12" i="7"/>
  <c r="P12" i="7"/>
  <c r="L12" i="7"/>
  <c r="C12" i="7"/>
  <c r="W11" i="7"/>
  <c r="V11" i="7"/>
  <c r="U11" i="7"/>
  <c r="S11" i="7"/>
  <c r="R11" i="7"/>
  <c r="Q11" i="7"/>
  <c r="O11" i="7"/>
  <c r="N11" i="7"/>
  <c r="M11" i="7"/>
  <c r="M18" i="7" s="1"/>
  <c r="E11" i="7"/>
  <c r="E20" i="7" s="1"/>
  <c r="C11" i="7"/>
  <c r="E71" i="7" l="1"/>
  <c r="AG57" i="7"/>
  <c r="Q76" i="7"/>
  <c r="T32" i="7"/>
  <c r="AG60" i="7"/>
  <c r="AG65" i="7"/>
  <c r="AG77" i="7"/>
  <c r="AG79" i="7"/>
  <c r="C65" i="7"/>
  <c r="C26" i="7"/>
  <c r="H75" i="7"/>
  <c r="T76" i="7"/>
  <c r="T29" i="7"/>
  <c r="N57" i="7"/>
  <c r="N18" i="7"/>
  <c r="N63" i="7" s="1"/>
  <c r="S57" i="7"/>
  <c r="S18" i="7"/>
  <c r="S63" i="7" s="1"/>
  <c r="Y13" i="7"/>
  <c r="J71" i="7"/>
  <c r="U71" i="7"/>
  <c r="X29" i="7"/>
  <c r="C79" i="7"/>
  <c r="AG76" i="7"/>
  <c r="Q57" i="7"/>
  <c r="Q18" i="7"/>
  <c r="Q63" i="7" s="1"/>
  <c r="V57" i="7"/>
  <c r="V18" i="7"/>
  <c r="V63" i="7" s="1"/>
  <c r="M57" i="7"/>
  <c r="M63" i="7"/>
  <c r="R57" i="7"/>
  <c r="R18" i="7"/>
  <c r="R63" i="7" s="1"/>
  <c r="T63" i="7" s="1"/>
  <c r="W57" i="7"/>
  <c r="X57" i="7" s="1"/>
  <c r="W18" i="7"/>
  <c r="W63" i="7" s="1"/>
  <c r="O57" i="7"/>
  <c r="O18" i="7"/>
  <c r="O63" i="7" s="1"/>
  <c r="U57" i="7"/>
  <c r="U18" i="7"/>
  <c r="U63" i="7" s="1"/>
  <c r="X63" i="7" s="1"/>
  <c r="D79" i="7"/>
  <c r="AG74" i="7"/>
  <c r="T62" i="7"/>
  <c r="AG83" i="7"/>
  <c r="C20" i="7"/>
  <c r="Y12" i="7"/>
  <c r="P62" i="7"/>
  <c r="X62" i="7"/>
  <c r="Q71" i="7"/>
  <c r="P29" i="7"/>
  <c r="T58" i="7"/>
  <c r="AG61" i="7"/>
  <c r="AG64" i="7"/>
  <c r="D20" i="7"/>
  <c r="T60" i="7"/>
  <c r="P16" i="7"/>
  <c r="P17" i="7"/>
  <c r="T17" i="7"/>
  <c r="X17" i="7"/>
  <c r="E26" i="7"/>
  <c r="G26" i="7" s="1"/>
  <c r="M71" i="7"/>
  <c r="R71" i="7"/>
  <c r="C35" i="7"/>
  <c r="E65" i="7"/>
  <c r="P58" i="7"/>
  <c r="X59" i="7"/>
  <c r="Y59" i="7" s="1"/>
  <c r="F71" i="7"/>
  <c r="AG70" i="7"/>
  <c r="E79" i="7"/>
  <c r="X60" i="7"/>
  <c r="V71" i="7"/>
  <c r="P76" i="7"/>
  <c r="D65" i="7"/>
  <c r="L59" i="7"/>
  <c r="G11" i="7"/>
  <c r="P60" i="7"/>
  <c r="I71" i="7"/>
  <c r="N71" i="7"/>
  <c r="L70" i="7"/>
  <c r="D35" i="7"/>
  <c r="D37" i="7" s="1"/>
  <c r="D41" i="7" s="1"/>
  <c r="X76" i="7"/>
  <c r="F65" i="7"/>
  <c r="L58" i="7"/>
  <c r="T59" i="7"/>
  <c r="C71" i="7"/>
  <c r="F79" i="7"/>
  <c r="G20" i="7"/>
  <c r="T11" i="7"/>
  <c r="P15" i="7"/>
  <c r="T15" i="7"/>
  <c r="X15" i="7"/>
  <c r="H12" i="7"/>
  <c r="T61" i="7"/>
  <c r="X61" i="7"/>
  <c r="P18" i="7"/>
  <c r="N19" i="7"/>
  <c r="N64" i="7" s="1"/>
  <c r="N65" i="7" s="1"/>
  <c r="R19" i="7"/>
  <c r="R64" i="7" s="1"/>
  <c r="V19" i="7"/>
  <c r="V64" i="7" s="1"/>
  <c r="G23" i="7"/>
  <c r="K71" i="7"/>
  <c r="L68" i="7"/>
  <c r="O71" i="7"/>
  <c r="P68" i="7"/>
  <c r="S71" i="7"/>
  <c r="T68" i="7"/>
  <c r="X23" i="7"/>
  <c r="L25" i="7"/>
  <c r="P25" i="7"/>
  <c r="T25" i="7"/>
  <c r="X25" i="7"/>
  <c r="K26" i="7"/>
  <c r="O26" i="7"/>
  <c r="S26" i="7"/>
  <c r="W26" i="7"/>
  <c r="L29" i="7"/>
  <c r="W77" i="7"/>
  <c r="X77" i="7" s="1"/>
  <c r="X33" i="7"/>
  <c r="P11" i="7"/>
  <c r="X11" i="7"/>
  <c r="H13" i="7"/>
  <c r="P61" i="7"/>
  <c r="T16" i="7"/>
  <c r="X16" i="7"/>
  <c r="O19" i="7"/>
  <c r="S19" i="7"/>
  <c r="W19" i="7"/>
  <c r="W20" i="7" s="1"/>
  <c r="L23" i="7"/>
  <c r="P23" i="7"/>
  <c r="T23" i="7"/>
  <c r="L69" i="7"/>
  <c r="P69" i="7"/>
  <c r="T69" i="7"/>
  <c r="AF70" i="7"/>
  <c r="AH70" i="7" s="1"/>
  <c r="X69" i="7"/>
  <c r="AF25" i="7"/>
  <c r="M74" i="7"/>
  <c r="Q74" i="7"/>
  <c r="U74" i="7"/>
  <c r="S77" i="7"/>
  <c r="T77" i="7" s="1"/>
  <c r="T33" i="7"/>
  <c r="S20" i="7"/>
  <c r="L24" i="7"/>
  <c r="P24" i="7"/>
  <c r="T24" i="7"/>
  <c r="X24" i="7"/>
  <c r="I26" i="7"/>
  <c r="M26" i="7"/>
  <c r="Q26" i="7"/>
  <c r="U26" i="7"/>
  <c r="C37" i="7"/>
  <c r="C41" i="7" s="1"/>
  <c r="I74" i="7"/>
  <c r="R74" i="7"/>
  <c r="V74" i="7"/>
  <c r="L32" i="7"/>
  <c r="X32" i="7"/>
  <c r="O77" i="7"/>
  <c r="P77" i="7" s="1"/>
  <c r="P33" i="7"/>
  <c r="G35" i="7"/>
  <c r="F37" i="7"/>
  <c r="P57" i="7"/>
  <c r="M19" i="7"/>
  <c r="M64" i="7" s="1"/>
  <c r="M65" i="7" s="1"/>
  <c r="Q19" i="7"/>
  <c r="Q64" i="7" s="1"/>
  <c r="U19" i="7"/>
  <c r="U64" i="7" s="1"/>
  <c r="U65" i="7" s="1"/>
  <c r="P70" i="7"/>
  <c r="T70" i="7"/>
  <c r="X70" i="7"/>
  <c r="J26" i="7"/>
  <c r="N26" i="7"/>
  <c r="R26" i="7"/>
  <c r="V26" i="7"/>
  <c r="O74" i="7"/>
  <c r="S74" i="7"/>
  <c r="W74" i="7"/>
  <c r="L30" i="7"/>
  <c r="Q31" i="7" s="1"/>
  <c r="T31" i="7" s="1"/>
  <c r="H31" i="7" s="1"/>
  <c r="K77" i="7"/>
  <c r="L77" i="7" s="1"/>
  <c r="L33" i="7"/>
  <c r="E39" i="7"/>
  <c r="W71" i="7"/>
  <c r="X68" i="7"/>
  <c r="L76" i="7"/>
  <c r="Y83" i="7"/>
  <c r="T57" i="7" l="1"/>
  <c r="Q65" i="7"/>
  <c r="R65" i="7"/>
  <c r="V65" i="7"/>
  <c r="E37" i="7"/>
  <c r="D81" i="7"/>
  <c r="D85" i="7" s="1"/>
  <c r="E83" i="7" s="1"/>
  <c r="E41" i="7"/>
  <c r="F39" i="7" s="1"/>
  <c r="F81" i="7"/>
  <c r="E81" i="7"/>
  <c r="P63" i="7"/>
  <c r="H58" i="7"/>
  <c r="C81" i="7"/>
  <c r="C85" i="7" s="1"/>
  <c r="H76" i="7"/>
  <c r="AA76" i="7" s="1"/>
  <c r="R20" i="7"/>
  <c r="X18" i="7"/>
  <c r="V20" i="7"/>
  <c r="L74" i="7"/>
  <c r="N20" i="7"/>
  <c r="O20" i="7"/>
  <c r="T18" i="7"/>
  <c r="Y58" i="7"/>
  <c r="H59" i="7"/>
  <c r="AF59" i="7" s="1"/>
  <c r="G37" i="7"/>
  <c r="H33" i="7"/>
  <c r="AF33" i="7" s="1"/>
  <c r="Y70" i="7"/>
  <c r="H24" i="7"/>
  <c r="AA24" i="7" s="1"/>
  <c r="H77" i="7"/>
  <c r="AA77" i="7" s="1"/>
  <c r="Y24" i="7"/>
  <c r="Y32" i="7"/>
  <c r="F41" i="7"/>
  <c r="X71" i="7"/>
  <c r="Y68" i="7"/>
  <c r="L26" i="7"/>
  <c r="H23" i="7"/>
  <c r="AF13" i="7"/>
  <c r="AA13" i="7"/>
  <c r="Y77" i="7"/>
  <c r="M20" i="7"/>
  <c r="T74" i="7"/>
  <c r="H32" i="7"/>
  <c r="Y76" i="7"/>
  <c r="Y69" i="7"/>
  <c r="H69" i="7"/>
  <c r="AA69" i="7" s="1"/>
  <c r="W64" i="7"/>
  <c r="X19" i="7"/>
  <c r="H29" i="7"/>
  <c r="H25" i="7"/>
  <c r="AA25" i="7" s="1"/>
  <c r="P71" i="7"/>
  <c r="AA12" i="7"/>
  <c r="AF12" i="7"/>
  <c r="H70" i="7"/>
  <c r="AA70" i="7" s="1"/>
  <c r="T26" i="7"/>
  <c r="S64" i="7"/>
  <c r="T19" i="7"/>
  <c r="AA59" i="7"/>
  <c r="Y25" i="7"/>
  <c r="X26" i="7"/>
  <c r="Y23" i="7"/>
  <c r="U20" i="7"/>
  <c r="X74" i="7"/>
  <c r="P74" i="7"/>
  <c r="AA58" i="7"/>
  <c r="AF58" i="7"/>
  <c r="P26" i="7"/>
  <c r="O64" i="7"/>
  <c r="P19" i="7"/>
  <c r="P20" i="7" s="1"/>
  <c r="Y33" i="7"/>
  <c r="T71" i="7"/>
  <c r="L71" i="7"/>
  <c r="H68" i="7"/>
  <c r="Q20" i="7"/>
  <c r="Y29" i="7"/>
  <c r="AA33" i="7" l="1"/>
  <c r="AF77" i="7"/>
  <c r="AH77" i="7" s="1"/>
  <c r="X20" i="7"/>
  <c r="E85" i="7"/>
  <c r="F83" i="7" s="1"/>
  <c r="F85" i="7" s="1"/>
  <c r="AF76" i="7"/>
  <c r="AH76" i="7" s="1"/>
  <c r="T20" i="7"/>
  <c r="T30" i="7"/>
  <c r="Y74" i="7"/>
  <c r="T64" i="7"/>
  <c r="T65" i="7" s="1"/>
  <c r="S65" i="7"/>
  <c r="AA29" i="7"/>
  <c r="AF29" i="7"/>
  <c r="X64" i="7"/>
  <c r="W65" i="7"/>
  <c r="P64" i="7"/>
  <c r="P65" i="7" s="1"/>
  <c r="O65" i="7"/>
  <c r="AF68" i="7"/>
  <c r="AH68" i="7" s="1"/>
  <c r="AA68" i="7"/>
  <c r="AA23" i="7"/>
  <c r="AF23" i="7"/>
  <c r="Y26" i="7"/>
  <c r="AF32" i="7"/>
  <c r="AA32" i="7"/>
  <c r="H26" i="7"/>
  <c r="H74" i="7"/>
  <c r="H71" i="7"/>
  <c r="Y71" i="7"/>
  <c r="AA26" i="7" l="1"/>
  <c r="AF26" i="7"/>
  <c r="AA71" i="7"/>
  <c r="AF71" i="7"/>
  <c r="AH71" i="7" s="1"/>
  <c r="AA74" i="7"/>
  <c r="AF74" i="7"/>
  <c r="AH74" i="7" s="1"/>
  <c r="X65" i="7"/>
  <c r="P18" i="4" l="1"/>
  <c r="O18" i="4"/>
  <c r="N18" i="4"/>
  <c r="L11" i="4"/>
  <c r="K11" i="7" s="1"/>
  <c r="K11" i="4"/>
  <c r="J11" i="7" s="1"/>
  <c r="J11" i="4"/>
  <c r="I11" i="7" s="1"/>
  <c r="B266" i="2"/>
  <c r="M230" i="2"/>
  <c r="O230" i="2" s="1"/>
  <c r="O231" i="2" s="1"/>
  <c r="K18" i="7" l="1"/>
  <c r="K57" i="7"/>
  <c r="L11" i="7"/>
  <c r="I18" i="7"/>
  <c r="I63" i="7" s="1"/>
  <c r="I57" i="7"/>
  <c r="J18" i="7"/>
  <c r="J63" i="7" s="1"/>
  <c r="J57" i="7"/>
  <c r="M240" i="2"/>
  <c r="M231" i="2"/>
  <c r="Y11" i="7" l="1"/>
  <c r="H11" i="7"/>
  <c r="L57" i="7"/>
  <c r="K63" i="7"/>
  <c r="L63" i="7" s="1"/>
  <c r="L18" i="7"/>
  <c r="O240" i="2"/>
  <c r="M241" i="2"/>
  <c r="Y18" i="7" l="1"/>
  <c r="H18" i="7"/>
  <c r="AA11" i="7"/>
  <c r="AF11" i="7"/>
  <c r="H63" i="7"/>
  <c r="Y63" i="7"/>
  <c r="H57" i="7"/>
  <c r="Y57" i="7"/>
  <c r="D16" i="4"/>
  <c r="M30" i="4"/>
  <c r="Q30" i="4"/>
  <c r="O228" i="2"/>
  <c r="L30" i="4"/>
  <c r="C38" i="5"/>
  <c r="AF63" i="7" l="1"/>
  <c r="AH63" i="7" s="1"/>
  <c r="AA63" i="7"/>
  <c r="AF57" i="7"/>
  <c r="AA57" i="7"/>
  <c r="AF18" i="7"/>
  <c r="AA18" i="7"/>
  <c r="F58" i="1"/>
  <c r="E54" i="5"/>
  <c r="E53" i="5"/>
  <c r="E52" i="5"/>
  <c r="E51" i="5"/>
  <c r="C54" i="5"/>
  <c r="C53" i="5"/>
  <c r="C52" i="5"/>
  <c r="C51" i="5"/>
  <c r="C45" i="5"/>
  <c r="C44" i="5"/>
  <c r="C41" i="5"/>
  <c r="J51" i="1"/>
  <c r="E49" i="5" s="1"/>
  <c r="J64" i="1"/>
  <c r="J63" i="1"/>
  <c r="J62" i="1"/>
  <c r="J61" i="1"/>
  <c r="F71" i="1"/>
  <c r="F70" i="1"/>
  <c r="F69" i="1"/>
  <c r="F68" i="1"/>
  <c r="F67" i="1"/>
  <c r="F66" i="1"/>
  <c r="F65" i="1"/>
  <c r="G67" i="1"/>
  <c r="H67" i="1" s="1"/>
  <c r="F57" i="1"/>
  <c r="F59" i="1" s="1"/>
  <c r="E7" i="5" s="1"/>
  <c r="F56" i="1"/>
  <c r="F55" i="1"/>
  <c r="F53" i="1"/>
  <c r="L53" i="1" s="1"/>
  <c r="O53" i="1" s="1"/>
  <c r="F52" i="1"/>
  <c r="F51" i="1"/>
  <c r="D74" i="1"/>
  <c r="D73" i="1"/>
  <c r="D9" i="5" s="1"/>
  <c r="D71" i="1"/>
  <c r="G71" i="1" s="1"/>
  <c r="H71" i="1" s="1"/>
  <c r="D70" i="1"/>
  <c r="D69" i="1"/>
  <c r="D68" i="1"/>
  <c r="D67" i="1"/>
  <c r="D66" i="1"/>
  <c r="G66" i="1" s="1"/>
  <c r="H66" i="1" s="1"/>
  <c r="D65" i="1"/>
  <c r="D57" i="1"/>
  <c r="G57" i="1" s="1"/>
  <c r="H57" i="1" s="1"/>
  <c r="D56" i="1"/>
  <c r="D55" i="1"/>
  <c r="D53" i="1"/>
  <c r="D52" i="1"/>
  <c r="G52" i="1" s="1"/>
  <c r="H52" i="1" s="1"/>
  <c r="D51" i="1"/>
  <c r="F83" i="1"/>
  <c r="J75" i="1"/>
  <c r="O75" i="1" s="1"/>
  <c r="J74" i="1"/>
  <c r="O74" i="1" s="1"/>
  <c r="O73" i="1"/>
  <c r="J71" i="1"/>
  <c r="L71" i="1" s="1"/>
  <c r="L70" i="1"/>
  <c r="J70" i="1"/>
  <c r="O70" i="1" s="1"/>
  <c r="O69" i="1"/>
  <c r="O68" i="1"/>
  <c r="O67" i="1"/>
  <c r="O66" i="1"/>
  <c r="L64" i="1"/>
  <c r="K64" i="1"/>
  <c r="N64" i="1" s="1"/>
  <c r="N63" i="1"/>
  <c r="K63" i="1"/>
  <c r="L63" i="1" s="1"/>
  <c r="K62" i="1"/>
  <c r="N62" i="1" s="1"/>
  <c r="N61" i="1"/>
  <c r="N76" i="1" s="1"/>
  <c r="L61" i="1"/>
  <c r="K61" i="1"/>
  <c r="K76" i="1" s="1"/>
  <c r="I59" i="1"/>
  <c r="E59" i="1"/>
  <c r="C59" i="1"/>
  <c r="O58" i="1"/>
  <c r="G58" i="1"/>
  <c r="O57" i="1"/>
  <c r="O56" i="1"/>
  <c r="G56" i="1"/>
  <c r="H56" i="1" s="1"/>
  <c r="O55" i="1"/>
  <c r="G55" i="1"/>
  <c r="O54" i="1"/>
  <c r="G54" i="1"/>
  <c r="G53" i="1"/>
  <c r="H53" i="1" s="1"/>
  <c r="J52" i="1"/>
  <c r="O52" i="1" s="1"/>
  <c r="O51" i="1"/>
  <c r="G51" i="1"/>
  <c r="H51" i="1" s="1"/>
  <c r="I49" i="1"/>
  <c r="J49" i="1" s="1"/>
  <c r="E49" i="1"/>
  <c r="C49" i="1"/>
  <c r="D21" i="5"/>
  <c r="D22" i="5" s="1"/>
  <c r="E21" i="5"/>
  <c r="E22" i="5" s="1"/>
  <c r="F20" i="5"/>
  <c r="K20" i="5"/>
  <c r="G20" i="5"/>
  <c r="J20" i="5" s="1"/>
  <c r="T30" i="4"/>
  <c r="S30" i="4"/>
  <c r="L16" i="4"/>
  <c r="L60" i="4"/>
  <c r="I14" i="4"/>
  <c r="H33" i="4"/>
  <c r="H32" i="4"/>
  <c r="H31" i="4"/>
  <c r="H30" i="4"/>
  <c r="H29" i="4"/>
  <c r="H23" i="4"/>
  <c r="H19" i="4"/>
  <c r="H18" i="4"/>
  <c r="H17" i="4"/>
  <c r="H16" i="4"/>
  <c r="H15" i="4"/>
  <c r="H14" i="4"/>
  <c r="H13" i="4"/>
  <c r="E23" i="4"/>
  <c r="U74" i="4"/>
  <c r="AB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AF84" i="4"/>
  <c r="AE84" i="4"/>
  <c r="H84" i="4"/>
  <c r="AB83" i="4"/>
  <c r="AF82" i="4"/>
  <c r="AE82" i="4"/>
  <c r="AB82" i="4"/>
  <c r="M82" i="4"/>
  <c r="I82" i="4"/>
  <c r="AG82" i="4" s="1"/>
  <c r="AI82" i="4" s="1"/>
  <c r="H82" i="4"/>
  <c r="D82" i="4"/>
  <c r="C82" i="4"/>
  <c r="AB81" i="4"/>
  <c r="AF80" i="4"/>
  <c r="AE80" i="4"/>
  <c r="H80" i="4"/>
  <c r="AB79" i="4"/>
  <c r="Z79" i="4"/>
  <c r="AF78" i="4"/>
  <c r="AE78" i="4"/>
  <c r="H78" i="4"/>
  <c r="H77" i="4"/>
  <c r="G77" i="4"/>
  <c r="G78" i="4" s="1"/>
  <c r="F77" i="4"/>
  <c r="E77" i="4"/>
  <c r="D77" i="4"/>
  <c r="C77" i="4"/>
  <c r="AF76" i="4"/>
  <c r="AE76" i="4"/>
  <c r="AF75" i="4"/>
  <c r="AE75" i="4"/>
  <c r="L75" i="4"/>
  <c r="H75" i="4"/>
  <c r="F75" i="4"/>
  <c r="E75" i="4"/>
  <c r="D75" i="4"/>
  <c r="C75" i="4"/>
  <c r="M74" i="4"/>
  <c r="AF73" i="4"/>
  <c r="AE73" i="4"/>
  <c r="H73" i="4"/>
  <c r="F73" i="4"/>
  <c r="E73" i="4"/>
  <c r="D73" i="4"/>
  <c r="C73" i="4"/>
  <c r="AB72" i="4"/>
  <c r="Z72" i="4"/>
  <c r="Z71" i="4"/>
  <c r="I71" i="4"/>
  <c r="AB71" i="4" s="1"/>
  <c r="AF70" i="4"/>
  <c r="AE70" i="4"/>
  <c r="H70" i="4"/>
  <c r="AF69" i="4"/>
  <c r="AE69" i="4"/>
  <c r="H69" i="4"/>
  <c r="G69" i="4"/>
  <c r="G70" i="4" s="1"/>
  <c r="F69" i="4"/>
  <c r="E69" i="4"/>
  <c r="D69" i="4"/>
  <c r="C69" i="4"/>
  <c r="AF68" i="4"/>
  <c r="AI68" i="4" s="1"/>
  <c r="AE68" i="4"/>
  <c r="H68" i="4"/>
  <c r="F68" i="4"/>
  <c r="E68" i="4"/>
  <c r="AF67" i="4"/>
  <c r="AE67" i="4"/>
  <c r="X67" i="4"/>
  <c r="H67" i="4"/>
  <c r="F67" i="4"/>
  <c r="E67" i="4"/>
  <c r="D67" i="4"/>
  <c r="D70" i="4" s="1"/>
  <c r="C67" i="4"/>
  <c r="AB66" i="4"/>
  <c r="Z66" i="4"/>
  <c r="AF64" i="4"/>
  <c r="AE64" i="4"/>
  <c r="H64" i="4"/>
  <c r="AF63" i="4"/>
  <c r="AE63" i="4"/>
  <c r="H63" i="4"/>
  <c r="G63" i="4"/>
  <c r="F63" i="4"/>
  <c r="E63" i="4"/>
  <c r="D63" i="4"/>
  <c r="C63" i="4"/>
  <c r="AF62" i="4"/>
  <c r="AE62" i="4"/>
  <c r="H62" i="4"/>
  <c r="G62" i="4"/>
  <c r="F62" i="4"/>
  <c r="E62" i="4"/>
  <c r="D62" i="4"/>
  <c r="C62" i="4"/>
  <c r="AF61" i="4"/>
  <c r="AE61" i="4"/>
  <c r="H61" i="4"/>
  <c r="G61" i="4"/>
  <c r="F61" i="4"/>
  <c r="E61" i="4"/>
  <c r="D61" i="4"/>
  <c r="AF60" i="4"/>
  <c r="AE60" i="4"/>
  <c r="H60" i="4"/>
  <c r="F60" i="4"/>
  <c r="E60" i="4"/>
  <c r="D60" i="4"/>
  <c r="C60" i="4"/>
  <c r="AF59" i="4"/>
  <c r="AE59" i="4"/>
  <c r="H59" i="4"/>
  <c r="G59" i="4"/>
  <c r="F59" i="4"/>
  <c r="E59" i="4"/>
  <c r="D59" i="4"/>
  <c r="C59" i="4"/>
  <c r="AF58" i="4"/>
  <c r="AE58" i="4"/>
  <c r="X58" i="4"/>
  <c r="W58" i="4"/>
  <c r="V58" i="4"/>
  <c r="T58" i="4"/>
  <c r="S58" i="4"/>
  <c r="R58" i="4"/>
  <c r="P58" i="4"/>
  <c r="O58" i="4"/>
  <c r="N58" i="4"/>
  <c r="L58" i="4"/>
  <c r="K58" i="4"/>
  <c r="J58" i="4"/>
  <c r="H58" i="4"/>
  <c r="F58" i="4"/>
  <c r="E58" i="4"/>
  <c r="D58" i="4"/>
  <c r="C58" i="4"/>
  <c r="AF57" i="4"/>
  <c r="AE57" i="4"/>
  <c r="X57" i="4"/>
  <c r="W57" i="4"/>
  <c r="V57" i="4"/>
  <c r="T57" i="4"/>
  <c r="S57" i="4"/>
  <c r="R57" i="4"/>
  <c r="P57" i="4"/>
  <c r="O57" i="4"/>
  <c r="N57" i="4"/>
  <c r="L57" i="4"/>
  <c r="K57" i="4"/>
  <c r="J57" i="4"/>
  <c r="C57" i="4"/>
  <c r="AF56" i="4"/>
  <c r="AE56" i="4"/>
  <c r="H56" i="4"/>
  <c r="F56" i="4"/>
  <c r="E56" i="4"/>
  <c r="D56" i="4"/>
  <c r="C56" i="4"/>
  <c r="AB41" i="4"/>
  <c r="Z41" i="4"/>
  <c r="AB39" i="4"/>
  <c r="D38" i="4"/>
  <c r="E38" i="4" s="1"/>
  <c r="C38" i="4"/>
  <c r="AB37" i="4"/>
  <c r="AB35" i="4"/>
  <c r="Z35" i="4"/>
  <c r="C33" i="4"/>
  <c r="X32" i="4"/>
  <c r="X76" i="4" s="1"/>
  <c r="W32" i="4"/>
  <c r="W76" i="4" s="1"/>
  <c r="V32" i="4"/>
  <c r="V76" i="4" s="1"/>
  <c r="T32" i="4"/>
  <c r="T76" i="4" s="1"/>
  <c r="S32" i="4"/>
  <c r="S76" i="4" s="1"/>
  <c r="R32" i="4"/>
  <c r="R76" i="4" s="1"/>
  <c r="P32" i="4"/>
  <c r="P76" i="4" s="1"/>
  <c r="O32" i="4"/>
  <c r="O76" i="4" s="1"/>
  <c r="N32" i="4"/>
  <c r="N76" i="4" s="1"/>
  <c r="L32" i="4"/>
  <c r="L76" i="4" s="1"/>
  <c r="K32" i="4"/>
  <c r="K76" i="4" s="1"/>
  <c r="J32" i="4"/>
  <c r="J76" i="4" s="1"/>
  <c r="X31" i="4"/>
  <c r="X75" i="4" s="1"/>
  <c r="W31" i="4"/>
  <c r="W75" i="4" s="1"/>
  <c r="V31" i="4"/>
  <c r="V75" i="4" s="1"/>
  <c r="T31" i="4"/>
  <c r="T75" i="4" s="1"/>
  <c r="S31" i="4"/>
  <c r="S75" i="4" s="1"/>
  <c r="R31" i="4"/>
  <c r="R75" i="4" s="1"/>
  <c r="P31" i="4"/>
  <c r="P75" i="4" s="1"/>
  <c r="O31" i="4"/>
  <c r="O75" i="4" s="1"/>
  <c r="N31" i="4"/>
  <c r="N75" i="4" s="1"/>
  <c r="K31" i="4"/>
  <c r="K75" i="4" s="1"/>
  <c r="J31" i="4"/>
  <c r="J75" i="4" s="1"/>
  <c r="D31" i="4"/>
  <c r="C31" i="4"/>
  <c r="X29" i="4"/>
  <c r="X73" i="4" s="1"/>
  <c r="W29" i="4"/>
  <c r="V29" i="4"/>
  <c r="T29" i="4"/>
  <c r="T73" i="4" s="1"/>
  <c r="S29" i="4"/>
  <c r="R29" i="4"/>
  <c r="P29" i="4"/>
  <c r="P73" i="4" s="1"/>
  <c r="O29" i="4"/>
  <c r="N29" i="4"/>
  <c r="K29" i="4"/>
  <c r="J29" i="4"/>
  <c r="D29" i="4"/>
  <c r="C29" i="4"/>
  <c r="AB28" i="4"/>
  <c r="Z28" i="4"/>
  <c r="Z27" i="4"/>
  <c r="I27" i="4"/>
  <c r="AB27" i="4" s="1"/>
  <c r="X25" i="4"/>
  <c r="X69" i="4" s="1"/>
  <c r="W25" i="4"/>
  <c r="W69" i="4" s="1"/>
  <c r="V25" i="4"/>
  <c r="T25" i="4"/>
  <c r="T69" i="4" s="1"/>
  <c r="S25" i="4"/>
  <c r="S69" i="4" s="1"/>
  <c r="R25" i="4"/>
  <c r="P25" i="4"/>
  <c r="P69" i="4" s="1"/>
  <c r="O25" i="4"/>
  <c r="O69" i="4" s="1"/>
  <c r="N25" i="4"/>
  <c r="L25" i="4"/>
  <c r="L69" i="4" s="1"/>
  <c r="K25" i="4"/>
  <c r="K69" i="4" s="1"/>
  <c r="J25" i="4"/>
  <c r="E25" i="4"/>
  <c r="H25" i="4" s="1"/>
  <c r="D25" i="4"/>
  <c r="D26" i="4" s="1"/>
  <c r="C25" i="4"/>
  <c r="AE24" i="4"/>
  <c r="X24" i="4"/>
  <c r="X68" i="4" s="1"/>
  <c r="W24" i="4"/>
  <c r="W68" i="4" s="1"/>
  <c r="V24" i="4"/>
  <c r="T24" i="4"/>
  <c r="T68" i="4" s="1"/>
  <c r="S24" i="4"/>
  <c r="S68" i="4" s="1"/>
  <c r="R24" i="4"/>
  <c r="P24" i="4"/>
  <c r="P68" i="4" s="1"/>
  <c r="O24" i="4"/>
  <c r="O68" i="4" s="1"/>
  <c r="N24" i="4"/>
  <c r="L24" i="4"/>
  <c r="L68" i="4" s="1"/>
  <c r="K24" i="4"/>
  <c r="K68" i="4" s="1"/>
  <c r="J24" i="4"/>
  <c r="E24" i="4"/>
  <c r="H24" i="4" s="1"/>
  <c r="W23" i="4"/>
  <c r="W67" i="4" s="1"/>
  <c r="V23" i="4"/>
  <c r="V67" i="4" s="1"/>
  <c r="T23" i="4"/>
  <c r="S23" i="4"/>
  <c r="R23" i="4"/>
  <c r="R67" i="4" s="1"/>
  <c r="P23" i="4"/>
  <c r="O23" i="4"/>
  <c r="O67" i="4" s="1"/>
  <c r="N23" i="4"/>
  <c r="N67" i="4" s="1"/>
  <c r="L23" i="4"/>
  <c r="K23" i="4"/>
  <c r="K67" i="4" s="1"/>
  <c r="J23" i="4"/>
  <c r="J67" i="4" s="1"/>
  <c r="C23" i="4"/>
  <c r="AB22" i="4"/>
  <c r="Z22" i="4"/>
  <c r="Z21" i="4"/>
  <c r="I21" i="4"/>
  <c r="AB21" i="4" s="1"/>
  <c r="C19" i="4"/>
  <c r="X18" i="4"/>
  <c r="X62" i="4" s="1"/>
  <c r="W18" i="4"/>
  <c r="V18" i="4"/>
  <c r="V62" i="4" s="1"/>
  <c r="T18" i="4"/>
  <c r="T62" i="4" s="1"/>
  <c r="S18" i="4"/>
  <c r="R18" i="4"/>
  <c r="R62" i="4" s="1"/>
  <c r="P62" i="4"/>
  <c r="O62" i="4"/>
  <c r="N62" i="4"/>
  <c r="L18" i="4"/>
  <c r="L62" i="4" s="1"/>
  <c r="K18" i="4"/>
  <c r="K62" i="4" s="1"/>
  <c r="J18" i="4"/>
  <c r="J62" i="4" s="1"/>
  <c r="C18" i="4"/>
  <c r="AE17" i="4"/>
  <c r="X17" i="4"/>
  <c r="W17" i="4"/>
  <c r="W19" i="4" s="1"/>
  <c r="W63" i="4" s="1"/>
  <c r="V17" i="4"/>
  <c r="V61" i="4" s="1"/>
  <c r="T17" i="4"/>
  <c r="S17" i="4"/>
  <c r="S19" i="4" s="1"/>
  <c r="S63" i="4" s="1"/>
  <c r="R17" i="4"/>
  <c r="R61" i="4" s="1"/>
  <c r="P17" i="4"/>
  <c r="O17" i="4"/>
  <c r="O61" i="4" s="1"/>
  <c r="N17" i="4"/>
  <c r="N61" i="4" s="1"/>
  <c r="L17" i="4"/>
  <c r="K17" i="7" s="1"/>
  <c r="K17" i="4"/>
  <c r="J17" i="4"/>
  <c r="X16" i="4"/>
  <c r="X60" i="4" s="1"/>
  <c r="W16" i="4"/>
  <c r="W60" i="4" s="1"/>
  <c r="V16" i="4"/>
  <c r="T16" i="4"/>
  <c r="T60" i="4" s="1"/>
  <c r="S16" i="4"/>
  <c r="S60" i="4" s="1"/>
  <c r="P16" i="4"/>
  <c r="P60" i="4" s="1"/>
  <c r="O16" i="4"/>
  <c r="O60" i="4" s="1"/>
  <c r="N16" i="4"/>
  <c r="N60" i="4" s="1"/>
  <c r="K16" i="4"/>
  <c r="J16" i="4"/>
  <c r="J60" i="4" s="1"/>
  <c r="C16" i="4"/>
  <c r="X15" i="4"/>
  <c r="X59" i="4" s="1"/>
  <c r="W15" i="4"/>
  <c r="V15" i="4"/>
  <c r="V59" i="4" s="1"/>
  <c r="T15" i="4"/>
  <c r="T59" i="4" s="1"/>
  <c r="S15" i="4"/>
  <c r="S59" i="4" s="1"/>
  <c r="R15" i="4"/>
  <c r="R59" i="4" s="1"/>
  <c r="P15" i="4"/>
  <c r="P59" i="4" s="1"/>
  <c r="O15" i="4"/>
  <c r="O59" i="4" s="1"/>
  <c r="N15" i="4"/>
  <c r="N59" i="4" s="1"/>
  <c r="L15" i="4"/>
  <c r="K15" i="4"/>
  <c r="J15" i="4"/>
  <c r="C15" i="4"/>
  <c r="Y13" i="4"/>
  <c r="U13" i="4"/>
  <c r="Q13" i="4"/>
  <c r="M13" i="4"/>
  <c r="D13" i="4"/>
  <c r="C13" i="4"/>
  <c r="AF12" i="4"/>
  <c r="Y12" i="4"/>
  <c r="U12" i="4"/>
  <c r="Q12" i="4"/>
  <c r="M12" i="4"/>
  <c r="C12" i="4"/>
  <c r="X11" i="4"/>
  <c r="X56" i="4" s="1"/>
  <c r="W11" i="4"/>
  <c r="W56" i="4" s="1"/>
  <c r="V11" i="4"/>
  <c r="V56" i="4" s="1"/>
  <c r="T11" i="4"/>
  <c r="S11" i="4"/>
  <c r="S56" i="4" s="1"/>
  <c r="R11" i="4"/>
  <c r="R56" i="4" s="1"/>
  <c r="P11" i="4"/>
  <c r="O11" i="4"/>
  <c r="O56" i="4" s="1"/>
  <c r="N11" i="4"/>
  <c r="K56" i="4"/>
  <c r="E11" i="4"/>
  <c r="H11" i="4" s="1"/>
  <c r="C11" i="4"/>
  <c r="O245" i="2"/>
  <c r="N246" i="2"/>
  <c r="N244" i="2"/>
  <c r="K244" i="2"/>
  <c r="N243" i="2"/>
  <c r="N239" i="2"/>
  <c r="K239" i="2"/>
  <c r="K238" i="2"/>
  <c r="J238" i="2"/>
  <c r="I238" i="2"/>
  <c r="H238" i="2"/>
  <c r="G238" i="2"/>
  <c r="F238" i="2"/>
  <c r="E238" i="2"/>
  <c r="D238" i="2"/>
  <c r="N236" i="2"/>
  <c r="K236" i="2"/>
  <c r="N235" i="2"/>
  <c r="K235" i="2"/>
  <c r="C238" i="2"/>
  <c r="K229" i="2"/>
  <c r="K226" i="2"/>
  <c r="K225" i="2"/>
  <c r="K224" i="2"/>
  <c r="N198" i="2"/>
  <c r="K198" i="2"/>
  <c r="N201" i="2"/>
  <c r="N200" i="2"/>
  <c r="K200" i="2"/>
  <c r="N199" i="2"/>
  <c r="T244" i="2" s="1"/>
  <c r="K199" i="2"/>
  <c r="J199" i="2"/>
  <c r="I199" i="2"/>
  <c r="H199" i="2"/>
  <c r="G199" i="2"/>
  <c r="F199" i="2"/>
  <c r="E199" i="2"/>
  <c r="D199" i="2"/>
  <c r="N197" i="2"/>
  <c r="K197" i="2"/>
  <c r="N193" i="2"/>
  <c r="K193" i="2"/>
  <c r="C199" i="2"/>
  <c r="U30" i="4" l="1"/>
  <c r="I13" i="4"/>
  <c r="K62" i="7"/>
  <c r="K60" i="4"/>
  <c r="J16" i="7"/>
  <c r="J59" i="4"/>
  <c r="I15" i="7"/>
  <c r="J61" i="4"/>
  <c r="I17" i="7"/>
  <c r="I62" i="7" s="1"/>
  <c r="K59" i="4"/>
  <c r="J15" i="7"/>
  <c r="K61" i="4"/>
  <c r="J17" i="7"/>
  <c r="J62" i="7" s="1"/>
  <c r="AH57" i="7"/>
  <c r="L59" i="4"/>
  <c r="K15" i="7"/>
  <c r="D59" i="1"/>
  <c r="D7" i="5" s="1"/>
  <c r="G68" i="1"/>
  <c r="H68" i="1" s="1"/>
  <c r="E56" i="5"/>
  <c r="F7" i="5"/>
  <c r="G69" i="1"/>
  <c r="H69" i="1" s="1"/>
  <c r="G59" i="1"/>
  <c r="H59" i="1" s="1"/>
  <c r="J59" i="1"/>
  <c r="L62" i="1"/>
  <c r="H55" i="1"/>
  <c r="O71" i="1"/>
  <c r="G70" i="1"/>
  <c r="H70" i="1" s="1"/>
  <c r="L20" i="5"/>
  <c r="F22" i="5"/>
  <c r="K21" i="5"/>
  <c r="K22" i="5" s="1"/>
  <c r="F21" i="5"/>
  <c r="I20" i="5"/>
  <c r="I30" i="4"/>
  <c r="I74" i="4"/>
  <c r="M31" i="4"/>
  <c r="S61" i="4"/>
  <c r="Q60" i="4"/>
  <c r="C64" i="4"/>
  <c r="Y57" i="4"/>
  <c r="AH62" i="4"/>
  <c r="E70" i="4"/>
  <c r="E34" i="4"/>
  <c r="Q31" i="4"/>
  <c r="U31" i="4"/>
  <c r="Y31" i="4"/>
  <c r="AH69" i="4"/>
  <c r="AH82" i="4"/>
  <c r="F34" i="4"/>
  <c r="H34" i="4" s="1"/>
  <c r="Z12" i="4"/>
  <c r="D20" i="4"/>
  <c r="U57" i="4"/>
  <c r="AH67" i="4"/>
  <c r="E20" i="4"/>
  <c r="F26" i="4"/>
  <c r="Q57" i="4"/>
  <c r="AH70" i="4"/>
  <c r="F78" i="4"/>
  <c r="AH75" i="4"/>
  <c r="AH80" i="4"/>
  <c r="C26" i="4"/>
  <c r="S26" i="4"/>
  <c r="M57" i="4"/>
  <c r="Y58" i="4"/>
  <c r="AH64" i="4"/>
  <c r="C78" i="4"/>
  <c r="E78" i="4"/>
  <c r="O70" i="4"/>
  <c r="T26" i="4"/>
  <c r="AG25" i="4"/>
  <c r="X26" i="4"/>
  <c r="M75" i="4"/>
  <c r="M76" i="4"/>
  <c r="Q76" i="4"/>
  <c r="U76" i="4"/>
  <c r="Y76" i="4"/>
  <c r="E64" i="4"/>
  <c r="AH56" i="4"/>
  <c r="AH60" i="4"/>
  <c r="G64" i="4"/>
  <c r="G80" i="4" s="1"/>
  <c r="C70" i="4"/>
  <c r="D78" i="4"/>
  <c r="AH73" i="4"/>
  <c r="AH76" i="4"/>
  <c r="AH84" i="4"/>
  <c r="W20" i="4"/>
  <c r="Y23" i="4"/>
  <c r="P26" i="4"/>
  <c r="F70" i="4"/>
  <c r="F20" i="4"/>
  <c r="C20" i="4"/>
  <c r="I12" i="4"/>
  <c r="AB12" i="4" s="1"/>
  <c r="K70" i="4"/>
  <c r="D34" i="4"/>
  <c r="Q75" i="4"/>
  <c r="U75" i="4"/>
  <c r="Y75" i="4"/>
  <c r="M32" i="4"/>
  <c r="Q32" i="4"/>
  <c r="U32" i="4"/>
  <c r="Y32" i="4"/>
  <c r="M58" i="4"/>
  <c r="AH59" i="4"/>
  <c r="AH63" i="4"/>
  <c r="AH78" i="4"/>
  <c r="J56" i="4"/>
  <c r="V60" i="4"/>
  <c r="Y16" i="4"/>
  <c r="S62" i="4"/>
  <c r="U18" i="4"/>
  <c r="N69" i="4"/>
  <c r="Q69" i="4" s="1"/>
  <c r="Q25" i="4"/>
  <c r="N73" i="4"/>
  <c r="Q29" i="4"/>
  <c r="T56" i="4"/>
  <c r="U11" i="4"/>
  <c r="M60" i="4"/>
  <c r="R60" i="4"/>
  <c r="U60" i="4" s="1"/>
  <c r="U16" i="4"/>
  <c r="T61" i="4"/>
  <c r="T19" i="4"/>
  <c r="U17" i="4"/>
  <c r="N68" i="4"/>
  <c r="Q68" i="4" s="1"/>
  <c r="Q24" i="4"/>
  <c r="J69" i="4"/>
  <c r="M25" i="4"/>
  <c r="J73" i="4"/>
  <c r="M29" i="4"/>
  <c r="L56" i="4"/>
  <c r="P56" i="4"/>
  <c r="Q11" i="4"/>
  <c r="Z13" i="4"/>
  <c r="P61" i="4"/>
  <c r="Q61" i="4" s="1"/>
  <c r="P19" i="4"/>
  <c r="P20" i="4" s="1"/>
  <c r="Q17" i="4"/>
  <c r="T67" i="4"/>
  <c r="U23" i="4"/>
  <c r="J68" i="4"/>
  <c r="M68" i="4" s="1"/>
  <c r="M24" i="4"/>
  <c r="V69" i="4"/>
  <c r="Y69" i="4" s="1"/>
  <c r="Y25" i="4"/>
  <c r="V73" i="4"/>
  <c r="Y29" i="4"/>
  <c r="X61" i="4"/>
  <c r="X19" i="4"/>
  <c r="X20" i="4" s="1"/>
  <c r="Y17" i="4"/>
  <c r="L67" i="4"/>
  <c r="M23" i="4"/>
  <c r="R68" i="4"/>
  <c r="U68" i="4" s="1"/>
  <c r="U24" i="4"/>
  <c r="M11" i="4"/>
  <c r="W59" i="4"/>
  <c r="Y15" i="4"/>
  <c r="L61" i="4"/>
  <c r="M61" i="4" s="1"/>
  <c r="L19" i="4"/>
  <c r="K19" i="7" s="1"/>
  <c r="M17" i="4"/>
  <c r="W62" i="4"/>
  <c r="Y62" i="4" s="1"/>
  <c r="Y18" i="4"/>
  <c r="S20" i="4"/>
  <c r="E26" i="4"/>
  <c r="H26" i="4" s="1"/>
  <c r="P67" i="4"/>
  <c r="Q23" i="4"/>
  <c r="V68" i="4"/>
  <c r="Y24" i="4"/>
  <c r="R69" i="4"/>
  <c r="U69" i="4" s="1"/>
  <c r="U25" i="4"/>
  <c r="L26" i="4"/>
  <c r="C34" i="4"/>
  <c r="R73" i="4"/>
  <c r="U29" i="4"/>
  <c r="Y56" i="4"/>
  <c r="M59" i="4"/>
  <c r="Q59" i="4"/>
  <c r="U59" i="4"/>
  <c r="M62" i="4"/>
  <c r="Q62" i="4"/>
  <c r="J19" i="4"/>
  <c r="N19" i="4"/>
  <c r="N63" i="4" s="1"/>
  <c r="R19" i="4"/>
  <c r="R63" i="4" s="1"/>
  <c r="V19" i="4"/>
  <c r="V63" i="4" s="1"/>
  <c r="K73" i="4"/>
  <c r="O73" i="4"/>
  <c r="S73" i="4"/>
  <c r="W73" i="4"/>
  <c r="W61" i="4"/>
  <c r="Y11" i="4"/>
  <c r="M15" i="4"/>
  <c r="Q15" i="4"/>
  <c r="U15" i="4"/>
  <c r="M18" i="4"/>
  <c r="Q18" i="4"/>
  <c r="I18" i="4" s="1"/>
  <c r="K19" i="4"/>
  <c r="O19" i="4"/>
  <c r="O63" i="4" s="1"/>
  <c r="O64" i="4" s="1"/>
  <c r="AG69" i="4"/>
  <c r="AI69" i="4" s="1"/>
  <c r="M69" i="4"/>
  <c r="J26" i="4"/>
  <c r="N26" i="4"/>
  <c r="R26" i="4"/>
  <c r="V26" i="4"/>
  <c r="N56" i="4"/>
  <c r="U58" i="4"/>
  <c r="S67" i="4"/>
  <c r="S70" i="4" s="1"/>
  <c r="M16" i="4"/>
  <c r="Q16" i="4"/>
  <c r="Y67" i="4"/>
  <c r="W70" i="4"/>
  <c r="K26" i="4"/>
  <c r="O26" i="4"/>
  <c r="W26" i="4"/>
  <c r="Q58" i="4"/>
  <c r="F64" i="4"/>
  <c r="X70" i="4"/>
  <c r="D64" i="4"/>
  <c r="Z82" i="4"/>
  <c r="K227" i="2"/>
  <c r="K231" i="2" s="1"/>
  <c r="T14" i="3"/>
  <c r="AA49" i="3"/>
  <c r="AC49" i="3"/>
  <c r="W71" i="3"/>
  <c r="W72" i="3"/>
  <c r="W74" i="3" s="1"/>
  <c r="X82" i="3"/>
  <c r="Y82" i="3"/>
  <c r="W82" i="3"/>
  <c r="N88" i="2"/>
  <c r="N75" i="2"/>
  <c r="N237" i="2" s="1"/>
  <c r="N72" i="2"/>
  <c r="N194" i="2" s="1"/>
  <c r="N195" i="2" s="1"/>
  <c r="K75" i="2"/>
  <c r="K237" i="2" s="1"/>
  <c r="K241" i="2" s="1"/>
  <c r="K72" i="2"/>
  <c r="K194" i="2" s="1"/>
  <c r="K195" i="2" s="1"/>
  <c r="J75" i="2"/>
  <c r="J237" i="2" s="1"/>
  <c r="J73" i="2"/>
  <c r="J239" i="2" s="1"/>
  <c r="I74" i="2"/>
  <c r="I236" i="2" s="1"/>
  <c r="H74" i="2"/>
  <c r="H236" i="2" s="1"/>
  <c r="G74" i="2"/>
  <c r="G236" i="2" s="1"/>
  <c r="F74" i="2"/>
  <c r="F236" i="2" s="1"/>
  <c r="E74" i="2"/>
  <c r="E236" i="2" s="1"/>
  <c r="D74" i="2"/>
  <c r="D236" i="2" s="1"/>
  <c r="D71" i="2"/>
  <c r="D235" i="2" s="1"/>
  <c r="K60" i="2"/>
  <c r="J67" i="2"/>
  <c r="L67" i="2" s="1"/>
  <c r="J64" i="2"/>
  <c r="L64" i="2" s="1"/>
  <c r="J60" i="2"/>
  <c r="J52" i="2"/>
  <c r="I60" i="2"/>
  <c r="H69" i="2"/>
  <c r="H60" i="2"/>
  <c r="H59" i="2"/>
  <c r="H57" i="2"/>
  <c r="H54" i="2"/>
  <c r="H53" i="2"/>
  <c r="G69" i="2"/>
  <c r="G61" i="2"/>
  <c r="G60" i="2"/>
  <c r="G55" i="2"/>
  <c r="G54" i="2"/>
  <c r="G53" i="2"/>
  <c r="F60" i="2"/>
  <c r="F54" i="2"/>
  <c r="N70" i="2"/>
  <c r="D60" i="2"/>
  <c r="D55" i="2"/>
  <c r="D52" i="2"/>
  <c r="D193" i="2" s="1"/>
  <c r="C60" i="2"/>
  <c r="C52" i="2"/>
  <c r="C193" i="2" s="1"/>
  <c r="E52" i="2"/>
  <c r="E193" i="2" s="1"/>
  <c r="C53" i="2"/>
  <c r="E53" i="2"/>
  <c r="J53" i="2"/>
  <c r="L53" i="2" s="1"/>
  <c r="C54" i="2"/>
  <c r="D54" i="2"/>
  <c r="E54" i="2"/>
  <c r="C55" i="2"/>
  <c r="E55" i="2"/>
  <c r="F55" i="2"/>
  <c r="H55" i="2"/>
  <c r="J55" i="2"/>
  <c r="L55" i="2" s="1"/>
  <c r="C56" i="2"/>
  <c r="D56" i="2"/>
  <c r="E56" i="2"/>
  <c r="F56" i="2"/>
  <c r="G56" i="2"/>
  <c r="H56" i="2"/>
  <c r="J56" i="2"/>
  <c r="C57" i="2"/>
  <c r="D57" i="2"/>
  <c r="E57" i="2"/>
  <c r="G57" i="2"/>
  <c r="I57" i="2"/>
  <c r="J57" i="2"/>
  <c r="L57" i="2" s="1"/>
  <c r="L58" i="2"/>
  <c r="C59" i="2"/>
  <c r="D59" i="2"/>
  <c r="E59" i="2"/>
  <c r="F59" i="2"/>
  <c r="G59" i="2"/>
  <c r="I59" i="2"/>
  <c r="J59" i="2"/>
  <c r="L59" i="2" s="1"/>
  <c r="E60" i="2"/>
  <c r="C61" i="2"/>
  <c r="H61" i="2"/>
  <c r="J61" i="2"/>
  <c r="L61" i="2" s="1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N91" i="2"/>
  <c r="N90" i="2"/>
  <c r="N89" i="2"/>
  <c r="J87" i="2"/>
  <c r="L88" i="2"/>
  <c r="N85" i="2"/>
  <c r="N229" i="2" s="1"/>
  <c r="N231" i="2" s="1"/>
  <c r="K86" i="2"/>
  <c r="K243" i="2" s="1"/>
  <c r="K246" i="2" s="1"/>
  <c r="L76" i="2"/>
  <c r="K84" i="2"/>
  <c r="L110" i="3"/>
  <c r="K110" i="3"/>
  <c r="J110" i="3"/>
  <c r="D103" i="3"/>
  <c r="D102" i="3"/>
  <c r="D101" i="3"/>
  <c r="E100" i="3"/>
  <c r="I100" i="3" s="1"/>
  <c r="S100" i="3" s="1"/>
  <c r="D100" i="3"/>
  <c r="N99" i="3"/>
  <c r="N100" i="3" s="1"/>
  <c r="J99" i="3"/>
  <c r="G99" i="3"/>
  <c r="D99" i="3"/>
  <c r="N98" i="3"/>
  <c r="M98" i="3"/>
  <c r="L98" i="3"/>
  <c r="K98" i="3"/>
  <c r="J98" i="3"/>
  <c r="G98" i="3"/>
  <c r="D98" i="3"/>
  <c r="D95" i="3"/>
  <c r="G93" i="3"/>
  <c r="F93" i="3"/>
  <c r="D93" i="3"/>
  <c r="R92" i="3"/>
  <c r="H92" i="3"/>
  <c r="G92" i="3"/>
  <c r="F92" i="3"/>
  <c r="D92" i="3"/>
  <c r="AF91" i="3"/>
  <c r="AG91" i="3" s="1"/>
  <c r="AE91" i="3"/>
  <c r="U91" i="3"/>
  <c r="S91" i="3"/>
  <c r="M91" i="3"/>
  <c r="N91" i="3" s="1"/>
  <c r="AF90" i="3"/>
  <c r="AG90" i="3" s="1"/>
  <c r="AE90" i="3"/>
  <c r="W90" i="3"/>
  <c r="U90" i="3"/>
  <c r="AI90" i="3" s="1"/>
  <c r="S90" i="3"/>
  <c r="L90" i="3"/>
  <c r="K90" i="3"/>
  <c r="J90" i="3"/>
  <c r="E90" i="3"/>
  <c r="D90" i="3"/>
  <c r="AE89" i="3"/>
  <c r="AF89" i="3" s="1"/>
  <c r="AG89" i="3" s="1"/>
  <c r="W89" i="3"/>
  <c r="S89" i="3"/>
  <c r="U89" i="3" s="1"/>
  <c r="AI89" i="3" s="1"/>
  <c r="L89" i="3"/>
  <c r="K89" i="3"/>
  <c r="J89" i="3"/>
  <c r="E89" i="3"/>
  <c r="D89" i="3"/>
  <c r="AL88" i="3"/>
  <c r="V88" i="3" s="1"/>
  <c r="Q88" i="3"/>
  <c r="R88" i="3" s="1"/>
  <c r="S88" i="3" s="1"/>
  <c r="M88" i="3"/>
  <c r="N88" i="3" s="1"/>
  <c r="I88" i="3"/>
  <c r="D88" i="3"/>
  <c r="AL87" i="3"/>
  <c r="AH87" i="3"/>
  <c r="AD87" i="3"/>
  <c r="Z87" i="3"/>
  <c r="V87" i="3"/>
  <c r="R87" i="3"/>
  <c r="T87" i="3" s="1"/>
  <c r="Q87" i="3"/>
  <c r="L87" i="3"/>
  <c r="K87" i="3"/>
  <c r="J87" i="3"/>
  <c r="E87" i="3"/>
  <c r="D87" i="3"/>
  <c r="AD86" i="3"/>
  <c r="S86" i="3"/>
  <c r="U86" i="3" s="1"/>
  <c r="I86" i="3"/>
  <c r="D86" i="3"/>
  <c r="T85" i="3"/>
  <c r="N76" i="2" s="1"/>
  <c r="N238" i="2" s="1"/>
  <c r="N241" i="2" s="1"/>
  <c r="S85" i="3"/>
  <c r="R85" i="3"/>
  <c r="Q85" i="3"/>
  <c r="L85" i="3"/>
  <c r="I85" i="3"/>
  <c r="D85" i="3"/>
  <c r="M84" i="3"/>
  <c r="N84" i="3" s="1"/>
  <c r="N83" i="3"/>
  <c r="M83" i="3"/>
  <c r="H82" i="3"/>
  <c r="G82" i="3"/>
  <c r="F82" i="3"/>
  <c r="D82" i="3"/>
  <c r="AD81" i="3"/>
  <c r="Q81" i="3"/>
  <c r="R81" i="3" s="1"/>
  <c r="T81" i="3" s="1"/>
  <c r="M81" i="3"/>
  <c r="N81" i="3" s="1"/>
  <c r="I81" i="3"/>
  <c r="D81" i="3"/>
  <c r="AD80" i="3"/>
  <c r="Z80" i="3"/>
  <c r="Q79" i="3"/>
  <c r="R79" i="3" s="1"/>
  <c r="L79" i="3"/>
  <c r="K79" i="3"/>
  <c r="J79" i="3"/>
  <c r="E79" i="3"/>
  <c r="I79" i="3" s="1"/>
  <c r="D79" i="3"/>
  <c r="R78" i="3"/>
  <c r="Q78" i="3"/>
  <c r="L78" i="3"/>
  <c r="K78" i="3"/>
  <c r="J78" i="3"/>
  <c r="E78" i="3"/>
  <c r="I78" i="3" s="1"/>
  <c r="I82" i="3" s="1"/>
  <c r="D78" i="3"/>
  <c r="R77" i="3"/>
  <c r="Q77" i="3"/>
  <c r="Q82" i="3" s="1"/>
  <c r="M77" i="3"/>
  <c r="I77" i="3"/>
  <c r="D77" i="3"/>
  <c r="M76" i="3"/>
  <c r="N76" i="3" s="1"/>
  <c r="N75" i="3"/>
  <c r="M75" i="3"/>
  <c r="G74" i="3"/>
  <c r="D74" i="3"/>
  <c r="Q72" i="3"/>
  <c r="Q74" i="3" s="1"/>
  <c r="H72" i="3"/>
  <c r="H74" i="3" s="1"/>
  <c r="G72" i="3"/>
  <c r="F72" i="3"/>
  <c r="D72" i="3"/>
  <c r="AE71" i="3"/>
  <c r="AF71" i="3" s="1"/>
  <c r="AG71" i="3" s="1"/>
  <c r="S71" i="3"/>
  <c r="U71" i="3" s="1"/>
  <c r="L71" i="3"/>
  <c r="K71" i="3"/>
  <c r="J71" i="3"/>
  <c r="E71" i="3"/>
  <c r="D71" i="3"/>
  <c r="Z70" i="3"/>
  <c r="Q70" i="3"/>
  <c r="L70" i="3"/>
  <c r="K70" i="3"/>
  <c r="J70" i="3"/>
  <c r="E70" i="3"/>
  <c r="I70" i="3" s="1"/>
  <c r="D70" i="3"/>
  <c r="AL69" i="3"/>
  <c r="AH69" i="3"/>
  <c r="AD69" i="3"/>
  <c r="Z69" i="3"/>
  <c r="R69" i="3"/>
  <c r="Q69" i="3"/>
  <c r="I69" i="3"/>
  <c r="E69" i="3"/>
  <c r="D69" i="3"/>
  <c r="AL68" i="3"/>
  <c r="AH68" i="3"/>
  <c r="AD68" i="3"/>
  <c r="Z68" i="3"/>
  <c r="T68" i="3"/>
  <c r="S68" i="3"/>
  <c r="U68" i="3" s="1"/>
  <c r="L68" i="3"/>
  <c r="K68" i="3"/>
  <c r="K69" i="3" s="1"/>
  <c r="J68" i="3"/>
  <c r="J69" i="3" s="1"/>
  <c r="I68" i="3"/>
  <c r="D68" i="3"/>
  <c r="AJ67" i="3"/>
  <c r="AI67" i="3"/>
  <c r="AE67" i="3"/>
  <c r="AE72" i="3" s="1"/>
  <c r="W67" i="3"/>
  <c r="L67" i="3"/>
  <c r="K67" i="3"/>
  <c r="J67" i="3"/>
  <c r="E67" i="3"/>
  <c r="D67" i="3"/>
  <c r="AL64" i="3"/>
  <c r="AH64" i="3"/>
  <c r="AD64" i="3"/>
  <c r="Z64" i="3"/>
  <c r="V64" i="3"/>
  <c r="U64" i="3"/>
  <c r="F64" i="3"/>
  <c r="F74" i="3" s="1"/>
  <c r="E64" i="3"/>
  <c r="D64" i="3"/>
  <c r="AI63" i="3"/>
  <c r="AE63" i="3"/>
  <c r="AF63" i="3" s="1"/>
  <c r="AG63" i="3" s="1"/>
  <c r="W63" i="3"/>
  <c r="L63" i="3"/>
  <c r="K63" i="3"/>
  <c r="J63" i="3"/>
  <c r="E63" i="3"/>
  <c r="D63" i="3"/>
  <c r="AI62" i="3"/>
  <c r="AJ62" i="3" s="1"/>
  <c r="AG62" i="3"/>
  <c r="AF62" i="3"/>
  <c r="AE62" i="3"/>
  <c r="W62" i="3"/>
  <c r="L62" i="3"/>
  <c r="K62" i="3"/>
  <c r="J62" i="3"/>
  <c r="E62" i="3"/>
  <c r="D62" i="3"/>
  <c r="AJ61" i="3"/>
  <c r="AI61" i="3"/>
  <c r="AE61" i="3"/>
  <c r="AF61" i="3" s="1"/>
  <c r="W61" i="3"/>
  <c r="L61" i="3"/>
  <c r="K61" i="3"/>
  <c r="J61" i="3"/>
  <c r="E61" i="3"/>
  <c r="D61" i="3"/>
  <c r="AI60" i="3"/>
  <c r="AJ60" i="3" s="1"/>
  <c r="AE60" i="3"/>
  <c r="AF60" i="3" s="1"/>
  <c r="AG60" i="3" s="1"/>
  <c r="W60" i="3"/>
  <c r="L60" i="3"/>
  <c r="K60" i="3"/>
  <c r="J60" i="3"/>
  <c r="X60" i="3" s="1"/>
  <c r="E60" i="3"/>
  <c r="D60" i="3"/>
  <c r="AI59" i="3"/>
  <c r="AG59" i="3"/>
  <c r="AF59" i="3"/>
  <c r="AE59" i="3"/>
  <c r="W59" i="3"/>
  <c r="W64" i="3" s="1"/>
  <c r="L59" i="3"/>
  <c r="K59" i="3"/>
  <c r="J59" i="3"/>
  <c r="E59" i="3"/>
  <c r="D59" i="3"/>
  <c r="D56" i="3"/>
  <c r="F55" i="3"/>
  <c r="D55" i="3"/>
  <c r="H54" i="3"/>
  <c r="G54" i="3"/>
  <c r="F54" i="3"/>
  <c r="D54" i="3"/>
  <c r="AL53" i="3"/>
  <c r="AH53" i="3"/>
  <c r="AD53" i="3"/>
  <c r="Z53" i="3"/>
  <c r="Q53" i="3"/>
  <c r="R53" i="3" s="1"/>
  <c r="L53" i="3"/>
  <c r="K53" i="3"/>
  <c r="J53" i="3"/>
  <c r="M53" i="3" s="1"/>
  <c r="N53" i="3" s="1"/>
  <c r="I53" i="3"/>
  <c r="D53" i="3"/>
  <c r="AL52" i="3"/>
  <c r="AH52" i="3"/>
  <c r="AD52" i="3"/>
  <c r="Z52" i="3"/>
  <c r="R52" i="3"/>
  <c r="Q52" i="3"/>
  <c r="L52" i="3"/>
  <c r="K52" i="3"/>
  <c r="J52" i="3"/>
  <c r="E52" i="3"/>
  <c r="I52" i="3" s="1"/>
  <c r="D52" i="3"/>
  <c r="AH51" i="3"/>
  <c r="Q51" i="3"/>
  <c r="R51" i="3" s="1"/>
  <c r="S51" i="3" s="1"/>
  <c r="N51" i="3"/>
  <c r="L51" i="3"/>
  <c r="K51" i="3"/>
  <c r="J51" i="3"/>
  <c r="M51" i="3" s="1"/>
  <c r="I51" i="3"/>
  <c r="D51" i="3"/>
  <c r="AL50" i="3"/>
  <c r="AH50" i="3"/>
  <c r="AD50" i="3"/>
  <c r="Z50" i="3"/>
  <c r="R50" i="3"/>
  <c r="Q50" i="3"/>
  <c r="L50" i="3"/>
  <c r="K50" i="3"/>
  <c r="J50" i="3"/>
  <c r="E50" i="3"/>
  <c r="I50" i="3" s="1"/>
  <c r="D50" i="3"/>
  <c r="AL49" i="3"/>
  <c r="S49" i="3"/>
  <c r="U49" i="3" s="1"/>
  <c r="N49" i="3"/>
  <c r="L49" i="3"/>
  <c r="K49" i="3"/>
  <c r="J49" i="3"/>
  <c r="M49" i="3" s="1"/>
  <c r="I49" i="3"/>
  <c r="D49" i="3"/>
  <c r="AL48" i="3"/>
  <c r="AH48" i="3"/>
  <c r="AD48" i="3"/>
  <c r="Z48" i="3"/>
  <c r="R48" i="3"/>
  <c r="Q48" i="3"/>
  <c r="K48" i="3"/>
  <c r="J48" i="3"/>
  <c r="M48" i="3" s="1"/>
  <c r="N48" i="3" s="1"/>
  <c r="I48" i="3"/>
  <c r="D48" i="3"/>
  <c r="AL47" i="3"/>
  <c r="AH47" i="3"/>
  <c r="AD47" i="3"/>
  <c r="Z47" i="3"/>
  <c r="R47" i="3"/>
  <c r="Q47" i="3"/>
  <c r="L47" i="3"/>
  <c r="K47" i="3"/>
  <c r="J47" i="3"/>
  <c r="E47" i="3"/>
  <c r="I47" i="3" s="1"/>
  <c r="D47" i="3"/>
  <c r="AL46" i="3"/>
  <c r="T46" i="3"/>
  <c r="S46" i="3"/>
  <c r="U46" i="3" s="1"/>
  <c r="L46" i="3"/>
  <c r="K46" i="3"/>
  <c r="J46" i="3"/>
  <c r="M46" i="3" s="1"/>
  <c r="N46" i="3" s="1"/>
  <c r="I46" i="3"/>
  <c r="D46" i="3"/>
  <c r="AL45" i="3"/>
  <c r="AH45" i="3"/>
  <c r="AD45" i="3"/>
  <c r="Z45" i="3"/>
  <c r="R45" i="3"/>
  <c r="Q45" i="3"/>
  <c r="L45" i="3"/>
  <c r="K45" i="3"/>
  <c r="J45" i="3"/>
  <c r="E45" i="3"/>
  <c r="I45" i="3" s="1"/>
  <c r="D45" i="3"/>
  <c r="AH44" i="3"/>
  <c r="Q44" i="3"/>
  <c r="R44" i="3" s="1"/>
  <c r="L44" i="3"/>
  <c r="K44" i="3"/>
  <c r="J44" i="3"/>
  <c r="E44" i="3"/>
  <c r="I44" i="3" s="1"/>
  <c r="D44" i="3"/>
  <c r="AL43" i="3"/>
  <c r="AH43" i="3"/>
  <c r="AD43" i="3"/>
  <c r="Z43" i="3"/>
  <c r="V43" i="3"/>
  <c r="R43" i="3"/>
  <c r="T43" i="3" s="1"/>
  <c r="Q43" i="3"/>
  <c r="L43" i="3"/>
  <c r="K43" i="3"/>
  <c r="J43" i="3"/>
  <c r="E43" i="3"/>
  <c r="I43" i="3" s="1"/>
  <c r="S43" i="3" s="1"/>
  <c r="U43" i="3" s="1"/>
  <c r="D43" i="3"/>
  <c r="AD42" i="3"/>
  <c r="Z42" i="3"/>
  <c r="T42" i="3"/>
  <c r="Q42" i="3"/>
  <c r="R42" i="3" s="1"/>
  <c r="L42" i="3"/>
  <c r="K42" i="3"/>
  <c r="J42" i="3"/>
  <c r="E42" i="3"/>
  <c r="I42" i="3" s="1"/>
  <c r="D42" i="3"/>
  <c r="AL41" i="3"/>
  <c r="AH41" i="3"/>
  <c r="V41" i="3" s="1"/>
  <c r="AD41" i="3"/>
  <c r="Z41" i="3"/>
  <c r="R41" i="3"/>
  <c r="T41" i="3" s="1"/>
  <c r="Q41" i="3"/>
  <c r="L41" i="3"/>
  <c r="K41" i="3"/>
  <c r="J41" i="3"/>
  <c r="I41" i="3"/>
  <c r="D41" i="3"/>
  <c r="AH40" i="3"/>
  <c r="AD40" i="3"/>
  <c r="L40" i="3"/>
  <c r="K40" i="3"/>
  <c r="J40" i="3"/>
  <c r="I40" i="3"/>
  <c r="D40" i="3"/>
  <c r="AL39" i="3"/>
  <c r="L39" i="3"/>
  <c r="K39" i="3"/>
  <c r="J39" i="3"/>
  <c r="I39" i="3"/>
  <c r="D39" i="3"/>
  <c r="AL38" i="3"/>
  <c r="AH38" i="3"/>
  <c r="AD38" i="3"/>
  <c r="Z38" i="3"/>
  <c r="T38" i="3"/>
  <c r="L38" i="3"/>
  <c r="K38" i="3"/>
  <c r="J38" i="3"/>
  <c r="I38" i="3"/>
  <c r="D38" i="3"/>
  <c r="AI37" i="3"/>
  <c r="AJ37" i="3" s="1"/>
  <c r="AE37" i="3"/>
  <c r="AF37" i="3" s="1"/>
  <c r="AG37" i="3" s="1"/>
  <c r="W37" i="3"/>
  <c r="L37" i="3"/>
  <c r="K37" i="3"/>
  <c r="J37" i="3"/>
  <c r="X37" i="3" s="1"/>
  <c r="E37" i="3"/>
  <c r="D37" i="3"/>
  <c r="AI36" i="3"/>
  <c r="AF36" i="3"/>
  <c r="AE36" i="3"/>
  <c r="AE54" i="3" s="1"/>
  <c r="W36" i="3"/>
  <c r="L36" i="3"/>
  <c r="K36" i="3"/>
  <c r="J36" i="3"/>
  <c r="X36" i="3" s="1"/>
  <c r="E36" i="3"/>
  <c r="D36" i="3"/>
  <c r="H34" i="3"/>
  <c r="H55" i="3" s="1"/>
  <c r="G34" i="3"/>
  <c r="G55" i="3" s="1"/>
  <c r="F34" i="3"/>
  <c r="D34" i="3"/>
  <c r="AL33" i="3"/>
  <c r="AH33" i="3"/>
  <c r="AD33" i="3"/>
  <c r="Z33" i="3"/>
  <c r="T33" i="3"/>
  <c r="M33" i="3"/>
  <c r="N33" i="3" s="1"/>
  <c r="Q33" i="3" s="1"/>
  <c r="I33" i="3"/>
  <c r="S33" i="3" s="1"/>
  <c r="U33" i="3" s="1"/>
  <c r="D33" i="3"/>
  <c r="AH32" i="3"/>
  <c r="L32" i="3"/>
  <c r="K32" i="3"/>
  <c r="J32" i="3"/>
  <c r="E32" i="3"/>
  <c r="I32" i="3" s="1"/>
  <c r="D32" i="3"/>
  <c r="AH31" i="3"/>
  <c r="AD31" i="3"/>
  <c r="L31" i="3"/>
  <c r="K31" i="3"/>
  <c r="J31" i="3"/>
  <c r="E31" i="3"/>
  <c r="I31" i="3" s="1"/>
  <c r="D31" i="3"/>
  <c r="AH30" i="3"/>
  <c r="S30" i="3"/>
  <c r="U30" i="3" s="1"/>
  <c r="M30" i="3"/>
  <c r="N30" i="3" s="1"/>
  <c r="L30" i="3"/>
  <c r="K30" i="3"/>
  <c r="J30" i="3"/>
  <c r="I30" i="3"/>
  <c r="D30" i="3"/>
  <c r="AL29" i="3"/>
  <c r="AH29" i="3"/>
  <c r="AD29" i="3"/>
  <c r="Z29" i="3"/>
  <c r="T29" i="3"/>
  <c r="R29" i="3"/>
  <c r="Q29" i="3"/>
  <c r="L29" i="3"/>
  <c r="K29" i="3"/>
  <c r="J29" i="3"/>
  <c r="E29" i="3"/>
  <c r="I29" i="3" s="1"/>
  <c r="S29" i="3" s="1"/>
  <c r="U29" i="3" s="1"/>
  <c r="D29" i="3"/>
  <c r="AL28" i="3"/>
  <c r="AH28" i="3"/>
  <c r="AD28" i="3"/>
  <c r="V28" i="3" s="1"/>
  <c r="Z28" i="3"/>
  <c r="Q28" i="3"/>
  <c r="R28" i="3" s="1"/>
  <c r="L28" i="3"/>
  <c r="K28" i="3"/>
  <c r="J28" i="3"/>
  <c r="E28" i="3"/>
  <c r="I28" i="3" s="1"/>
  <c r="D28" i="3"/>
  <c r="AL27" i="3"/>
  <c r="AH27" i="3"/>
  <c r="AD27" i="3"/>
  <c r="Z27" i="3"/>
  <c r="T27" i="3"/>
  <c r="R27" i="3"/>
  <c r="Q27" i="3"/>
  <c r="L27" i="3"/>
  <c r="K27" i="3"/>
  <c r="J27" i="3"/>
  <c r="M27" i="3" s="1"/>
  <c r="N27" i="3" s="1"/>
  <c r="I27" i="3"/>
  <c r="S27" i="3" s="1"/>
  <c r="U27" i="3" s="1"/>
  <c r="D27" i="3"/>
  <c r="L26" i="3"/>
  <c r="K26" i="3"/>
  <c r="J26" i="3"/>
  <c r="E26" i="3"/>
  <c r="D26" i="3"/>
  <c r="L25" i="3"/>
  <c r="K25" i="3"/>
  <c r="J25" i="3"/>
  <c r="E25" i="3"/>
  <c r="I25" i="3" s="1"/>
  <c r="D25" i="3"/>
  <c r="AK24" i="3"/>
  <c r="AJ24" i="3"/>
  <c r="AI24" i="3"/>
  <c r="AH24" i="3"/>
  <c r="AG24" i="3"/>
  <c r="AF24" i="3"/>
  <c r="AC24" i="3"/>
  <c r="AB24" i="3"/>
  <c r="AA24" i="3"/>
  <c r="Y24" i="3"/>
  <c r="X24" i="3"/>
  <c r="W24" i="3"/>
  <c r="L24" i="3"/>
  <c r="K24" i="3"/>
  <c r="J24" i="3"/>
  <c r="I24" i="3"/>
  <c r="D24" i="3"/>
  <c r="AI23" i="3"/>
  <c r="AJ23" i="3" s="1"/>
  <c r="AG23" i="3"/>
  <c r="AF23" i="3"/>
  <c r="AE23" i="3"/>
  <c r="W23" i="3"/>
  <c r="L23" i="3"/>
  <c r="K23" i="3"/>
  <c r="J23" i="3"/>
  <c r="E23" i="3"/>
  <c r="D23" i="3"/>
  <c r="N22" i="3"/>
  <c r="M22" i="3"/>
  <c r="F21" i="3"/>
  <c r="F56" i="3" s="1"/>
  <c r="D21" i="3"/>
  <c r="H20" i="3"/>
  <c r="H21" i="3" s="1"/>
  <c r="H56" i="3" s="1"/>
  <c r="G20" i="3"/>
  <c r="G21" i="3" s="1"/>
  <c r="G56" i="3" s="1"/>
  <c r="F20" i="3"/>
  <c r="D20" i="3"/>
  <c r="AE19" i="3"/>
  <c r="AF19" i="3" s="1"/>
  <c r="AG19" i="3" s="1"/>
  <c r="U19" i="3"/>
  <c r="L19" i="3"/>
  <c r="K19" i="3"/>
  <c r="J19" i="3"/>
  <c r="E19" i="3"/>
  <c r="D19" i="3"/>
  <c r="AL18" i="3"/>
  <c r="AH18" i="3"/>
  <c r="AD18" i="3"/>
  <c r="S18" i="3"/>
  <c r="U18" i="3" s="1"/>
  <c r="L18" i="3"/>
  <c r="K18" i="3"/>
  <c r="E18" i="3"/>
  <c r="I18" i="3" s="1"/>
  <c r="D18" i="3"/>
  <c r="L17" i="3"/>
  <c r="K17" i="3"/>
  <c r="J17" i="3"/>
  <c r="E17" i="3"/>
  <c r="D17" i="3"/>
  <c r="AD16" i="3"/>
  <c r="Z16" i="3"/>
  <c r="S16" i="3"/>
  <c r="U16" i="3" s="1"/>
  <c r="M16" i="3"/>
  <c r="I16" i="3"/>
  <c r="D16" i="3"/>
  <c r="AJ14" i="3"/>
  <c r="AI14" i="3"/>
  <c r="AE14" i="3"/>
  <c r="AB14" i="3"/>
  <c r="D14" i="3"/>
  <c r="N13" i="3"/>
  <c r="L13" i="3"/>
  <c r="K13" i="3"/>
  <c r="J13" i="3"/>
  <c r="E13" i="3"/>
  <c r="D13" i="3"/>
  <c r="N12" i="3"/>
  <c r="L12" i="3"/>
  <c r="K12" i="3"/>
  <c r="J12" i="3"/>
  <c r="E12" i="3"/>
  <c r="D12" i="3"/>
  <c r="AL11" i="3"/>
  <c r="AF14" i="3"/>
  <c r="AA14" i="3"/>
  <c r="X14" i="3"/>
  <c r="W14" i="3"/>
  <c r="R11" i="3"/>
  <c r="L11" i="3"/>
  <c r="K11" i="3"/>
  <c r="J11" i="3"/>
  <c r="E11" i="3"/>
  <c r="I11" i="3" s="1"/>
  <c r="S11" i="3" s="1"/>
  <c r="U11" i="3" s="1"/>
  <c r="U14" i="3" s="1"/>
  <c r="D11" i="3"/>
  <c r="AL24" i="3" l="1"/>
  <c r="I25" i="4"/>
  <c r="AB25" i="4" s="1"/>
  <c r="Z24" i="3"/>
  <c r="I24" i="4"/>
  <c r="AB24" i="4" s="1"/>
  <c r="S64" i="4"/>
  <c r="Z32" i="4"/>
  <c r="I11" i="4"/>
  <c r="AG11" i="4" s="1"/>
  <c r="Z31" i="4"/>
  <c r="I31" i="4"/>
  <c r="AD24" i="3"/>
  <c r="I16" i="4"/>
  <c r="AB16" i="4" s="1"/>
  <c r="I32" i="4"/>
  <c r="L16" i="7"/>
  <c r="J61" i="7"/>
  <c r="L61" i="7" s="1"/>
  <c r="E20" i="3"/>
  <c r="E72" i="3"/>
  <c r="O72" i="3" s="1"/>
  <c r="I15" i="4"/>
  <c r="I17" i="4"/>
  <c r="I23" i="4"/>
  <c r="I29" i="4"/>
  <c r="AB29" i="4" s="1"/>
  <c r="U61" i="4"/>
  <c r="J60" i="7"/>
  <c r="J20" i="7"/>
  <c r="L17" i="7"/>
  <c r="I60" i="7"/>
  <c r="K20" i="3"/>
  <c r="K63" i="4"/>
  <c r="K64" i="4" s="1"/>
  <c r="J19" i="7"/>
  <c r="J64" i="7" s="1"/>
  <c r="J63" i="4"/>
  <c r="I19" i="7"/>
  <c r="I64" i="7" s="1"/>
  <c r="I65" i="7" s="1"/>
  <c r="K64" i="7"/>
  <c r="K60" i="7"/>
  <c r="L15" i="7"/>
  <c r="K20" i="7"/>
  <c r="L62" i="7"/>
  <c r="M42" i="3"/>
  <c r="N42" i="3" s="1"/>
  <c r="M90" i="3"/>
  <c r="AA90" i="3" s="1"/>
  <c r="X90" i="3"/>
  <c r="Y90" i="3" s="1"/>
  <c r="M41" i="3"/>
  <c r="N41" i="3" s="1"/>
  <c r="M19" i="3"/>
  <c r="AA19" i="3" s="1"/>
  <c r="K34" i="3"/>
  <c r="M28" i="3"/>
  <c r="N28" i="3" s="1"/>
  <c r="L20" i="3"/>
  <c r="M37" i="3"/>
  <c r="AA37" i="3" s="1"/>
  <c r="L34" i="3"/>
  <c r="K54" i="3"/>
  <c r="K55" i="3" s="1"/>
  <c r="M44" i="3"/>
  <c r="N44" i="3" s="1"/>
  <c r="Y60" i="3"/>
  <c r="M71" i="3"/>
  <c r="AA71" i="3" s="1"/>
  <c r="M89" i="3"/>
  <c r="N89" i="3" s="1"/>
  <c r="J20" i="3"/>
  <c r="M31" i="3"/>
  <c r="N31" i="3" s="1"/>
  <c r="Q31" i="3" s="1"/>
  <c r="R31" i="3" s="1"/>
  <c r="T31" i="3" s="1"/>
  <c r="M32" i="3"/>
  <c r="N32" i="3" s="1"/>
  <c r="Q32" i="3" s="1"/>
  <c r="R32" i="3" s="1"/>
  <c r="S32" i="3" s="1"/>
  <c r="M43" i="3"/>
  <c r="N43" i="3" s="1"/>
  <c r="M70" i="3"/>
  <c r="N70" i="3" s="1"/>
  <c r="N19" i="3"/>
  <c r="AB19" i="3" s="1"/>
  <c r="AC19" i="3" s="1"/>
  <c r="M29" i="3"/>
  <c r="N29" i="3" s="1"/>
  <c r="S42" i="3"/>
  <c r="U42" i="3" s="1"/>
  <c r="S44" i="3"/>
  <c r="M50" i="3"/>
  <c r="N50" i="3" s="1"/>
  <c r="K72" i="3"/>
  <c r="M52" i="3"/>
  <c r="N52" i="3" s="1"/>
  <c r="L64" i="3"/>
  <c r="K64" i="3"/>
  <c r="E74" i="3"/>
  <c r="E82" i="3"/>
  <c r="O82" i="3" s="1"/>
  <c r="X71" i="3"/>
  <c r="I17" i="3"/>
  <c r="I20" i="3" s="1"/>
  <c r="I21" i="3" s="1"/>
  <c r="M17" i="3"/>
  <c r="N17" i="3" s="1"/>
  <c r="Q17" i="3" s="1"/>
  <c r="Q20" i="3" s="1"/>
  <c r="Q21" i="3" s="1"/>
  <c r="M25" i="3"/>
  <c r="N25" i="3" s="1"/>
  <c r="Q25" i="3" s="1"/>
  <c r="R25" i="3" s="1"/>
  <c r="T25" i="3" s="1"/>
  <c r="M26" i="3"/>
  <c r="N26" i="3" s="1"/>
  <c r="Q26" i="3" s="1"/>
  <c r="R26" i="3" s="1"/>
  <c r="T26" i="3" s="1"/>
  <c r="M45" i="3"/>
  <c r="N45" i="3" s="1"/>
  <c r="M61" i="3"/>
  <c r="L72" i="3"/>
  <c r="J82" i="3"/>
  <c r="X89" i="3"/>
  <c r="Y89" i="3" s="1"/>
  <c r="E34" i="3"/>
  <c r="M38" i="3"/>
  <c r="N38" i="3" s="1"/>
  <c r="M40" i="3"/>
  <c r="N40" i="3" s="1"/>
  <c r="Q40" i="3" s="1"/>
  <c r="R40" i="3" s="1"/>
  <c r="S40" i="3" s="1"/>
  <c r="M47" i="3"/>
  <c r="N47" i="3" s="1"/>
  <c r="M60" i="3"/>
  <c r="AA60" i="3" s="1"/>
  <c r="M63" i="3"/>
  <c r="AA63" i="3" s="1"/>
  <c r="K82" i="3"/>
  <c r="M87" i="3"/>
  <c r="N87" i="3" s="1"/>
  <c r="H20" i="4"/>
  <c r="E36" i="4"/>
  <c r="AB11" i="4"/>
  <c r="N219" i="2"/>
  <c r="N220" i="2" s="1"/>
  <c r="J21" i="5"/>
  <c r="J22" i="5" s="1"/>
  <c r="L22" i="5" s="1"/>
  <c r="L76" i="1"/>
  <c r="AG29" i="4"/>
  <c r="E80" i="4"/>
  <c r="I57" i="4"/>
  <c r="AG16" i="4"/>
  <c r="C80" i="4"/>
  <c r="C84" i="4" s="1"/>
  <c r="Q73" i="4"/>
  <c r="D80" i="4"/>
  <c r="D84" i="4" s="1"/>
  <c r="E82" i="4" s="1"/>
  <c r="F80" i="4"/>
  <c r="M56" i="4"/>
  <c r="F36" i="4"/>
  <c r="U62" i="4"/>
  <c r="Z62" i="4" s="1"/>
  <c r="N70" i="4"/>
  <c r="V64" i="4"/>
  <c r="Z75" i="4"/>
  <c r="Z76" i="4"/>
  <c r="D36" i="4"/>
  <c r="D40" i="4" s="1"/>
  <c r="AG12" i="4"/>
  <c r="AG57" i="4"/>
  <c r="AB57" i="4"/>
  <c r="Y60" i="4"/>
  <c r="Z60" i="4" s="1"/>
  <c r="K20" i="4"/>
  <c r="I76" i="4"/>
  <c r="AB76" i="4" s="1"/>
  <c r="Z57" i="4"/>
  <c r="V70" i="4"/>
  <c r="J70" i="4"/>
  <c r="J64" i="4"/>
  <c r="U73" i="4"/>
  <c r="M73" i="4"/>
  <c r="Z17" i="4"/>
  <c r="W64" i="4"/>
  <c r="Z58" i="4"/>
  <c r="Y68" i="4"/>
  <c r="I68" i="4" s="1"/>
  <c r="AB68" i="4" s="1"/>
  <c r="R64" i="4"/>
  <c r="C36" i="4"/>
  <c r="C40" i="4" s="1"/>
  <c r="Z24" i="4"/>
  <c r="R70" i="4"/>
  <c r="I75" i="4"/>
  <c r="Z18" i="4"/>
  <c r="I58" i="4"/>
  <c r="T70" i="4"/>
  <c r="U67" i="4"/>
  <c r="U70" i="4" s="1"/>
  <c r="U56" i="4"/>
  <c r="I69" i="4"/>
  <c r="AB69" i="4" s="1"/>
  <c r="Z11" i="4"/>
  <c r="Z15" i="4"/>
  <c r="X63" i="4"/>
  <c r="Y19" i="4"/>
  <c r="Y20" i="4" s="1"/>
  <c r="O20" i="4"/>
  <c r="N20" i="4"/>
  <c r="J20" i="4"/>
  <c r="Q26" i="4"/>
  <c r="Y73" i="4"/>
  <c r="M26" i="4"/>
  <c r="Y61" i="4"/>
  <c r="Z61" i="4" s="1"/>
  <c r="Z25" i="4"/>
  <c r="Q56" i="4"/>
  <c r="Z23" i="4"/>
  <c r="T63" i="4"/>
  <c r="U63" i="4" s="1"/>
  <c r="U19" i="4"/>
  <c r="U20" i="4" s="1"/>
  <c r="T20" i="4"/>
  <c r="Z16" i="4"/>
  <c r="AG76" i="4"/>
  <c r="AI76" i="4" s="1"/>
  <c r="R20" i="4"/>
  <c r="N64" i="4"/>
  <c r="Z69" i="4"/>
  <c r="Y59" i="4"/>
  <c r="Z59" i="4" s="1"/>
  <c r="P70" i="4"/>
  <c r="Q67" i="4"/>
  <c r="Q70" i="4" s="1"/>
  <c r="L63" i="4"/>
  <c r="M19" i="4"/>
  <c r="L70" i="4"/>
  <c r="M67" i="4"/>
  <c r="Z29" i="4"/>
  <c r="U26" i="4"/>
  <c r="P63" i="4"/>
  <c r="Q63" i="4" s="1"/>
  <c r="Q19" i="4"/>
  <c r="Q20" i="4" s="1"/>
  <c r="V20" i="4"/>
  <c r="L20" i="4"/>
  <c r="Y26" i="4"/>
  <c r="AG13" i="4"/>
  <c r="AB13" i="4"/>
  <c r="O89" i="2"/>
  <c r="O90" i="2"/>
  <c r="O91" i="2"/>
  <c r="L87" i="2"/>
  <c r="L244" i="2" s="1"/>
  <c r="J244" i="2"/>
  <c r="K247" i="2"/>
  <c r="C198" i="2"/>
  <c r="N247" i="2"/>
  <c r="G198" i="2"/>
  <c r="C200" i="2"/>
  <c r="M76" i="2"/>
  <c r="M238" i="2" s="1"/>
  <c r="L238" i="2"/>
  <c r="F200" i="2"/>
  <c r="E201" i="2"/>
  <c r="E197" i="2"/>
  <c r="H197" i="2"/>
  <c r="H200" i="2"/>
  <c r="E200" i="2"/>
  <c r="H201" i="2"/>
  <c r="G197" i="2"/>
  <c r="C197" i="2"/>
  <c r="L56" i="2"/>
  <c r="D197" i="2"/>
  <c r="D200" i="2"/>
  <c r="G201" i="2"/>
  <c r="C201" i="2"/>
  <c r="F197" i="2"/>
  <c r="H198" i="2"/>
  <c r="G200" i="2"/>
  <c r="L52" i="2"/>
  <c r="L193" i="2" s="1"/>
  <c r="J193" i="2"/>
  <c r="K70" i="2"/>
  <c r="K201" i="2"/>
  <c r="K219" i="2" s="1"/>
  <c r="M58" i="2"/>
  <c r="L199" i="2"/>
  <c r="C70" i="2"/>
  <c r="M67" i="2"/>
  <c r="O67" i="2" s="1"/>
  <c r="L14" i="3"/>
  <c r="U85" i="3"/>
  <c r="V68" i="3"/>
  <c r="V38" i="3"/>
  <c r="V45" i="3"/>
  <c r="V52" i="3"/>
  <c r="V53" i="3"/>
  <c r="N92" i="2"/>
  <c r="N77" i="2"/>
  <c r="N78" i="2" s="1"/>
  <c r="M59" i="2"/>
  <c r="O59" i="2" s="1"/>
  <c r="L60" i="2"/>
  <c r="M60" i="2" s="1"/>
  <c r="O60" i="2" s="1"/>
  <c r="K92" i="2"/>
  <c r="O88" i="2"/>
  <c r="K77" i="2"/>
  <c r="K78" i="2" s="1"/>
  <c r="V24" i="3"/>
  <c r="T40" i="3"/>
  <c r="S31" i="3"/>
  <c r="AL14" i="3"/>
  <c r="AL16" i="3"/>
  <c r="AI19" i="3"/>
  <c r="W19" i="3"/>
  <c r="X19" i="3" s="1"/>
  <c r="Y19" i="3" s="1"/>
  <c r="I54" i="3"/>
  <c r="S38" i="3"/>
  <c r="U38" i="3" s="1"/>
  <c r="AH39" i="3"/>
  <c r="Z40" i="3"/>
  <c r="T48" i="3"/>
  <c r="S48" i="3"/>
  <c r="V48" i="3"/>
  <c r="T52" i="3"/>
  <c r="S52" i="3"/>
  <c r="U52" i="3" s="1"/>
  <c r="J54" i="3"/>
  <c r="AI64" i="3"/>
  <c r="AJ59" i="3"/>
  <c r="S70" i="3"/>
  <c r="U70" i="3" s="1"/>
  <c r="I72" i="3"/>
  <c r="I74" i="3" s="1"/>
  <c r="N90" i="3"/>
  <c r="AD11" i="3"/>
  <c r="AD14" i="3" s="1"/>
  <c r="E14" i="3"/>
  <c r="E21" i="3" s="1"/>
  <c r="AH16" i="3"/>
  <c r="M18" i="3"/>
  <c r="N18" i="3" s="1"/>
  <c r="M24" i="3"/>
  <c r="N24" i="3" s="1"/>
  <c r="Q24" i="3" s="1"/>
  <c r="I26" i="3"/>
  <c r="I34" i="3" s="1"/>
  <c r="V27" i="3"/>
  <c r="S28" i="3"/>
  <c r="U28" i="3" s="1"/>
  <c r="T28" i="3"/>
  <c r="AD30" i="3"/>
  <c r="Z31" i="3"/>
  <c r="AF54" i="3"/>
  <c r="AG36" i="3"/>
  <c r="AG54" i="3" s="1"/>
  <c r="AL40" i="3"/>
  <c r="V40" i="3" s="1"/>
  <c r="AK60" i="3"/>
  <c r="AG61" i="3"/>
  <c r="AF64" i="3"/>
  <c r="AJ63" i="3"/>
  <c r="X63" i="3"/>
  <c r="Y63" i="3" s="1"/>
  <c r="T69" i="3"/>
  <c r="S69" i="3"/>
  <c r="U69" i="3" s="1"/>
  <c r="R72" i="3"/>
  <c r="Z18" i="3"/>
  <c r="V18" i="3" s="1"/>
  <c r="Y37" i="3"/>
  <c r="T45" i="3"/>
  <c r="S45" i="3"/>
  <c r="T53" i="3"/>
  <c r="S53" i="3"/>
  <c r="U53" i="3" s="1"/>
  <c r="AG64" i="3"/>
  <c r="AL72" i="3"/>
  <c r="AL74" i="3" s="1"/>
  <c r="K14" i="3"/>
  <c r="K21" i="3" s="1"/>
  <c r="M11" i="3"/>
  <c r="N11" i="3" s="1"/>
  <c r="AH11" i="3"/>
  <c r="AH14" i="3" s="1"/>
  <c r="AD32" i="3"/>
  <c r="L54" i="3"/>
  <c r="Z11" i="3"/>
  <c r="Z14" i="3" s="1"/>
  <c r="J14" i="3"/>
  <c r="J34" i="3"/>
  <c r="M23" i="3"/>
  <c r="X23" i="3"/>
  <c r="AK23" i="3" s="1"/>
  <c r="V29" i="3"/>
  <c r="AL31" i="3"/>
  <c r="V31" i="3" s="1"/>
  <c r="V33" i="3"/>
  <c r="Y36" i="3"/>
  <c r="X54" i="3"/>
  <c r="AK37" i="3"/>
  <c r="M39" i="3"/>
  <c r="N39" i="3" s="1"/>
  <c r="Q39" i="3" s="1"/>
  <c r="T47" i="3"/>
  <c r="S47" i="3"/>
  <c r="U47" i="3" s="1"/>
  <c r="V47" i="3"/>
  <c r="T50" i="3"/>
  <c r="S50" i="3"/>
  <c r="U50" i="3" s="1"/>
  <c r="V50" i="3"/>
  <c r="AH77" i="3"/>
  <c r="AE92" i="3"/>
  <c r="AH85" i="3"/>
  <c r="AH46" i="3"/>
  <c r="AH49" i="3"/>
  <c r="X67" i="3"/>
  <c r="J72" i="3"/>
  <c r="M67" i="3"/>
  <c r="T72" i="3"/>
  <c r="T74" i="3" s="1"/>
  <c r="R82" i="3"/>
  <c r="S77" i="3"/>
  <c r="U77" i="3" s="1"/>
  <c r="Y14" i="3"/>
  <c r="AC14" i="3"/>
  <c r="AG14" i="3"/>
  <c r="AK14" i="3"/>
  <c r="Z30" i="3"/>
  <c r="Z32" i="3"/>
  <c r="E54" i="3"/>
  <c r="AD39" i="3"/>
  <c r="AL42" i="3"/>
  <c r="T44" i="3"/>
  <c r="U44" i="3" s="1"/>
  <c r="Z44" i="3"/>
  <c r="AD46" i="3"/>
  <c r="AD49" i="3"/>
  <c r="T51" i="3"/>
  <c r="U51" i="3" s="1"/>
  <c r="Z51" i="3"/>
  <c r="J64" i="3"/>
  <c r="X59" i="3"/>
  <c r="N63" i="3"/>
  <c r="Z72" i="3"/>
  <c r="Z74" i="3" s="1"/>
  <c r="M69" i="3"/>
  <c r="N69" i="3" s="1"/>
  <c r="AI71" i="3"/>
  <c r="AJ71" i="3" s="1"/>
  <c r="AD44" i="3"/>
  <c r="AD51" i="3"/>
  <c r="X61" i="3"/>
  <c r="V69" i="3"/>
  <c r="L82" i="3"/>
  <c r="N16" i="3"/>
  <c r="AL30" i="3"/>
  <c r="V30" i="3" s="1"/>
  <c r="AL32" i="3"/>
  <c r="M36" i="3"/>
  <c r="W54" i="3"/>
  <c r="AI54" i="3"/>
  <c r="AJ36" i="3"/>
  <c r="Z39" i="3"/>
  <c r="S41" i="3"/>
  <c r="U41" i="3" s="1"/>
  <c r="AH42" i="3"/>
  <c r="AL44" i="3"/>
  <c r="Z46" i="3"/>
  <c r="Z49" i="3"/>
  <c r="AL51" i="3"/>
  <c r="M62" i="3"/>
  <c r="X62" i="3"/>
  <c r="Y62" i="3" s="1"/>
  <c r="AF67" i="3"/>
  <c r="AL70" i="3"/>
  <c r="AL77" i="3"/>
  <c r="T78" i="3"/>
  <c r="S78" i="3"/>
  <c r="U78" i="3" s="1"/>
  <c r="Z78" i="3" s="1"/>
  <c r="AL85" i="3"/>
  <c r="G95" i="3"/>
  <c r="M59" i="3"/>
  <c r="AE64" i="3"/>
  <c r="AE74" i="3" s="1"/>
  <c r="AH70" i="3"/>
  <c r="AH72" i="3" s="1"/>
  <c r="AH74" i="3" s="1"/>
  <c r="AD77" i="3"/>
  <c r="T79" i="3"/>
  <c r="S79" i="3"/>
  <c r="Z81" i="3"/>
  <c r="M85" i="3"/>
  <c r="AD85" i="3"/>
  <c r="AF92" i="3"/>
  <c r="E92" i="3"/>
  <c r="AH88" i="3"/>
  <c r="AI91" i="3"/>
  <c r="W91" i="3"/>
  <c r="X91" i="3" s="1"/>
  <c r="Y91" i="3" s="1"/>
  <c r="M68" i="3"/>
  <c r="N68" i="3" s="1"/>
  <c r="AD70" i="3"/>
  <c r="AD72" i="3" s="1"/>
  <c r="AD74" i="3" s="1"/>
  <c r="N77" i="3"/>
  <c r="S81" i="3"/>
  <c r="U81" i="3" s="1"/>
  <c r="Z85" i="3"/>
  <c r="Z86" i="3"/>
  <c r="I87" i="3"/>
  <c r="S87" i="3" s="1"/>
  <c r="U87" i="3" s="1"/>
  <c r="AJ89" i="3"/>
  <c r="F95" i="3"/>
  <c r="M78" i="3"/>
  <c r="N78" i="3" s="1"/>
  <c r="M79" i="3"/>
  <c r="N79" i="3" s="1"/>
  <c r="AL81" i="3"/>
  <c r="AL86" i="3"/>
  <c r="AD88" i="3"/>
  <c r="U100" i="3"/>
  <c r="V80" i="3"/>
  <c r="AH81" i="3"/>
  <c r="H93" i="3"/>
  <c r="H95" i="3" s="1"/>
  <c r="AH86" i="3"/>
  <c r="T88" i="3"/>
  <c r="U88" i="3" s="1"/>
  <c r="Z88" i="3"/>
  <c r="AJ90" i="3"/>
  <c r="AA91" i="3"/>
  <c r="AB91" i="3" s="1"/>
  <c r="AC91" i="3" s="1"/>
  <c r="Q92" i="3"/>
  <c r="Q93" i="3" s="1"/>
  <c r="AG92" i="3"/>
  <c r="G13" i="1"/>
  <c r="I143" i="2"/>
  <c r="I130" i="2"/>
  <c r="I127" i="2"/>
  <c r="I18" i="2" s="1"/>
  <c r="I54" i="2" s="1"/>
  <c r="I125" i="2"/>
  <c r="I124" i="2"/>
  <c r="H116" i="2"/>
  <c r="H114" i="2"/>
  <c r="H112" i="2"/>
  <c r="H111" i="2"/>
  <c r="H110" i="2"/>
  <c r="H109" i="2"/>
  <c r="H106" i="2"/>
  <c r="H103" i="2"/>
  <c r="H100" i="2"/>
  <c r="H98" i="2"/>
  <c r="O95" i="2"/>
  <c r="J95" i="2"/>
  <c r="I95" i="2"/>
  <c r="H95" i="2"/>
  <c r="G95" i="2"/>
  <c r="F95" i="2"/>
  <c r="E95" i="2"/>
  <c r="D95" i="2"/>
  <c r="C95" i="2"/>
  <c r="L75" i="2"/>
  <c r="L237" i="2" s="1"/>
  <c r="I75" i="2"/>
  <c r="I237" i="2" s="1"/>
  <c r="H75" i="2"/>
  <c r="H237" i="2" s="1"/>
  <c r="G75" i="2"/>
  <c r="G237" i="2" s="1"/>
  <c r="F75" i="2"/>
  <c r="F237" i="2" s="1"/>
  <c r="E75" i="2"/>
  <c r="E237" i="2" s="1"/>
  <c r="D75" i="2"/>
  <c r="D237" i="2" s="1"/>
  <c r="C75" i="2"/>
  <c r="C237" i="2" s="1"/>
  <c r="C74" i="2"/>
  <c r="C236" i="2" s="1"/>
  <c r="L73" i="2"/>
  <c r="L239" i="2" s="1"/>
  <c r="H73" i="2"/>
  <c r="H239" i="2" s="1"/>
  <c r="G73" i="2"/>
  <c r="G239" i="2" s="1"/>
  <c r="F73" i="2"/>
  <c r="F239" i="2" s="1"/>
  <c r="E73" i="2"/>
  <c r="E239" i="2" s="1"/>
  <c r="D73" i="2"/>
  <c r="D239" i="2" s="1"/>
  <c r="C73" i="2"/>
  <c r="C239" i="2" s="1"/>
  <c r="C72" i="2"/>
  <c r="C194" i="2" s="1"/>
  <c r="C195" i="2" s="1"/>
  <c r="I87" i="2"/>
  <c r="I244" i="2" s="1"/>
  <c r="H87" i="2"/>
  <c r="H244" i="2" s="1"/>
  <c r="G87" i="2"/>
  <c r="G244" i="2" s="1"/>
  <c r="F87" i="2"/>
  <c r="F244" i="2" s="1"/>
  <c r="E87" i="2"/>
  <c r="E244" i="2" s="1"/>
  <c r="D87" i="2"/>
  <c r="D244" i="2" s="1"/>
  <c r="C87" i="2"/>
  <c r="C244" i="2" s="1"/>
  <c r="J86" i="2"/>
  <c r="I86" i="2"/>
  <c r="I243" i="2" s="1"/>
  <c r="H86" i="2"/>
  <c r="H243" i="2" s="1"/>
  <c r="F86" i="2"/>
  <c r="F243" i="2" s="1"/>
  <c r="E86" i="2"/>
  <c r="E243" i="2" s="1"/>
  <c r="D86" i="2"/>
  <c r="D243" i="2" s="1"/>
  <c r="C86" i="2"/>
  <c r="C243" i="2" s="1"/>
  <c r="I85" i="2"/>
  <c r="I229" i="2" s="1"/>
  <c r="H85" i="2"/>
  <c r="H229" i="2" s="1"/>
  <c r="G85" i="2"/>
  <c r="G229" i="2" s="1"/>
  <c r="F85" i="2"/>
  <c r="F229" i="2" s="1"/>
  <c r="E85" i="2"/>
  <c r="E229" i="2" s="1"/>
  <c r="D85" i="2"/>
  <c r="D229" i="2" s="1"/>
  <c r="C85" i="2"/>
  <c r="C229" i="2" s="1"/>
  <c r="J83" i="2"/>
  <c r="I83" i="2"/>
  <c r="I226" i="2" s="1"/>
  <c r="H83" i="2"/>
  <c r="H226" i="2" s="1"/>
  <c r="G83" i="2"/>
  <c r="G226" i="2" s="1"/>
  <c r="F83" i="2"/>
  <c r="F226" i="2" s="1"/>
  <c r="E83" i="2"/>
  <c r="E226" i="2" s="1"/>
  <c r="D83" i="2"/>
  <c r="D226" i="2" s="1"/>
  <c r="C83" i="2"/>
  <c r="C226" i="2" s="1"/>
  <c r="J82" i="2"/>
  <c r="I82" i="2"/>
  <c r="I225" i="2" s="1"/>
  <c r="H82" i="2"/>
  <c r="H225" i="2" s="1"/>
  <c r="G82" i="2"/>
  <c r="G225" i="2" s="1"/>
  <c r="F82" i="2"/>
  <c r="F225" i="2" s="1"/>
  <c r="E82" i="2"/>
  <c r="E225" i="2" s="1"/>
  <c r="D82" i="2"/>
  <c r="D225" i="2" s="1"/>
  <c r="C82" i="2"/>
  <c r="C225" i="2" s="1"/>
  <c r="J81" i="2"/>
  <c r="I81" i="2"/>
  <c r="I224" i="2" s="1"/>
  <c r="I227" i="2" s="1"/>
  <c r="H81" i="2"/>
  <c r="H224" i="2" s="1"/>
  <c r="H227" i="2" s="1"/>
  <c r="G81" i="2"/>
  <c r="G224" i="2" s="1"/>
  <c r="G227" i="2" s="1"/>
  <c r="F81" i="2"/>
  <c r="F224" i="2" s="1"/>
  <c r="F227" i="2" s="1"/>
  <c r="E81" i="2"/>
  <c r="E224" i="2" s="1"/>
  <c r="E227" i="2" s="1"/>
  <c r="D81" i="2"/>
  <c r="D224" i="2" s="1"/>
  <c r="D227" i="2" s="1"/>
  <c r="C81" i="2"/>
  <c r="C224" i="2" s="1"/>
  <c r="C227" i="2" s="1"/>
  <c r="O43" i="2"/>
  <c r="O38" i="2"/>
  <c r="J37" i="2"/>
  <c r="I36" i="2"/>
  <c r="I73" i="2" s="1"/>
  <c r="I239" i="2" s="1"/>
  <c r="J35" i="2"/>
  <c r="H35" i="2"/>
  <c r="H72" i="2" s="1"/>
  <c r="H194" i="2" s="1"/>
  <c r="G35" i="2"/>
  <c r="G72" i="2" s="1"/>
  <c r="G194" i="2" s="1"/>
  <c r="F35" i="2"/>
  <c r="F72" i="2" s="1"/>
  <c r="F194" i="2" s="1"/>
  <c r="E35" i="2"/>
  <c r="E72" i="2" s="1"/>
  <c r="E194" i="2" s="1"/>
  <c r="E195" i="2" s="1"/>
  <c r="D35" i="2"/>
  <c r="D72" i="2" s="1"/>
  <c r="D194" i="2" s="1"/>
  <c r="D195" i="2" s="1"/>
  <c r="J34" i="2"/>
  <c r="I34" i="2"/>
  <c r="I71" i="2" s="1"/>
  <c r="I235" i="2" s="1"/>
  <c r="I241" i="2" s="1"/>
  <c r="H34" i="2"/>
  <c r="H71" i="2" s="1"/>
  <c r="H235" i="2" s="1"/>
  <c r="H241" i="2" s="1"/>
  <c r="G34" i="2"/>
  <c r="G71" i="2" s="1"/>
  <c r="G235" i="2" s="1"/>
  <c r="G241" i="2" s="1"/>
  <c r="F34" i="2"/>
  <c r="F71" i="2" s="1"/>
  <c r="F235" i="2" s="1"/>
  <c r="F241" i="2" s="1"/>
  <c r="E34" i="2"/>
  <c r="E71" i="2" s="1"/>
  <c r="E235" i="2" s="1"/>
  <c r="E241" i="2" s="1"/>
  <c r="C34" i="2"/>
  <c r="C71" i="2" s="1"/>
  <c r="C235" i="2" s="1"/>
  <c r="C33" i="2"/>
  <c r="J32" i="2"/>
  <c r="J69" i="2" s="1"/>
  <c r="I32" i="2"/>
  <c r="I69" i="2" s="1"/>
  <c r="J31" i="2"/>
  <c r="O30" i="2"/>
  <c r="J29" i="2"/>
  <c r="J28" i="2"/>
  <c r="J65" i="2" s="1"/>
  <c r="L65" i="2" s="1"/>
  <c r="M65" i="2" s="1"/>
  <c r="O65" i="2" s="1"/>
  <c r="P27" i="2"/>
  <c r="I27" i="2"/>
  <c r="J26" i="2"/>
  <c r="J63" i="2" s="1"/>
  <c r="L63" i="2" s="1"/>
  <c r="I26" i="2"/>
  <c r="I63" i="2" s="1"/>
  <c r="J25" i="2"/>
  <c r="J62" i="2" s="1"/>
  <c r="I25" i="2"/>
  <c r="I62" i="2" s="1"/>
  <c r="I24" i="2"/>
  <c r="I61" i="2" s="1"/>
  <c r="F24" i="2"/>
  <c r="F61" i="2" s="1"/>
  <c r="F198" i="2" s="1"/>
  <c r="E24" i="2"/>
  <c r="E61" i="2" s="1"/>
  <c r="E70" i="2" s="1"/>
  <c r="D24" i="2"/>
  <c r="D61" i="2" s="1"/>
  <c r="D198" i="2" s="1"/>
  <c r="O23" i="2"/>
  <c r="O22" i="2"/>
  <c r="F21" i="2"/>
  <c r="F57" i="2" s="1"/>
  <c r="M57" i="2" s="1"/>
  <c r="O57" i="2" s="1"/>
  <c r="I20" i="2"/>
  <c r="I56" i="2" s="1"/>
  <c r="I19" i="2"/>
  <c r="J18" i="2"/>
  <c r="J54" i="2" s="1"/>
  <c r="I17" i="2"/>
  <c r="I53" i="2" s="1"/>
  <c r="F17" i="2"/>
  <c r="F53" i="2" s="1"/>
  <c r="D17" i="2"/>
  <c r="I16" i="2"/>
  <c r="I52" i="2" s="1"/>
  <c r="I193" i="2" s="1"/>
  <c r="H16" i="2"/>
  <c r="H52" i="2" s="1"/>
  <c r="G16" i="2"/>
  <c r="G52" i="2" s="1"/>
  <c r="F16" i="2"/>
  <c r="O11" i="2"/>
  <c r="G10" i="2"/>
  <c r="G86" i="2" s="1"/>
  <c r="G243" i="2" s="1"/>
  <c r="J9" i="2"/>
  <c r="J85" i="2" s="1"/>
  <c r="J8" i="2"/>
  <c r="J84" i="2" s="1"/>
  <c r="I8" i="2"/>
  <c r="I12" i="2" s="1"/>
  <c r="I92" i="2" s="1"/>
  <c r="H8" i="2"/>
  <c r="H84" i="2" s="1"/>
  <c r="G8" i="2"/>
  <c r="G84" i="2" s="1"/>
  <c r="F8" i="2"/>
  <c r="F84" i="2" s="1"/>
  <c r="E8" i="2"/>
  <c r="E84" i="2" s="1"/>
  <c r="D8" i="2"/>
  <c r="D84" i="2" s="1"/>
  <c r="C8" i="2"/>
  <c r="C84" i="2" s="1"/>
  <c r="O7" i="2"/>
  <c r="O6" i="2"/>
  <c r="O5" i="2"/>
  <c r="O35" i="1"/>
  <c r="L32" i="1"/>
  <c r="O20" i="1"/>
  <c r="O19" i="1"/>
  <c r="O18" i="1"/>
  <c r="O17" i="1"/>
  <c r="O31" i="1"/>
  <c r="O30" i="1"/>
  <c r="O29" i="1"/>
  <c r="O28" i="1"/>
  <c r="O16" i="1"/>
  <c r="F43" i="1"/>
  <c r="F32" i="1"/>
  <c r="L64" i="7" l="1"/>
  <c r="I61" i="4"/>
  <c r="L74" i="3"/>
  <c r="Y64" i="7"/>
  <c r="H64" i="7"/>
  <c r="H17" i="7"/>
  <c r="Y17" i="7"/>
  <c r="H61" i="7"/>
  <c r="Y61" i="7"/>
  <c r="H62" i="7"/>
  <c r="Y62" i="7"/>
  <c r="J65" i="7"/>
  <c r="Y16" i="7"/>
  <c r="H16" i="7"/>
  <c r="AB32" i="4"/>
  <c r="AG32" i="4"/>
  <c r="M20" i="4"/>
  <c r="I20" i="4" s="1"/>
  <c r="I19" i="4"/>
  <c r="E84" i="4"/>
  <c r="F82" i="4" s="1"/>
  <c r="H15" i="7"/>
  <c r="Y15" i="7"/>
  <c r="AB23" i="4"/>
  <c r="AG23" i="4"/>
  <c r="M63" i="4"/>
  <c r="M64" i="4" s="1"/>
  <c r="I26" i="4"/>
  <c r="L60" i="7"/>
  <c r="K65" i="7"/>
  <c r="I20" i="7"/>
  <c r="AB17" i="4"/>
  <c r="AG17" i="4"/>
  <c r="U31" i="3"/>
  <c r="L19" i="7"/>
  <c r="AG15" i="4"/>
  <c r="AK16" i="4" s="1"/>
  <c r="AB15" i="4"/>
  <c r="AB31" i="4"/>
  <c r="AG31" i="4"/>
  <c r="F84" i="4"/>
  <c r="G82" i="4" s="1"/>
  <c r="G84" i="4" s="1"/>
  <c r="K74" i="3"/>
  <c r="AK71" i="3"/>
  <c r="X92" i="3"/>
  <c r="L21" i="3"/>
  <c r="R17" i="3"/>
  <c r="AK90" i="3"/>
  <c r="T32" i="3"/>
  <c r="L55" i="3"/>
  <c r="J55" i="3"/>
  <c r="N71" i="3"/>
  <c r="AB71" i="3" s="1"/>
  <c r="AC71" i="3" s="1"/>
  <c r="N37" i="3"/>
  <c r="AA89" i="3"/>
  <c r="AB89" i="3" s="1"/>
  <c r="I55" i="3"/>
  <c r="I56" i="3" s="1"/>
  <c r="S25" i="3"/>
  <c r="U25" i="3" s="1"/>
  <c r="W25" i="3" s="1"/>
  <c r="M20" i="3"/>
  <c r="N20" i="3" s="1"/>
  <c r="N60" i="3"/>
  <c r="AB60" i="3" s="1"/>
  <c r="AC60" i="3" s="1"/>
  <c r="E93" i="3"/>
  <c r="E55" i="3"/>
  <c r="E56" i="3" s="1"/>
  <c r="K56" i="3"/>
  <c r="AK63" i="3"/>
  <c r="AK89" i="3"/>
  <c r="Y92" i="3"/>
  <c r="Y54" i="3"/>
  <c r="AB90" i="3"/>
  <c r="AC90" i="3" s="1"/>
  <c r="X72" i="3"/>
  <c r="Y71" i="3"/>
  <c r="U40" i="3"/>
  <c r="AA61" i="3"/>
  <c r="N61" i="3"/>
  <c r="M82" i="3"/>
  <c r="K220" i="2"/>
  <c r="K232" i="2" s="1"/>
  <c r="F246" i="2"/>
  <c r="F247" i="2" s="1"/>
  <c r="L21" i="5"/>
  <c r="F20" i="1"/>
  <c r="F21" i="1" s="1"/>
  <c r="J32" i="1"/>
  <c r="H36" i="4"/>
  <c r="E40" i="4"/>
  <c r="F38" i="4" s="1"/>
  <c r="F40" i="4" s="1"/>
  <c r="I62" i="4"/>
  <c r="AG62" i="4" s="1"/>
  <c r="AI62" i="4" s="1"/>
  <c r="Y70" i="4"/>
  <c r="Q64" i="4"/>
  <c r="Z68" i="4"/>
  <c r="I60" i="4"/>
  <c r="AB60" i="4" s="1"/>
  <c r="AG75" i="4"/>
  <c r="AI75" i="4" s="1"/>
  <c r="AB75" i="4"/>
  <c r="I59" i="4"/>
  <c r="AB59" i="4" s="1"/>
  <c r="AB58" i="4"/>
  <c r="AG58" i="4"/>
  <c r="Z26" i="4"/>
  <c r="P64" i="4"/>
  <c r="Z73" i="4"/>
  <c r="Z19" i="4"/>
  <c r="L64" i="4"/>
  <c r="AG18" i="4"/>
  <c r="AB18" i="4"/>
  <c r="I56" i="4"/>
  <c r="M70" i="4"/>
  <c r="Z70" i="4" s="1"/>
  <c r="I67" i="4"/>
  <c r="Y63" i="4"/>
  <c r="X64" i="4"/>
  <c r="Z20" i="4"/>
  <c r="U64" i="4"/>
  <c r="AG61" i="4"/>
  <c r="AI61" i="4" s="1"/>
  <c r="AB61" i="4"/>
  <c r="Z56" i="4"/>
  <c r="Z67" i="4"/>
  <c r="I73" i="4"/>
  <c r="T64" i="4"/>
  <c r="C246" i="2"/>
  <c r="G246" i="2"/>
  <c r="G247" i="2" s="1"/>
  <c r="C241" i="2"/>
  <c r="D241" i="2"/>
  <c r="D246" i="2"/>
  <c r="H246" i="2"/>
  <c r="H247" i="2" s="1"/>
  <c r="L86" i="2"/>
  <c r="L243" i="2" s="1"/>
  <c r="L246" i="2" s="1"/>
  <c r="J243" i="2"/>
  <c r="J246" i="2" s="1"/>
  <c r="E246" i="2"/>
  <c r="E247" i="2" s="1"/>
  <c r="I246" i="2"/>
  <c r="I247" i="2" s="1"/>
  <c r="C231" i="2"/>
  <c r="G231" i="2"/>
  <c r="D231" i="2"/>
  <c r="H231" i="2"/>
  <c r="L85" i="2"/>
  <c r="L229" i="2" s="1"/>
  <c r="J229" i="2"/>
  <c r="E231" i="2"/>
  <c r="I231" i="2"/>
  <c r="O76" i="2"/>
  <c r="O238" i="2" s="1"/>
  <c r="O241" i="2" s="1"/>
  <c r="L81" i="2"/>
  <c r="L224" i="2" s="1"/>
  <c r="J224" i="2"/>
  <c r="L82" i="2"/>
  <c r="L225" i="2" s="1"/>
  <c r="J225" i="2"/>
  <c r="L83" i="2"/>
  <c r="L226" i="2" s="1"/>
  <c r="J226" i="2"/>
  <c r="F231" i="2"/>
  <c r="L62" i="2"/>
  <c r="L197" i="2" s="1"/>
  <c r="J197" i="2"/>
  <c r="L69" i="2"/>
  <c r="L200" i="2" s="1"/>
  <c r="J200" i="2"/>
  <c r="E198" i="2"/>
  <c r="E219" i="2" s="1"/>
  <c r="E220" i="2" s="1"/>
  <c r="G219" i="2"/>
  <c r="G70" i="2"/>
  <c r="G193" i="2"/>
  <c r="G195" i="2" s="1"/>
  <c r="M56" i="2"/>
  <c r="O56" i="2" s="1"/>
  <c r="I198" i="2"/>
  <c r="H219" i="2"/>
  <c r="H70" i="2"/>
  <c r="H193" i="2"/>
  <c r="H195" i="2" s="1"/>
  <c r="M63" i="2"/>
  <c r="O63" i="2" s="1"/>
  <c r="I200" i="2"/>
  <c r="F201" i="2"/>
  <c r="F219" i="2" s="1"/>
  <c r="C219" i="2"/>
  <c r="O58" i="2"/>
  <c r="O199" i="2" s="1"/>
  <c r="M199" i="2"/>
  <c r="M61" i="2"/>
  <c r="O61" i="2" s="1"/>
  <c r="O19" i="2"/>
  <c r="I55" i="2"/>
  <c r="J72" i="2"/>
  <c r="J194" i="2" s="1"/>
  <c r="J195" i="2" s="1"/>
  <c r="O20" i="2"/>
  <c r="J71" i="2"/>
  <c r="O37" i="2"/>
  <c r="J74" i="2"/>
  <c r="M75" i="2"/>
  <c r="M237" i="2" s="1"/>
  <c r="M256" i="2" s="1"/>
  <c r="O16" i="2"/>
  <c r="F52" i="2"/>
  <c r="O17" i="2"/>
  <c r="D53" i="2"/>
  <c r="H33" i="2"/>
  <c r="H39" i="2" s="1"/>
  <c r="AD54" i="3"/>
  <c r="AH92" i="3"/>
  <c r="V81" i="3"/>
  <c r="AH54" i="3"/>
  <c r="V39" i="3"/>
  <c r="V44" i="3"/>
  <c r="V51" i="3"/>
  <c r="V49" i="3"/>
  <c r="V46" i="3"/>
  <c r="Z54" i="3"/>
  <c r="O27" i="2"/>
  <c r="I64" i="2"/>
  <c r="M64" i="2" s="1"/>
  <c r="O64" i="2" s="1"/>
  <c r="O31" i="2"/>
  <c r="J68" i="2"/>
  <c r="O29" i="2"/>
  <c r="J66" i="2"/>
  <c r="L54" i="2"/>
  <c r="M54" i="2" s="1"/>
  <c r="O54" i="2" s="1"/>
  <c r="O28" i="2"/>
  <c r="O9" i="2"/>
  <c r="M87" i="2"/>
  <c r="M244" i="2" s="1"/>
  <c r="J33" i="2"/>
  <c r="J39" i="2" s="1"/>
  <c r="O34" i="2"/>
  <c r="F33" i="2"/>
  <c r="F39" i="2" s="1"/>
  <c r="M73" i="2"/>
  <c r="M239" i="2" s="1"/>
  <c r="O24" i="2"/>
  <c r="O10" i="2"/>
  <c r="O21" i="2"/>
  <c r="O87" i="2"/>
  <c r="O244" i="2" s="1"/>
  <c r="E12" i="2"/>
  <c r="E92" i="2" s="1"/>
  <c r="AK92" i="3"/>
  <c r="AI72" i="3"/>
  <c r="Y61" i="3"/>
  <c r="AK61" i="3"/>
  <c r="M64" i="3"/>
  <c r="J74" i="3"/>
  <c r="AA67" i="3"/>
  <c r="M72" i="3"/>
  <c r="N72" i="3" s="1"/>
  <c r="N67" i="3"/>
  <c r="R39" i="3"/>
  <c r="Q54" i="3"/>
  <c r="M34" i="3"/>
  <c r="N23" i="3"/>
  <c r="AA23" i="3"/>
  <c r="Z77" i="3"/>
  <c r="V77" i="3" s="1"/>
  <c r="AJ64" i="3"/>
  <c r="AK59" i="3"/>
  <c r="AJ19" i="3"/>
  <c r="AK19" i="3" s="1"/>
  <c r="AL54" i="3"/>
  <c r="AB37" i="3"/>
  <c r="AC37" i="3" s="1"/>
  <c r="N85" i="3"/>
  <c r="AA59" i="3"/>
  <c r="N59" i="3"/>
  <c r="AF72" i="3"/>
  <c r="AG67" i="3"/>
  <c r="AG72" i="3" s="1"/>
  <c r="AG74" i="3" s="1"/>
  <c r="X64" i="3"/>
  <c r="Y59" i="3"/>
  <c r="Y23" i="3"/>
  <c r="AF74" i="3"/>
  <c r="V86" i="3"/>
  <c r="Z92" i="3"/>
  <c r="AJ91" i="3"/>
  <c r="AK91" i="3" s="1"/>
  <c r="AD92" i="3"/>
  <c r="V85" i="3"/>
  <c r="V92" i="3" s="1"/>
  <c r="AL92" i="3"/>
  <c r="T82" i="3"/>
  <c r="M54" i="3"/>
  <c r="N54" i="3" s="1"/>
  <c r="N36" i="3"/>
  <c r="AA36" i="3"/>
  <c r="I92" i="3"/>
  <c r="I93" i="3" s="1"/>
  <c r="AK62" i="3"/>
  <c r="U45" i="3"/>
  <c r="AI74" i="3"/>
  <c r="R20" i="3"/>
  <c r="T17" i="3"/>
  <c r="T20" i="3" s="1"/>
  <c r="T21" i="3" s="1"/>
  <c r="S17" i="3"/>
  <c r="V11" i="3"/>
  <c r="V14" i="3" s="1"/>
  <c r="S26" i="3"/>
  <c r="U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V26" i="3" s="1"/>
  <c r="V42" i="3"/>
  <c r="T92" i="3"/>
  <c r="W92" i="3"/>
  <c r="AJ72" i="3"/>
  <c r="U79" i="3"/>
  <c r="AI92" i="3"/>
  <c r="V70" i="3"/>
  <c r="V72" i="3" s="1"/>
  <c r="V74" i="3" s="1"/>
  <c r="N62" i="3"/>
  <c r="AA62" i="3"/>
  <c r="AJ54" i="3"/>
  <c r="AK36" i="3"/>
  <c r="AK54" i="3" s="1"/>
  <c r="V32" i="3"/>
  <c r="AB63" i="3"/>
  <c r="AC63" i="3" s="1"/>
  <c r="R93" i="3"/>
  <c r="S82" i="3"/>
  <c r="Y67" i="3"/>
  <c r="AK67" i="3"/>
  <c r="AJ92" i="3"/>
  <c r="M14" i="3"/>
  <c r="J21" i="3"/>
  <c r="J56" i="3" s="1"/>
  <c r="R74" i="3"/>
  <c r="S74" i="3" s="1"/>
  <c r="U74" i="3" s="1"/>
  <c r="S72" i="3"/>
  <c r="U72" i="3" s="1"/>
  <c r="Q34" i="3"/>
  <c r="R24" i="3"/>
  <c r="U48" i="3"/>
  <c r="V16" i="3"/>
  <c r="U32" i="3"/>
  <c r="F77" i="2"/>
  <c r="O8" i="2"/>
  <c r="I84" i="2"/>
  <c r="D177" i="2"/>
  <c r="H77" i="2"/>
  <c r="G77" i="2"/>
  <c r="E77" i="2"/>
  <c r="D77" i="2"/>
  <c r="F12" i="2"/>
  <c r="J12" i="2"/>
  <c r="O26" i="2"/>
  <c r="E33" i="2"/>
  <c r="I33" i="2"/>
  <c r="I35" i="2"/>
  <c r="O36" i="2"/>
  <c r="C39" i="2"/>
  <c r="C12" i="2"/>
  <c r="G12" i="2"/>
  <c r="O18" i="2"/>
  <c r="O25" i="2"/>
  <c r="O32" i="2"/>
  <c r="D33" i="2"/>
  <c r="D12" i="2"/>
  <c r="H12" i="2"/>
  <c r="G33" i="2"/>
  <c r="E95" i="3" l="1"/>
  <c r="E101" i="3" s="1"/>
  <c r="E103" i="3" s="1"/>
  <c r="M99" i="3" s="1"/>
  <c r="I63" i="4"/>
  <c r="Y60" i="7"/>
  <c r="H60" i="7"/>
  <c r="L65" i="7"/>
  <c r="AB19" i="4"/>
  <c r="AG19" i="4"/>
  <c r="AK20" i="4" s="1"/>
  <c r="AA62" i="7"/>
  <c r="AF62" i="7"/>
  <c r="AH62" i="7" s="1"/>
  <c r="AA61" i="7"/>
  <c r="AF61" i="7"/>
  <c r="AH61" i="7" s="1"/>
  <c r="Y64" i="3"/>
  <c r="AA16" i="7"/>
  <c r="AF16" i="7"/>
  <c r="L56" i="3"/>
  <c r="AA17" i="7"/>
  <c r="AF17" i="7"/>
  <c r="AF15" i="7"/>
  <c r="AA15" i="7"/>
  <c r="AA64" i="7"/>
  <c r="AF64" i="7"/>
  <c r="AH64" i="7" s="1"/>
  <c r="L20" i="7"/>
  <c r="Y19" i="7"/>
  <c r="H19" i="7"/>
  <c r="Q55" i="3"/>
  <c r="Q56" i="3" s="1"/>
  <c r="Q95" i="3" s="1"/>
  <c r="AK72" i="3"/>
  <c r="AC89" i="3"/>
  <c r="AC92" i="3" s="1"/>
  <c r="AB92" i="3"/>
  <c r="AA92" i="3"/>
  <c r="N82" i="3"/>
  <c r="AB61" i="3"/>
  <c r="AC61" i="3" s="1"/>
  <c r="AB62" i="3"/>
  <c r="AC62" i="3" s="1"/>
  <c r="U17" i="3"/>
  <c r="Y72" i="3"/>
  <c r="X74" i="3"/>
  <c r="AB62" i="4"/>
  <c r="G220" i="2"/>
  <c r="M81" i="2"/>
  <c r="H220" i="2"/>
  <c r="H232" i="2" s="1"/>
  <c r="D247" i="2"/>
  <c r="C220" i="2"/>
  <c r="C232" i="2" s="1"/>
  <c r="C233" i="2" s="1"/>
  <c r="O32" i="1"/>
  <c r="G20" i="1"/>
  <c r="N232" i="2"/>
  <c r="AG60" i="4"/>
  <c r="AI60" i="4" s="1"/>
  <c r="AG59" i="4"/>
  <c r="AI59" i="4" s="1"/>
  <c r="I70" i="4"/>
  <c r="AB70" i="4" s="1"/>
  <c r="Z63" i="4"/>
  <c r="Y64" i="4"/>
  <c r="AB56" i="4"/>
  <c r="AG56" i="4"/>
  <c r="AB73" i="4"/>
  <c r="AG73" i="4"/>
  <c r="AI73" i="4" s="1"/>
  <c r="AG20" i="4"/>
  <c r="AB20" i="4"/>
  <c r="AG67" i="4"/>
  <c r="AI67" i="4" s="1"/>
  <c r="AB67" i="4"/>
  <c r="AB26" i="4"/>
  <c r="AG26" i="4"/>
  <c r="AG63" i="4"/>
  <c r="AI63" i="4" s="1"/>
  <c r="AB63" i="4"/>
  <c r="M85" i="2"/>
  <c r="O85" i="2" s="1"/>
  <c r="O229" i="2" s="1"/>
  <c r="M62" i="2"/>
  <c r="O62" i="2" s="1"/>
  <c r="O197" i="2" s="1"/>
  <c r="C247" i="2"/>
  <c r="M86" i="2"/>
  <c r="M243" i="2" s="1"/>
  <c r="L71" i="2"/>
  <c r="M71" i="2" s="1"/>
  <c r="M235" i="2" s="1"/>
  <c r="J235" i="2"/>
  <c r="G232" i="2"/>
  <c r="L74" i="2"/>
  <c r="L236" i="2" s="1"/>
  <c r="J236" i="2"/>
  <c r="M82" i="2"/>
  <c r="O82" i="2" s="1"/>
  <c r="E232" i="2"/>
  <c r="M69" i="2"/>
  <c r="O69" i="2" s="1"/>
  <c r="O200" i="2" s="1"/>
  <c r="O73" i="2"/>
  <c r="O239" i="2" s="1"/>
  <c r="O81" i="2"/>
  <c r="M224" i="2"/>
  <c r="O224" i="2" s="1"/>
  <c r="J227" i="2"/>
  <c r="J231" i="2" s="1"/>
  <c r="L227" i="2"/>
  <c r="L231" i="2" s="1"/>
  <c r="L84" i="2"/>
  <c r="L92" i="2" s="1"/>
  <c r="M83" i="2"/>
  <c r="O75" i="2"/>
  <c r="O237" i="2" s="1"/>
  <c r="L68" i="2"/>
  <c r="M68" i="2" s="1"/>
  <c r="J201" i="2"/>
  <c r="F70" i="2"/>
  <c r="F78" i="2" s="1"/>
  <c r="F193" i="2"/>
  <c r="F195" i="2" s="1"/>
  <c r="F220" i="2" s="1"/>
  <c r="F232" i="2" s="1"/>
  <c r="L66" i="2"/>
  <c r="L198" i="2" s="1"/>
  <c r="J198" i="2"/>
  <c r="J219" i="2" s="1"/>
  <c r="J220" i="2" s="1"/>
  <c r="L72" i="2"/>
  <c r="L194" i="2" s="1"/>
  <c r="L195" i="2" s="1"/>
  <c r="D70" i="2"/>
  <c r="D78" i="2" s="1"/>
  <c r="D201" i="2"/>
  <c r="D219" i="2" s="1"/>
  <c r="M55" i="2"/>
  <c r="O55" i="2" s="1"/>
  <c r="I201" i="2"/>
  <c r="I197" i="2"/>
  <c r="M52" i="2"/>
  <c r="I72" i="2"/>
  <c r="M53" i="2"/>
  <c r="O53" i="2" s="1"/>
  <c r="V54" i="3"/>
  <c r="I70" i="2"/>
  <c r="J70" i="2"/>
  <c r="J77" i="2"/>
  <c r="C77" i="2"/>
  <c r="C78" i="2" s="1"/>
  <c r="N14" i="3"/>
  <c r="M21" i="3"/>
  <c r="I95" i="3"/>
  <c r="I101" i="3" s="1"/>
  <c r="AA64" i="3"/>
  <c r="AB59" i="3"/>
  <c r="T93" i="3"/>
  <c r="R54" i="3"/>
  <c r="S54" i="3" s="1"/>
  <c r="T39" i="3"/>
  <c r="T54" i="3" s="1"/>
  <c r="S39" i="3"/>
  <c r="U82" i="3"/>
  <c r="W20" i="3"/>
  <c r="W21" i="3" s="1"/>
  <c r="X25" i="3"/>
  <c r="W34" i="3"/>
  <c r="W55" i="3" s="1"/>
  <c r="AK64" i="3"/>
  <c r="AK74" i="3" s="1"/>
  <c r="N34" i="3"/>
  <c r="M55" i="3"/>
  <c r="N55" i="3" s="1"/>
  <c r="M74" i="3"/>
  <c r="N74" i="3" s="1"/>
  <c r="N64" i="3"/>
  <c r="W93" i="3"/>
  <c r="R21" i="3"/>
  <c r="S20" i="3"/>
  <c r="U20" i="3" s="1"/>
  <c r="AA54" i="3"/>
  <c r="AB36" i="3"/>
  <c r="AB23" i="3"/>
  <c r="T24" i="3"/>
  <c r="T34" i="3" s="1"/>
  <c r="T55" i="3" s="1"/>
  <c r="T56" i="3" s="1"/>
  <c r="S24" i="3"/>
  <c r="R34" i="3"/>
  <c r="S93" i="3"/>
  <c r="S92" i="3"/>
  <c r="U92" i="3" s="1"/>
  <c r="AJ74" i="3"/>
  <c r="AA72" i="3"/>
  <c r="AB67" i="3"/>
  <c r="O12" i="2"/>
  <c r="D92" i="2"/>
  <c r="I39" i="2"/>
  <c r="D39" i="2"/>
  <c r="E78" i="2"/>
  <c r="E39" i="2"/>
  <c r="O33" i="2"/>
  <c r="F92" i="2"/>
  <c r="G78" i="2"/>
  <c r="G39" i="2"/>
  <c r="G92" i="2"/>
  <c r="O35" i="2"/>
  <c r="H92" i="2"/>
  <c r="C92" i="2"/>
  <c r="C41" i="2"/>
  <c r="J92" i="2"/>
  <c r="H78" i="2"/>
  <c r="G19" i="1"/>
  <c r="H19" i="1" s="1"/>
  <c r="G18" i="1"/>
  <c r="H18" i="1" s="1"/>
  <c r="G17" i="1"/>
  <c r="H17" i="1" s="1"/>
  <c r="G16" i="1"/>
  <c r="G15" i="1"/>
  <c r="H15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J13" i="1"/>
  <c r="O13" i="1" s="1"/>
  <c r="L15" i="1"/>
  <c r="O15" i="1" s="1"/>
  <c r="U39" i="3" l="1"/>
  <c r="F100" i="3"/>
  <c r="F101" i="3" s="1"/>
  <c r="G100" i="3" s="1"/>
  <c r="G101" i="3" s="1"/>
  <c r="H100" i="3" s="1"/>
  <c r="H101" i="3" s="1"/>
  <c r="J100" i="3" s="1"/>
  <c r="AF19" i="7"/>
  <c r="AA19" i="7"/>
  <c r="H20" i="7"/>
  <c r="Y20" i="7"/>
  <c r="Y65" i="7"/>
  <c r="H65" i="7"/>
  <c r="AA60" i="7"/>
  <c r="AF60" i="7"/>
  <c r="Y74" i="3"/>
  <c r="AJ20" i="7"/>
  <c r="AJ16" i="7"/>
  <c r="U54" i="3"/>
  <c r="O243" i="2"/>
  <c r="B257" i="2"/>
  <c r="M197" i="2"/>
  <c r="C248" i="2"/>
  <c r="D220" i="2"/>
  <c r="D232" i="2" s="1"/>
  <c r="D233" i="2" s="1"/>
  <c r="M229" i="2"/>
  <c r="M74" i="2"/>
  <c r="O74" i="2" s="1"/>
  <c r="O236" i="2" s="1"/>
  <c r="M246" i="2"/>
  <c r="M259" i="2"/>
  <c r="I24" i="5"/>
  <c r="F35" i="1"/>
  <c r="M254" i="2"/>
  <c r="AG70" i="4"/>
  <c r="AI70" i="4" s="1"/>
  <c r="AK64" i="4"/>
  <c r="AI56" i="4"/>
  <c r="AK60" i="4"/>
  <c r="Z64" i="4"/>
  <c r="I64" i="4"/>
  <c r="O86" i="2"/>
  <c r="O246" i="2" s="1"/>
  <c r="L235" i="2"/>
  <c r="L241" i="2" s="1"/>
  <c r="L247" i="2" s="1"/>
  <c r="J241" i="2"/>
  <c r="J247" i="2" s="1"/>
  <c r="M225" i="2"/>
  <c r="O225" i="2" s="1"/>
  <c r="M200" i="2"/>
  <c r="L77" i="2"/>
  <c r="M84" i="2"/>
  <c r="M92" i="2" s="1"/>
  <c r="O71" i="2"/>
  <c r="O235" i="2" s="1"/>
  <c r="M236" i="2"/>
  <c r="F73" i="1" s="1"/>
  <c r="L70" i="2"/>
  <c r="O83" i="2"/>
  <c r="M226" i="2"/>
  <c r="L201" i="2"/>
  <c r="L219" i="2" s="1"/>
  <c r="O84" i="2"/>
  <c r="I77" i="2"/>
  <c r="I78" i="2" s="1"/>
  <c r="I194" i="2"/>
  <c r="M66" i="2"/>
  <c r="M198" i="2" s="1"/>
  <c r="O52" i="2"/>
  <c r="M193" i="2"/>
  <c r="O68" i="2"/>
  <c r="O201" i="2" s="1"/>
  <c r="M201" i="2"/>
  <c r="M72" i="2"/>
  <c r="C94" i="2"/>
  <c r="C96" i="2" s="1"/>
  <c r="U93" i="3"/>
  <c r="W56" i="3"/>
  <c r="W95" i="3" s="1"/>
  <c r="J78" i="2"/>
  <c r="AB72" i="3"/>
  <c r="AC67" i="3"/>
  <c r="AC72" i="3" s="1"/>
  <c r="U24" i="3"/>
  <c r="AC23" i="3"/>
  <c r="S21" i="3"/>
  <c r="U21" i="3" s="1"/>
  <c r="X20" i="3"/>
  <c r="X21" i="3" s="1"/>
  <c r="M100" i="3"/>
  <c r="Q100" i="3"/>
  <c r="Q101" i="3" s="1"/>
  <c r="AC36" i="3"/>
  <c r="AC54" i="3" s="1"/>
  <c r="AB54" i="3"/>
  <c r="Y25" i="3"/>
  <c r="X34" i="3"/>
  <c r="X55" i="3" s="1"/>
  <c r="AB64" i="3"/>
  <c r="AC59" i="3"/>
  <c r="AC64" i="3" s="1"/>
  <c r="AC74" i="3" s="1"/>
  <c r="R55" i="3"/>
  <c r="S55" i="3" s="1"/>
  <c r="U55" i="3" s="1"/>
  <c r="S34" i="3"/>
  <c r="U34" i="3" s="1"/>
  <c r="X93" i="3"/>
  <c r="T95" i="3"/>
  <c r="AA74" i="3"/>
  <c r="M56" i="3"/>
  <c r="N56" i="3" s="1"/>
  <c r="N21" i="3"/>
  <c r="O39" i="2"/>
  <c r="D175" i="2"/>
  <c r="C43" i="2"/>
  <c r="D40" i="2"/>
  <c r="H13" i="1"/>
  <c r="C11" i="1"/>
  <c r="E11" i="1" s="1"/>
  <c r="I11" i="1" s="1"/>
  <c r="J11" i="1" s="1"/>
  <c r="J26" i="1"/>
  <c r="J24" i="1"/>
  <c r="J23" i="1"/>
  <c r="K26" i="1"/>
  <c r="N26" i="1" s="1"/>
  <c r="K25" i="1"/>
  <c r="L25" i="1" s="1"/>
  <c r="K24" i="1"/>
  <c r="L24" i="1" s="1"/>
  <c r="AH60" i="7" l="1"/>
  <c r="AJ65" i="7"/>
  <c r="AJ61" i="7"/>
  <c r="AF65" i="7"/>
  <c r="AH65" i="7" s="1"/>
  <c r="AA65" i="7"/>
  <c r="AA20" i="7"/>
  <c r="AF20" i="7"/>
  <c r="I219" i="2"/>
  <c r="I195" i="2"/>
  <c r="M77" i="2"/>
  <c r="O92" i="2"/>
  <c r="D248" i="2"/>
  <c r="E233" i="2"/>
  <c r="E248" i="2" s="1"/>
  <c r="L220" i="2"/>
  <c r="L232" i="2" s="1"/>
  <c r="I220" i="2"/>
  <c r="I232" i="2" s="1"/>
  <c r="E9" i="5"/>
  <c r="G73" i="1"/>
  <c r="H73" i="1" s="1"/>
  <c r="M252" i="2"/>
  <c r="G35" i="1"/>
  <c r="H35" i="1" s="1"/>
  <c r="M255" i="2"/>
  <c r="I30" i="5"/>
  <c r="AG64" i="4"/>
  <c r="AI64" i="4" s="1"/>
  <c r="AB64" i="4"/>
  <c r="M227" i="2"/>
  <c r="O226" i="2"/>
  <c r="O227" i="2" s="1"/>
  <c r="L78" i="2"/>
  <c r="O247" i="2"/>
  <c r="O66" i="2"/>
  <c r="O198" i="2" s="1"/>
  <c r="M70" i="2"/>
  <c r="O72" i="2"/>
  <c r="M194" i="2"/>
  <c r="M195" i="2" s="1"/>
  <c r="B260" i="2" s="1"/>
  <c r="O193" i="2"/>
  <c r="AB74" i="3"/>
  <c r="Z17" i="3"/>
  <c r="Y20" i="3"/>
  <c r="Y21" i="3" s="1"/>
  <c r="Z25" i="3"/>
  <c r="Y34" i="3"/>
  <c r="Y55" i="3" s="1"/>
  <c r="R100" i="3"/>
  <c r="Q105" i="3"/>
  <c r="AD78" i="3"/>
  <c r="R56" i="3"/>
  <c r="Z79" i="3"/>
  <c r="Y93" i="3"/>
  <c r="X56" i="3"/>
  <c r="X95" i="3" s="1"/>
  <c r="O96" i="2"/>
  <c r="D93" i="2"/>
  <c r="D41" i="2"/>
  <c r="N24" i="1"/>
  <c r="N25" i="1"/>
  <c r="L26" i="1"/>
  <c r="K23" i="1"/>
  <c r="N23" i="1" s="1"/>
  <c r="B256" i="2" l="1"/>
  <c r="B258" i="2" s="1"/>
  <c r="M247" i="2"/>
  <c r="U236" i="2" s="1"/>
  <c r="B263" i="2"/>
  <c r="M78" i="2"/>
  <c r="M94" i="2" s="1"/>
  <c r="F233" i="2"/>
  <c r="P231" i="2"/>
  <c r="M219" i="2"/>
  <c r="I29" i="5"/>
  <c r="M258" i="2"/>
  <c r="I18" i="5"/>
  <c r="I23" i="5" s="1"/>
  <c r="I26" i="5" s="1"/>
  <c r="F9" i="5"/>
  <c r="G233" i="2"/>
  <c r="F248" i="2"/>
  <c r="O70" i="2"/>
  <c r="O77" i="2"/>
  <c r="O194" i="2"/>
  <c r="D94" i="2"/>
  <c r="D96" i="2" s="1"/>
  <c r="S56" i="3"/>
  <c r="U56" i="3" s="1"/>
  <c r="R95" i="3"/>
  <c r="S95" i="3" s="1"/>
  <c r="Y56" i="3"/>
  <c r="Y95" i="3" s="1"/>
  <c r="Z82" i="3"/>
  <c r="Z93" i="3" s="1"/>
  <c r="AA25" i="3"/>
  <c r="Z34" i="3"/>
  <c r="Z55" i="3" s="1"/>
  <c r="Z20" i="3"/>
  <c r="Z21" i="3" s="1"/>
  <c r="D43" i="2"/>
  <c r="E40" i="2"/>
  <c r="K38" i="1"/>
  <c r="N38" i="1"/>
  <c r="L23" i="1"/>
  <c r="R101" i="3" l="1"/>
  <c r="T100" i="3" s="1"/>
  <c r="T101" i="3" s="1"/>
  <c r="M253" i="2"/>
  <c r="M257" i="2" s="1"/>
  <c r="B261" i="2"/>
  <c r="B262" i="2" s="1"/>
  <c r="B264" i="2" s="1"/>
  <c r="B265" i="2" s="1"/>
  <c r="B267" i="2" s="1"/>
  <c r="I32" i="5"/>
  <c r="I33" i="5" s="1"/>
  <c r="K34" i="5" s="1"/>
  <c r="O219" i="2"/>
  <c r="O195" i="2"/>
  <c r="M260" i="2"/>
  <c r="M220" i="2"/>
  <c r="O78" i="2"/>
  <c r="O94" i="2" s="1"/>
  <c r="F40" i="5"/>
  <c r="G9" i="5"/>
  <c r="H233" i="2"/>
  <c r="G248" i="2"/>
  <c r="Z56" i="3"/>
  <c r="Z95" i="3" s="1"/>
  <c r="AA20" i="3"/>
  <c r="AA21" i="3" s="1"/>
  <c r="AA82" i="3"/>
  <c r="AA93" i="3" s="1"/>
  <c r="AB25" i="3"/>
  <c r="AA34" i="3"/>
  <c r="AA55" i="3" s="1"/>
  <c r="U95" i="3"/>
  <c r="U101" i="3" s="1"/>
  <c r="W100" i="3" s="1"/>
  <c r="S101" i="3"/>
  <c r="E93" i="2"/>
  <c r="E41" i="2"/>
  <c r="D14" i="1"/>
  <c r="I21" i="1"/>
  <c r="E21" i="1"/>
  <c r="F26" i="1"/>
  <c r="F64" i="1" s="1"/>
  <c r="M64" i="1" s="1"/>
  <c r="O64" i="1" s="1"/>
  <c r="F25" i="1"/>
  <c r="F63" i="1" s="1"/>
  <c r="M63" i="1" s="1"/>
  <c r="O63" i="1" s="1"/>
  <c r="F24" i="1"/>
  <c r="F62" i="1" s="1"/>
  <c r="M62" i="1" s="1"/>
  <c r="O62" i="1" s="1"/>
  <c r="F23" i="1"/>
  <c r="F37" i="1"/>
  <c r="F61" i="1" l="1"/>
  <c r="F34" i="1"/>
  <c r="J22" i="1"/>
  <c r="F75" i="1"/>
  <c r="F36" i="1"/>
  <c r="F74" i="1" s="1"/>
  <c r="F38" i="1"/>
  <c r="M232" i="2"/>
  <c r="U235" i="2" s="1"/>
  <c r="U237" i="2" s="1"/>
  <c r="B252" i="2"/>
  <c r="B250" i="2"/>
  <c r="M251" i="2"/>
  <c r="F41" i="5"/>
  <c r="F45" i="5" s="1"/>
  <c r="G44" i="5" s="1"/>
  <c r="B253" i="2"/>
  <c r="N233" i="2"/>
  <c r="M248" i="2"/>
  <c r="O220" i="2"/>
  <c r="O232" i="2" s="1"/>
  <c r="O233" i="2" s="1"/>
  <c r="M23" i="1"/>
  <c r="O23" i="1" s="1"/>
  <c r="G7" i="5"/>
  <c r="H248" i="2"/>
  <c r="I233" i="2"/>
  <c r="E94" i="2"/>
  <c r="E96" i="2" s="1"/>
  <c r="Z100" i="3"/>
  <c r="Z101" i="3" s="1"/>
  <c r="AA100" i="3" s="1"/>
  <c r="V100" i="3"/>
  <c r="W101" i="3"/>
  <c r="X100" i="3" s="1"/>
  <c r="X101" i="3" s="1"/>
  <c r="Y100" i="3" s="1"/>
  <c r="Y101" i="3" s="1"/>
  <c r="AB82" i="3"/>
  <c r="AB93" i="3" s="1"/>
  <c r="AA56" i="3"/>
  <c r="AA95" i="3" s="1"/>
  <c r="AC25" i="3"/>
  <c r="AB34" i="3"/>
  <c r="AB55" i="3" s="1"/>
  <c r="AB20" i="3"/>
  <c r="AB21" i="3" s="1"/>
  <c r="E43" i="2"/>
  <c r="F40" i="2"/>
  <c r="D21" i="1"/>
  <c r="G14" i="1"/>
  <c r="M25" i="1"/>
  <c r="O25" i="1" s="1"/>
  <c r="M26" i="1"/>
  <c r="O26" i="1" s="1"/>
  <c r="M24" i="1"/>
  <c r="E10" i="5" l="1"/>
  <c r="G74" i="1"/>
  <c r="H74" i="1" s="1"/>
  <c r="F72" i="1"/>
  <c r="E8" i="5" s="1"/>
  <c r="M61" i="1"/>
  <c r="F42" i="5"/>
  <c r="U248" i="2"/>
  <c r="U255" i="2" s="1"/>
  <c r="B254" i="2"/>
  <c r="I34" i="5"/>
  <c r="I35" i="5" s="1"/>
  <c r="M250" i="2"/>
  <c r="N248" i="2"/>
  <c r="O248" i="2"/>
  <c r="O250" i="2" s="1"/>
  <c r="P233" i="2"/>
  <c r="G36" i="1"/>
  <c r="I248" i="2"/>
  <c r="L233" i="2"/>
  <c r="J232" i="2"/>
  <c r="J233" i="2" s="1"/>
  <c r="AH78" i="3"/>
  <c r="AD17" i="3"/>
  <c r="AC20" i="3"/>
  <c r="AC21" i="3" s="1"/>
  <c r="AD25" i="3"/>
  <c r="AC34" i="3"/>
  <c r="AC55" i="3" s="1"/>
  <c r="AD100" i="3"/>
  <c r="AA101" i="3"/>
  <c r="AB100" i="3" s="1"/>
  <c r="AB56" i="3"/>
  <c r="AB95" i="3" s="1"/>
  <c r="AD79" i="3"/>
  <c r="AC82" i="3"/>
  <c r="AC93" i="3" s="1"/>
  <c r="F93" i="2"/>
  <c r="F41" i="2"/>
  <c r="H14" i="1"/>
  <c r="G21" i="1"/>
  <c r="H21" i="1" s="1"/>
  <c r="M38" i="1"/>
  <c r="O24" i="1"/>
  <c r="J37" i="1"/>
  <c r="O37" i="1" s="1"/>
  <c r="J36" i="1"/>
  <c r="O36" i="1" s="1"/>
  <c r="O61" i="1" l="1"/>
  <c r="O76" i="1" s="1"/>
  <c r="M76" i="1"/>
  <c r="E11" i="5"/>
  <c r="F39" i="5" s="1"/>
  <c r="F76" i="1"/>
  <c r="O249" i="2"/>
  <c r="H36" i="1"/>
  <c r="K233" i="2"/>
  <c r="J248" i="2"/>
  <c r="L248" i="2"/>
  <c r="M233" i="2"/>
  <c r="F94" i="2"/>
  <c r="F96" i="2" s="1"/>
  <c r="AD82" i="3"/>
  <c r="AD93" i="3" s="1"/>
  <c r="AD20" i="3"/>
  <c r="AD21" i="3" s="1"/>
  <c r="AE25" i="3"/>
  <c r="AD34" i="3"/>
  <c r="AD55" i="3" s="1"/>
  <c r="AB101" i="3"/>
  <c r="AC100" i="3" s="1"/>
  <c r="AC56" i="3"/>
  <c r="AC95" i="3" s="1"/>
  <c r="F43" i="2"/>
  <c r="G40" i="2"/>
  <c r="J14" i="1"/>
  <c r="O14" i="1" s="1"/>
  <c r="J33" i="1"/>
  <c r="F44" i="5" l="1"/>
  <c r="G41" i="5"/>
  <c r="L234" i="2"/>
  <c r="K248" i="2"/>
  <c r="AD56" i="3"/>
  <c r="AC101" i="3"/>
  <c r="AE20" i="3"/>
  <c r="AE21" i="3" s="1"/>
  <c r="AD95" i="3"/>
  <c r="AD101" i="3" s="1"/>
  <c r="AE100" i="3" s="1"/>
  <c r="AF25" i="3"/>
  <c r="AE34" i="3"/>
  <c r="AE55" i="3" s="1"/>
  <c r="AE82" i="3"/>
  <c r="AE93" i="3" s="1"/>
  <c r="G93" i="2"/>
  <c r="G41" i="2"/>
  <c r="L33" i="1"/>
  <c r="L38" i="1" s="1"/>
  <c r="J21" i="1"/>
  <c r="F46" i="5" l="1"/>
  <c r="F47" i="5" s="1"/>
  <c r="H44" i="5"/>
  <c r="G94" i="2"/>
  <c r="G96" i="2" s="1"/>
  <c r="AE56" i="3"/>
  <c r="AE95" i="3" s="1"/>
  <c r="AE101" i="3" s="1"/>
  <c r="AF100" i="3" s="1"/>
  <c r="AH100" i="3"/>
  <c r="AG25" i="3"/>
  <c r="AF34" i="3"/>
  <c r="AF55" i="3" s="1"/>
  <c r="AF20" i="3"/>
  <c r="AF21" i="3" s="1"/>
  <c r="AF82" i="3"/>
  <c r="AF93" i="3" s="1"/>
  <c r="G43" i="2"/>
  <c r="H40" i="2"/>
  <c r="O33" i="1"/>
  <c r="O38" i="1" s="1"/>
  <c r="C21" i="1"/>
  <c r="D37" i="1"/>
  <c r="D75" i="1" s="1"/>
  <c r="D26" i="1"/>
  <c r="D64" i="1" s="1"/>
  <c r="G64" i="1" s="1"/>
  <c r="H64" i="1" s="1"/>
  <c r="D25" i="1"/>
  <c r="D63" i="1" s="1"/>
  <c r="G63" i="1" s="1"/>
  <c r="H63" i="1" s="1"/>
  <c r="D23" i="1"/>
  <c r="D61" i="1" s="1"/>
  <c r="D24" i="1"/>
  <c r="D62" i="1" s="1"/>
  <c r="G62" i="1" s="1"/>
  <c r="H62" i="1" s="1"/>
  <c r="D10" i="5" l="1"/>
  <c r="F10" i="5" s="1"/>
  <c r="G10" i="5" s="1"/>
  <c r="G75" i="1"/>
  <c r="H75" i="1" s="1"/>
  <c r="D72" i="1"/>
  <c r="D8" i="5" s="1"/>
  <c r="G61" i="1"/>
  <c r="H61" i="1" s="1"/>
  <c r="D34" i="1"/>
  <c r="G26" i="1"/>
  <c r="H26" i="1" s="1"/>
  <c r="AF56" i="3"/>
  <c r="AF95" i="3" s="1"/>
  <c r="AF101" i="3" s="1"/>
  <c r="AG100" i="3" s="1"/>
  <c r="AH25" i="3"/>
  <c r="AG34" i="3"/>
  <c r="AG55" i="3" s="1"/>
  <c r="AG20" i="3"/>
  <c r="AG21" i="3" s="1"/>
  <c r="AH17" i="3"/>
  <c r="AL78" i="3"/>
  <c r="AH79" i="3"/>
  <c r="AG82" i="3"/>
  <c r="AG93" i="3" s="1"/>
  <c r="H93" i="2"/>
  <c r="H41" i="2"/>
  <c r="G23" i="1"/>
  <c r="H23" i="1" s="1"/>
  <c r="G25" i="1"/>
  <c r="H25" i="1" s="1"/>
  <c r="G24" i="1"/>
  <c r="H24" i="1" s="1"/>
  <c r="G37" i="1"/>
  <c r="H37" i="1" s="1"/>
  <c r="D11" i="5" l="1"/>
  <c r="F38" i="5" s="1"/>
  <c r="G39" i="5" s="1"/>
  <c r="F8" i="5"/>
  <c r="D76" i="1"/>
  <c r="H94" i="2"/>
  <c r="H96" i="2" s="1"/>
  <c r="AG56" i="3"/>
  <c r="AG95" i="3" s="1"/>
  <c r="AG101" i="3" s="1"/>
  <c r="V78" i="3"/>
  <c r="AI25" i="3"/>
  <c r="AH34" i="3"/>
  <c r="AH55" i="3" s="1"/>
  <c r="AH82" i="3"/>
  <c r="AH93" i="3" s="1"/>
  <c r="AH20" i="3"/>
  <c r="AH21" i="3" s="1"/>
  <c r="H43" i="2"/>
  <c r="I40" i="2"/>
  <c r="G8" i="5" l="1"/>
  <c r="F11" i="5"/>
  <c r="AJ25" i="3"/>
  <c r="AI34" i="3"/>
  <c r="AI55" i="3" s="1"/>
  <c r="AI82" i="3"/>
  <c r="AI93" i="3" s="1"/>
  <c r="AI20" i="3"/>
  <c r="AI21" i="3" s="1"/>
  <c r="AH56" i="3"/>
  <c r="AH95" i="3" s="1"/>
  <c r="AH101" i="3" s="1"/>
  <c r="AI100" i="3" s="1"/>
  <c r="I93" i="2"/>
  <c r="I41" i="2"/>
  <c r="G11" i="5" l="1"/>
  <c r="I94" i="2"/>
  <c r="I96" i="2" s="1"/>
  <c r="AI56" i="3"/>
  <c r="AI95" i="3"/>
  <c r="AI101" i="3" s="1"/>
  <c r="AJ100" i="3" s="1"/>
  <c r="AL100" i="3"/>
  <c r="AJ82" i="3"/>
  <c r="AJ93" i="3" s="1"/>
  <c r="AJ20" i="3"/>
  <c r="AJ21" i="3" s="1"/>
  <c r="AK25" i="3"/>
  <c r="AJ34" i="3"/>
  <c r="AJ55" i="3" s="1"/>
  <c r="I43" i="2"/>
  <c r="J40" i="2"/>
  <c r="AL25" i="3" l="1"/>
  <c r="AK34" i="3"/>
  <c r="AK55" i="3" s="1"/>
  <c r="AL79" i="3"/>
  <c r="AK82" i="3"/>
  <c r="AK93" i="3" s="1"/>
  <c r="AJ56" i="3"/>
  <c r="AJ95" i="3" s="1"/>
  <c r="AJ101" i="3" s="1"/>
  <c r="AK100" i="3" s="1"/>
  <c r="AL17" i="3"/>
  <c r="AK20" i="3"/>
  <c r="AK21" i="3" s="1"/>
  <c r="J93" i="2"/>
  <c r="J94" i="2" s="1"/>
  <c r="J41" i="2"/>
  <c r="AK56" i="3" l="1"/>
  <c r="AK95" i="3"/>
  <c r="AK101" i="3" s="1"/>
  <c r="K93" i="2"/>
  <c r="L93" i="2"/>
  <c r="L94" i="2" s="1"/>
  <c r="V79" i="3"/>
  <c r="V82" i="3" s="1"/>
  <c r="V93" i="3" s="1"/>
  <c r="AL82" i="3"/>
  <c r="AL93" i="3" s="1"/>
  <c r="V17" i="3"/>
  <c r="V20" i="3" s="1"/>
  <c r="V21" i="3" s="1"/>
  <c r="AL20" i="3"/>
  <c r="AL21" i="3" s="1"/>
  <c r="V25" i="3"/>
  <c r="V34" i="3" s="1"/>
  <c r="V55" i="3" s="1"/>
  <c r="AL34" i="3"/>
  <c r="AL55" i="3" s="1"/>
  <c r="J43" i="2"/>
  <c r="O40" i="2"/>
  <c r="AL56" i="3" l="1"/>
  <c r="V56" i="3"/>
  <c r="V95" i="3" s="1"/>
  <c r="V101" i="3" s="1"/>
  <c r="K94" i="2"/>
  <c r="N93" i="2" s="1"/>
  <c r="N94" i="2" s="1"/>
  <c r="J96" i="2"/>
  <c r="AL95" i="3"/>
  <c r="AL101" i="3" s="1"/>
  <c r="K86" i="3" l="1"/>
  <c r="K92" i="3" s="1"/>
  <c r="K93" i="3" s="1"/>
  <c r="K95" i="3" s="1"/>
  <c r="J34" i="7"/>
  <c r="K33" i="4"/>
  <c r="M34" i="7"/>
  <c r="N33" i="4"/>
  <c r="Q34" i="7"/>
  <c r="R33" i="4"/>
  <c r="R34" i="7"/>
  <c r="S33" i="4"/>
  <c r="J86" i="3"/>
  <c r="L86" i="3"/>
  <c r="L92" i="3" s="1"/>
  <c r="L93" i="3" s="1"/>
  <c r="L95" i="3" s="1"/>
  <c r="W30" i="7"/>
  <c r="I34" i="7" l="1"/>
  <c r="J33" i="4"/>
  <c r="W33" i="4"/>
  <c r="K34" i="7"/>
  <c r="L33" i="4"/>
  <c r="J92" i="3"/>
  <c r="J93" i="3" s="1"/>
  <c r="J95" i="3" s="1"/>
  <c r="J101" i="3" s="1"/>
  <c r="J103" i="3" s="1"/>
  <c r="K99" i="3" s="1"/>
  <c r="K100" i="3" s="1"/>
  <c r="K101" i="3" s="1"/>
  <c r="K103" i="3" s="1"/>
  <c r="L99" i="3" s="1"/>
  <c r="L100" i="3" s="1"/>
  <c r="L101" i="3" s="1"/>
  <c r="M86" i="3"/>
  <c r="R78" i="7"/>
  <c r="R79" i="7" s="1"/>
  <c r="R81" i="7" s="1"/>
  <c r="R35" i="7"/>
  <c r="R37" i="7" s="1"/>
  <c r="R77" i="4"/>
  <c r="R78" i="4" s="1"/>
  <c r="R80" i="4" s="1"/>
  <c r="R34" i="4"/>
  <c r="R36" i="4" s="1"/>
  <c r="K77" i="4"/>
  <c r="K34" i="4"/>
  <c r="K36" i="4" s="1"/>
  <c r="V34" i="7"/>
  <c r="V78" i="7" s="1"/>
  <c r="V79" i="7" s="1"/>
  <c r="V81" i="7" s="1"/>
  <c r="S34" i="7"/>
  <c r="T33" i="4"/>
  <c r="Q78" i="7"/>
  <c r="Q79" i="7" s="1"/>
  <c r="Q81" i="7" s="1"/>
  <c r="Q35" i="7"/>
  <c r="Q37" i="7" s="1"/>
  <c r="N77" i="4"/>
  <c r="N78" i="4" s="1"/>
  <c r="N80" i="4" s="1"/>
  <c r="N34" i="4"/>
  <c r="N36" i="4" s="1"/>
  <c r="J78" i="7"/>
  <c r="J79" i="7" s="1"/>
  <c r="J81" i="7" s="1"/>
  <c r="J35" i="7"/>
  <c r="J37" i="7" s="1"/>
  <c r="X33" i="4"/>
  <c r="X77" i="4" s="1"/>
  <c r="X78" i="4" s="1"/>
  <c r="X80" i="4" s="1"/>
  <c r="V33" i="4"/>
  <c r="Y33" i="4" s="1"/>
  <c r="N34" i="7"/>
  <c r="O33" i="4"/>
  <c r="M78" i="7"/>
  <c r="M79" i="7" s="1"/>
  <c r="M81" i="7" s="1"/>
  <c r="M35" i="7"/>
  <c r="M37" i="7" s="1"/>
  <c r="W34" i="7"/>
  <c r="W78" i="7" s="1"/>
  <c r="U34" i="7"/>
  <c r="U78" i="7" s="1"/>
  <c r="U79" i="7" s="1"/>
  <c r="U81" i="7" s="1"/>
  <c r="S77" i="4"/>
  <c r="S34" i="4"/>
  <c r="S36" i="4" s="1"/>
  <c r="W34" i="4"/>
  <c r="W36" i="4" s="1"/>
  <c r="W77" i="4"/>
  <c r="X30" i="7"/>
  <c r="X34" i="4" l="1"/>
  <c r="X36" i="4" s="1"/>
  <c r="W35" i="7"/>
  <c r="W37" i="7" s="1"/>
  <c r="V35" i="7"/>
  <c r="V37" i="7" s="1"/>
  <c r="U35" i="7"/>
  <c r="U37" i="7" s="1"/>
  <c r="O34" i="7"/>
  <c r="P33" i="4"/>
  <c r="V34" i="4"/>
  <c r="V36" i="4" s="1"/>
  <c r="V77" i="4"/>
  <c r="V78" i="4" s="1"/>
  <c r="V80" i="4" s="1"/>
  <c r="X34" i="7"/>
  <c r="X35" i="7" s="1"/>
  <c r="O77" i="4"/>
  <c r="O34" i="4"/>
  <c r="O36" i="4" s="1"/>
  <c r="K78" i="4"/>
  <c r="K80" i="4" s="1"/>
  <c r="N86" i="3"/>
  <c r="M92" i="3"/>
  <c r="L77" i="4"/>
  <c r="L78" i="4" s="1"/>
  <c r="L80" i="4" s="1"/>
  <c r="M33" i="4"/>
  <c r="M34" i="4" s="1"/>
  <c r="M36" i="4" s="1"/>
  <c r="L34" i="4"/>
  <c r="L36" i="4" s="1"/>
  <c r="N78" i="7"/>
  <c r="N79" i="7" s="1"/>
  <c r="N81" i="7" s="1"/>
  <c r="N35" i="7"/>
  <c r="N37" i="7" s="1"/>
  <c r="N101" i="3"/>
  <c r="N103" i="3" s="1"/>
  <c r="L103" i="3"/>
  <c r="K78" i="7"/>
  <c r="K35" i="7"/>
  <c r="K37" i="7" s="1"/>
  <c r="L34" i="7"/>
  <c r="L35" i="7" s="1"/>
  <c r="L37" i="7" s="1"/>
  <c r="S78" i="4"/>
  <c r="S80" i="4" s="1"/>
  <c r="T77" i="4"/>
  <c r="T78" i="4" s="1"/>
  <c r="T80" i="4" s="1"/>
  <c r="T34" i="4"/>
  <c r="T36" i="4" s="1"/>
  <c r="U33" i="4"/>
  <c r="U34" i="4" s="1"/>
  <c r="U36" i="4" s="1"/>
  <c r="P34" i="7"/>
  <c r="P35" i="7" s="1"/>
  <c r="P37" i="7" s="1"/>
  <c r="J77" i="4"/>
  <c r="J78" i="4" s="1"/>
  <c r="J80" i="4" s="1"/>
  <c r="J84" i="4" s="1"/>
  <c r="K82" i="4" s="1"/>
  <c r="K84" i="4" s="1"/>
  <c r="L82" i="4" s="1"/>
  <c r="J34" i="4"/>
  <c r="J36" i="4" s="1"/>
  <c r="S78" i="7"/>
  <c r="T34" i="7"/>
  <c r="T35" i="7" s="1"/>
  <c r="T37" i="7" s="1"/>
  <c r="S35" i="7"/>
  <c r="S37" i="7" s="1"/>
  <c r="I78" i="7"/>
  <c r="I79" i="7" s="1"/>
  <c r="I81" i="7" s="1"/>
  <c r="I85" i="7" s="1"/>
  <c r="J83" i="7" s="1"/>
  <c r="J85" i="7" s="1"/>
  <c r="K83" i="7" s="1"/>
  <c r="I35" i="7"/>
  <c r="I37" i="7" s="1"/>
  <c r="Y34" i="4"/>
  <c r="X78" i="7"/>
  <c r="W79" i="7"/>
  <c r="W81" i="7" s="1"/>
  <c r="W78" i="4"/>
  <c r="W80" i="4" s="1"/>
  <c r="H30" i="7"/>
  <c r="U77" i="4" l="1"/>
  <c r="U78" i="4" s="1"/>
  <c r="U80" i="4" s="1"/>
  <c r="Y77" i="4"/>
  <c r="O35" i="7"/>
  <c r="O37" i="7" s="1"/>
  <c r="O78" i="7"/>
  <c r="O79" i="7" s="1"/>
  <c r="O81" i="7" s="1"/>
  <c r="Q33" i="4"/>
  <c r="Q34" i="4" s="1"/>
  <c r="Q36" i="4" s="1"/>
  <c r="P34" i="4"/>
  <c r="P36" i="4" s="1"/>
  <c r="P77" i="4"/>
  <c r="P78" i="4" s="1"/>
  <c r="P80" i="4" s="1"/>
  <c r="H34" i="7"/>
  <c r="I33" i="4"/>
  <c r="L84" i="4"/>
  <c r="M77" i="4"/>
  <c r="M78" i="4" s="1"/>
  <c r="M80" i="4" s="1"/>
  <c r="M84" i="4" s="1"/>
  <c r="L78" i="7"/>
  <c r="L79" i="7" s="1"/>
  <c r="L81" i="7" s="1"/>
  <c r="L85" i="7" s="1"/>
  <c r="K79" i="7"/>
  <c r="K81" i="7" s="1"/>
  <c r="K85" i="7" s="1"/>
  <c r="P78" i="7"/>
  <c r="P79" i="7" s="1"/>
  <c r="P81" i="7" s="1"/>
  <c r="N92" i="3"/>
  <c r="M93" i="3"/>
  <c r="O78" i="4"/>
  <c r="O80" i="4" s="1"/>
  <c r="T78" i="7"/>
  <c r="T79" i="7" s="1"/>
  <c r="T81" i="7" s="1"/>
  <c r="S79" i="7"/>
  <c r="S81" i="7" s="1"/>
  <c r="Y34" i="7"/>
  <c r="X79" i="7"/>
  <c r="Y36" i="4"/>
  <c r="X37" i="7"/>
  <c r="Y35" i="7"/>
  <c r="H35" i="7"/>
  <c r="Y78" i="4"/>
  <c r="Y78" i="7" l="1"/>
  <c r="Q77" i="4"/>
  <c r="Z33" i="4"/>
  <c r="Z34" i="4"/>
  <c r="I34" i="4"/>
  <c r="AG34" i="4" s="1"/>
  <c r="AB33" i="4"/>
  <c r="AG33" i="4"/>
  <c r="AA34" i="7"/>
  <c r="AF34" i="7"/>
  <c r="N93" i="3"/>
  <c r="M95" i="3"/>
  <c r="M83" i="7"/>
  <c r="M85" i="7" s="1"/>
  <c r="N83" i="7" s="1"/>
  <c r="N85" i="7" s="1"/>
  <c r="O83" i="7" s="1"/>
  <c r="O85" i="7" s="1"/>
  <c r="P83" i="7"/>
  <c r="P85" i="7" s="1"/>
  <c r="Q82" i="4"/>
  <c r="N82" i="4"/>
  <c r="N84" i="4" s="1"/>
  <c r="O82" i="4" s="1"/>
  <c r="O84" i="4" s="1"/>
  <c r="P82" i="4" s="1"/>
  <c r="P84" i="4" s="1"/>
  <c r="H78" i="7"/>
  <c r="AF78" i="7" s="1"/>
  <c r="AF35" i="7"/>
  <c r="AA35" i="7"/>
  <c r="Y79" i="7"/>
  <c r="H79" i="7"/>
  <c r="X81" i="7"/>
  <c r="AB34" i="4"/>
  <c r="Y80" i="4"/>
  <c r="Z36" i="4"/>
  <c r="I36" i="4"/>
  <c r="Y37" i="7"/>
  <c r="H37" i="7"/>
  <c r="Q78" i="4" l="1"/>
  <c r="Z77" i="4"/>
  <c r="I77" i="4"/>
  <c r="AA78" i="7"/>
  <c r="Q83" i="7"/>
  <c r="Q85" i="7" s="1"/>
  <c r="R83" i="7" s="1"/>
  <c r="R85" i="7" s="1"/>
  <c r="S83" i="7" s="1"/>
  <c r="S85" i="7" s="1"/>
  <c r="T83" i="7"/>
  <c r="T85" i="7" s="1"/>
  <c r="N95" i="3"/>
  <c r="M101" i="3"/>
  <c r="M103" i="3" s="1"/>
  <c r="AB36" i="4"/>
  <c r="AG36" i="4"/>
  <c r="AA79" i="7"/>
  <c r="AF79" i="7"/>
  <c r="AH79" i="7" s="1"/>
  <c r="H81" i="7"/>
  <c r="AF37" i="7"/>
  <c r="AA37" i="7"/>
  <c r="Y81" i="7"/>
  <c r="Y85" i="7" s="1"/>
  <c r="AG77" i="4" l="1"/>
  <c r="AB77" i="4"/>
  <c r="Q80" i="4"/>
  <c r="I78" i="4"/>
  <c r="Z78" i="4"/>
  <c r="U83" i="7"/>
  <c r="U85" i="7" s="1"/>
  <c r="V83" i="7" s="1"/>
  <c r="V85" i="7" s="1"/>
  <c r="W83" i="7" s="1"/>
  <c r="W85" i="7" s="1"/>
  <c r="X83" i="7"/>
  <c r="X85" i="7" s="1"/>
  <c r="H85" i="7"/>
  <c r="AF85" i="7" s="1"/>
  <c r="AH85" i="7" s="1"/>
  <c r="AF81" i="7"/>
  <c r="AH81" i="7" s="1"/>
  <c r="AA81" i="7"/>
  <c r="AA85" i="7" s="1"/>
  <c r="AB78" i="4" l="1"/>
  <c r="I80" i="4"/>
  <c r="AG78" i="4"/>
  <c r="AI78" i="4" s="1"/>
  <c r="Q84" i="4"/>
  <c r="Z80" i="4"/>
  <c r="Z84" i="4" s="1"/>
  <c r="AH30" i="8"/>
  <c r="AH31" i="8"/>
  <c r="R82" i="4" l="1"/>
  <c r="R84" i="4" s="1"/>
  <c r="S82" i="4" s="1"/>
  <c r="S84" i="4" s="1"/>
  <c r="T82" i="4" s="1"/>
  <c r="T84" i="4" s="1"/>
  <c r="U82" i="4"/>
  <c r="U84" i="4" s="1"/>
  <c r="I84" i="4"/>
  <c r="AG84" i="4" s="1"/>
  <c r="AI84" i="4" s="1"/>
  <c r="AG80" i="4"/>
  <c r="AI80" i="4" s="1"/>
  <c r="AB80" i="4"/>
  <c r="AB84" i="4" s="1"/>
  <c r="AK31" i="8"/>
  <c r="AL31" i="8"/>
  <c r="AK30" i="8"/>
  <c r="AL30" i="8"/>
  <c r="V82" i="4" l="1"/>
  <c r="V84" i="4" s="1"/>
  <c r="W82" i="4" s="1"/>
  <c r="W84" i="4" s="1"/>
  <c r="X82" i="4" s="1"/>
  <c r="X84" i="4" s="1"/>
  <c r="Y82" i="4"/>
  <c r="Y84" i="4" s="1"/>
  <c r="AH32" i="8"/>
  <c r="AK32" i="8" s="1"/>
  <c r="AH36" i="8" l="1"/>
  <c r="AK36" i="8" s="1"/>
  <c r="AD32" i="7" l="1"/>
  <c r="AE31" i="4"/>
  <c r="AD11" i="7"/>
  <c r="AE11" i="4"/>
  <c r="AD13" i="7"/>
  <c r="AE13" i="4"/>
  <c r="AD16" i="7"/>
  <c r="AE16" i="4"/>
  <c r="AD19" i="7"/>
  <c r="AE19" i="4"/>
  <c r="AD23" i="7"/>
  <c r="AE23" i="4"/>
  <c r="AD29" i="7"/>
  <c r="AE29" i="4"/>
  <c r="AD25" i="7"/>
  <c r="AE25" i="4"/>
  <c r="AD15" i="7"/>
  <c r="AE15" i="4"/>
  <c r="AD18" i="7"/>
  <c r="AE18" i="4"/>
  <c r="AD12" i="7"/>
  <c r="AE12" i="4"/>
  <c r="AD33" i="7"/>
  <c r="AE32" i="4"/>
  <c r="AD39" i="7"/>
  <c r="AE38" i="4"/>
  <c r="AD35" i="7" l="1"/>
  <c r="AE34" i="4"/>
  <c r="AD20" i="7"/>
  <c r="AE20" i="4"/>
  <c r="AD26" i="7"/>
  <c r="AE26" i="4"/>
  <c r="G39" i="7"/>
  <c r="G41" i="7" s="1"/>
  <c r="AE39" i="7"/>
  <c r="AG39" i="7" s="1"/>
  <c r="H38" i="4"/>
  <c r="H40" i="4" s="1"/>
  <c r="I38" i="4" s="1"/>
  <c r="AF38" i="4"/>
  <c r="AH38" i="4" s="1"/>
  <c r="AE32" i="7"/>
  <c r="AF18" i="4" l="1"/>
  <c r="AE18" i="7"/>
  <c r="AF29" i="4"/>
  <c r="AI29" i="4" s="1"/>
  <c r="AE29" i="7"/>
  <c r="AF25" i="4"/>
  <c r="AH25" i="4" s="1"/>
  <c r="AE25" i="7"/>
  <c r="AF15" i="4"/>
  <c r="AH15" i="4" s="1"/>
  <c r="AE15" i="7"/>
  <c r="AD37" i="7"/>
  <c r="AE36" i="4"/>
  <c r="AG38" i="4"/>
  <c r="AI38" i="4" s="1"/>
  <c r="M38" i="4"/>
  <c r="M40" i="4" s="1"/>
  <c r="Z38" i="4"/>
  <c r="Z40" i="4" s="1"/>
  <c r="Z43" i="4" s="1"/>
  <c r="I40" i="4"/>
  <c r="AG40" i="4" s="1"/>
  <c r="AG51" i="4" s="1"/>
  <c r="AF13" i="4"/>
  <c r="AE13" i="7"/>
  <c r="AF16" i="4"/>
  <c r="AE16" i="7"/>
  <c r="AF17" i="4"/>
  <c r="AI17" i="4" s="1"/>
  <c r="AE17" i="7"/>
  <c r="AH17" i="7" s="1"/>
  <c r="AG32" i="7"/>
  <c r="AH32" i="7"/>
  <c r="U256" i="2"/>
  <c r="U257" i="2" s="1"/>
  <c r="H39" i="7"/>
  <c r="J38" i="4"/>
  <c r="J40" i="4" s="1"/>
  <c r="K38" i="4" s="1"/>
  <c r="K40" i="4" s="1"/>
  <c r="L38" i="4" s="1"/>
  <c r="L40" i="4" s="1"/>
  <c r="AH16" i="4"/>
  <c r="AI16" i="4"/>
  <c r="AF31" i="4"/>
  <c r="AH18" i="4"/>
  <c r="AI18" i="4"/>
  <c r="AI25" i="4" l="1"/>
  <c r="AH29" i="4"/>
  <c r="AI15" i="4"/>
  <c r="Q38" i="4"/>
  <c r="Q40" i="4" s="1"/>
  <c r="N38" i="4"/>
  <c r="N40" i="4" s="1"/>
  <c r="O38" i="4" s="1"/>
  <c r="O40" i="4" s="1"/>
  <c r="P38" i="4" s="1"/>
  <c r="P40" i="4" s="1"/>
  <c r="AG15" i="7"/>
  <c r="AH15" i="7"/>
  <c r="AD41" i="7"/>
  <c r="AD52" i="7" s="1"/>
  <c r="AE40" i="4"/>
  <c r="AE51" i="4" s="1"/>
  <c r="AF39" i="7"/>
  <c r="AH39" i="7" s="1"/>
  <c r="I39" i="7"/>
  <c r="I41" i="7" s="1"/>
  <c r="Y39" i="7"/>
  <c r="Y41" i="7" s="1"/>
  <c r="Y44" i="7" s="1"/>
  <c r="L39" i="7"/>
  <c r="L41" i="7" s="1"/>
  <c r="H41" i="7"/>
  <c r="AF41" i="7" s="1"/>
  <c r="AG16" i="7"/>
  <c r="AH16" i="7"/>
  <c r="AG25" i="7"/>
  <c r="AH25" i="7"/>
  <c r="AG18" i="7"/>
  <c r="AH18" i="7"/>
  <c r="AG29" i="7"/>
  <c r="AH29" i="7"/>
  <c r="AH31" i="4"/>
  <c r="AI31" i="4"/>
  <c r="AF52" i="7" l="1"/>
  <c r="M39" i="7"/>
  <c r="M41" i="7" s="1"/>
  <c r="P39" i="7"/>
  <c r="P41" i="7" s="1"/>
  <c r="J39" i="7"/>
  <c r="J41" i="7" s="1"/>
  <c r="R38" i="4"/>
  <c r="R40" i="4" s="1"/>
  <c r="S38" i="4" s="1"/>
  <c r="S40" i="4" s="1"/>
  <c r="T38" i="4" s="1"/>
  <c r="T40" i="4" s="1"/>
  <c r="U38" i="4"/>
  <c r="U40" i="4" s="1"/>
  <c r="Q39" i="7" l="1"/>
  <c r="Q41" i="7" s="1"/>
  <c r="T39" i="7"/>
  <c r="T41" i="7" s="1"/>
  <c r="N39" i="7"/>
  <c r="N41" i="7" s="1"/>
  <c r="K39" i="7"/>
  <c r="K41" i="7" s="1"/>
  <c r="V38" i="4"/>
  <c r="V40" i="4" s="1"/>
  <c r="W38" i="4" s="1"/>
  <c r="W40" i="4" s="1"/>
  <c r="X38" i="4" s="1"/>
  <c r="X40" i="4" s="1"/>
  <c r="Y38" i="4"/>
  <c r="Y40" i="4" s="1"/>
  <c r="X39" i="7" l="1"/>
  <c r="X41" i="7" s="1"/>
  <c r="U39" i="7"/>
  <c r="U41" i="7" s="1"/>
  <c r="O39" i="7"/>
  <c r="O41" i="7" s="1"/>
  <c r="R39" i="7"/>
  <c r="R41" i="7" s="1"/>
  <c r="S39" i="7" l="1"/>
  <c r="S41" i="7" s="1"/>
  <c r="V39" i="7"/>
  <c r="V41" i="7" s="1"/>
  <c r="W39" i="7" l="1"/>
  <c r="W41" i="7" s="1"/>
  <c r="M41" i="4" l="1"/>
  <c r="M42" i="4" s="1"/>
  <c r="L42" i="7"/>
  <c r="L43" i="7" s="1"/>
  <c r="AE11" i="7" l="1"/>
  <c r="AF23" i="4" l="1"/>
  <c r="AE23" i="7"/>
  <c r="AF24" i="4"/>
  <c r="AI24" i="4" s="1"/>
  <c r="AE24" i="7"/>
  <c r="AH24" i="7" s="1"/>
  <c r="AG11" i="7"/>
  <c r="AH11" i="7"/>
  <c r="AI23" i="4"/>
  <c r="AH23" i="4"/>
  <c r="AF11" i="4"/>
  <c r="AF19" i="4" l="1"/>
  <c r="AE19" i="7"/>
  <c r="AG23" i="7"/>
  <c r="AH23" i="7"/>
  <c r="AF32" i="4"/>
  <c r="AE33" i="7"/>
  <c r="AF26" i="4"/>
  <c r="AI26" i="4" s="1"/>
  <c r="AE26" i="7"/>
  <c r="AH11" i="4"/>
  <c r="AK21" i="4"/>
  <c r="AI11" i="4"/>
  <c r="AH19" i="4"/>
  <c r="AI19" i="4"/>
  <c r="AH32" i="4"/>
  <c r="AI32" i="4"/>
  <c r="AH26" i="4" l="1"/>
  <c r="AF34" i="4"/>
  <c r="AE35" i="7"/>
  <c r="AG26" i="7"/>
  <c r="AH26" i="7"/>
  <c r="AF20" i="4"/>
  <c r="AH20" i="4" s="1"/>
  <c r="AE20" i="7"/>
  <c r="AF36" i="4"/>
  <c r="AH36" i="4" s="1"/>
  <c r="AE37" i="7"/>
  <c r="AG33" i="7"/>
  <c r="AH33" i="7"/>
  <c r="AG19" i="7"/>
  <c r="AH19" i="7"/>
  <c r="AJ21" i="7"/>
  <c r="AH34" i="4"/>
  <c r="AI34" i="4"/>
  <c r="AA39" i="7"/>
  <c r="AA41" i="7" s="1"/>
  <c r="AA43" i="7" s="1"/>
  <c r="AE41" i="7"/>
  <c r="AI20" i="4" l="1"/>
  <c r="AI36" i="4"/>
  <c r="AE52" i="7"/>
  <c r="AG41" i="7"/>
  <c r="AH41" i="7"/>
  <c r="AG37" i="7"/>
  <c r="AH37" i="7"/>
  <c r="AG20" i="7"/>
  <c r="AH20" i="7"/>
  <c r="AG35" i="7"/>
  <c r="AH35" i="7"/>
  <c r="AF40" i="4"/>
  <c r="AB38" i="4"/>
  <c r="AB40" i="4" s="1"/>
  <c r="AB42" i="4" s="1"/>
  <c r="AH40" i="4" l="1"/>
  <c r="AF51" i="4"/>
  <c r="AI40" i="4"/>
  <c r="I41" i="4" l="1"/>
  <c r="I42" i="4" s="1"/>
  <c r="H42" i="7"/>
  <c r="H43" i="7" s="1"/>
  <c r="I42" i="7"/>
  <c r="I43" i="7" s="1"/>
  <c r="J41" i="4" l="1"/>
  <c r="J42" i="4" s="1"/>
  <c r="K41" i="4" l="1"/>
  <c r="K42" i="4" s="1"/>
  <c r="J42" i="7"/>
  <c r="J43" i="7" s="1"/>
  <c r="K42" i="7"/>
  <c r="K43" i="7" s="1"/>
  <c r="L41" i="4" l="1"/>
  <c r="L42" i="4" s="1"/>
  <c r="M42" i="7"/>
  <c r="M43" i="7" s="1"/>
  <c r="Q41" i="4" l="1"/>
  <c r="Q42" i="4" s="1"/>
  <c r="P42" i="7"/>
  <c r="P43" i="7" s="1"/>
  <c r="N41" i="4"/>
  <c r="N42" i="4" s="1"/>
  <c r="N42" i="7"/>
  <c r="N43" i="7" s="1"/>
  <c r="O41" i="4" l="1"/>
  <c r="O42" i="4" s="1"/>
  <c r="O42" i="7"/>
  <c r="O43" i="7" s="1"/>
  <c r="P41" i="4" l="1"/>
  <c r="P42" i="4" s="1"/>
  <c r="Q42" i="7"/>
  <c r="Q43" i="7" s="1"/>
  <c r="U41" i="4" l="1"/>
  <c r="U42" i="4" s="1"/>
  <c r="T42" i="7"/>
  <c r="T43" i="7" s="1"/>
  <c r="R41" i="4"/>
  <c r="R42" i="4" s="1"/>
  <c r="R42" i="7"/>
  <c r="R43" i="7" s="1"/>
  <c r="S41" i="4" l="1"/>
  <c r="S42" i="4" s="1"/>
  <c r="S42" i="7"/>
  <c r="S43" i="7" s="1"/>
  <c r="T41" i="4" l="1"/>
  <c r="T42" i="4" s="1"/>
  <c r="X42" i="7" l="1"/>
  <c r="X43" i="7" s="1"/>
  <c r="U42" i="7"/>
  <c r="U43" i="7" s="1"/>
  <c r="V41" i="4" l="1"/>
  <c r="V42" i="4" s="1"/>
  <c r="Y41" i="4"/>
  <c r="Y42" i="4" s="1"/>
  <c r="V42" i="7"/>
  <c r="V43" i="7" s="1"/>
  <c r="W41" i="4" l="1"/>
  <c r="W42" i="4" s="1"/>
  <c r="W42" i="7"/>
  <c r="W43" i="7" s="1"/>
  <c r="X41" i="4" l="1"/>
  <c r="X42" i="4" s="1"/>
  <c r="D38" i="1" l="1"/>
  <c r="G72" i="1"/>
  <c r="H72" i="1" s="1"/>
  <c r="G76" i="1"/>
  <c r="H76" i="1" s="1"/>
  <c r="G34" i="1"/>
  <c r="H34" i="1" l="1"/>
  <c r="G38" i="1"/>
  <c r="H38" i="1" s="1"/>
  <c r="M13" i="8"/>
  <c r="AJ13" i="8" s="1"/>
  <c r="I10" i="8"/>
  <c r="AI10" i="8" s="1"/>
  <c r="AL10" i="8" s="1"/>
  <c r="J13" i="8"/>
  <c r="J27" i="8" s="1"/>
  <c r="J32" i="8" s="1"/>
  <c r="J36" i="8" s="1"/>
  <c r="J39" i="8" s="1"/>
  <c r="AJ10" i="8"/>
  <c r="K13" i="8"/>
  <c r="K27" i="8" s="1"/>
  <c r="K32" i="8" s="1"/>
  <c r="K36" i="8" s="1"/>
  <c r="L13" i="8"/>
  <c r="L27" i="8" s="1"/>
  <c r="L32" i="8" s="1"/>
  <c r="L36" i="8" s="1"/>
  <c r="I13" i="8" l="1"/>
  <c r="I27" i="8" s="1"/>
  <c r="AA27" i="8" s="1"/>
  <c r="AI27" i="8"/>
  <c r="K39" i="8"/>
  <c r="L39" i="8" s="1"/>
  <c r="AA13" i="8"/>
  <c r="M27" i="8"/>
  <c r="I32" i="8" l="1"/>
  <c r="AI13" i="8"/>
  <c r="AL13" i="8" s="1"/>
  <c r="AN14" i="8"/>
  <c r="M32" i="8"/>
  <c r="AJ27" i="8"/>
  <c r="AL27" i="8"/>
  <c r="AO27" i="8"/>
  <c r="AO29" i="8" s="1"/>
  <c r="AO30" i="8" s="1"/>
  <c r="AI32" i="8"/>
  <c r="AL32" i="8" s="1"/>
  <c r="I36" i="8"/>
  <c r="AA32" i="8"/>
  <c r="AI36" i="8" l="1"/>
  <c r="AA36" i="8"/>
  <c r="AJ32" i="8"/>
  <c r="M36" i="8"/>
  <c r="M39" i="8" l="1"/>
  <c r="Q39" i="8"/>
  <c r="U39" i="8" s="1"/>
  <c r="AJ36" i="8"/>
  <c r="N39" i="8"/>
  <c r="O39" i="8" s="1"/>
  <c r="P39" i="8" s="1"/>
  <c r="R39" i="8" s="1"/>
  <c r="S39" i="8" s="1"/>
  <c r="T39" i="8" s="1"/>
  <c r="AL36" i="8"/>
  <c r="AI50" i="8"/>
  <c r="AK61" i="8"/>
  <c r="Y39" i="8" l="1"/>
  <c r="V39" i="8"/>
  <c r="W39" i="8" s="1"/>
  <c r="X39" i="8" s="1"/>
  <c r="I72" i="1" l="1"/>
  <c r="I76" i="1"/>
  <c r="E76" i="1"/>
  <c r="E72" i="1"/>
  <c r="J38" i="1"/>
  <c r="J34" i="1"/>
  <c r="I34" i="1"/>
  <c r="I38" i="1"/>
  <c r="C72" i="1"/>
  <c r="C76" i="1"/>
  <c r="E34" i="1"/>
  <c r="E38" i="1"/>
  <c r="J76" i="1"/>
  <c r="J72" i="1"/>
  <c r="C34" i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10</author>
  </authors>
  <commentList>
    <comment ref="H98" authorId="0" shapeId="0" xr:uid="{F4BCB332-5B59-4C86-B092-72CBB1AEE7C1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00" authorId="0" shapeId="0" xr:uid="{811B086A-E56A-4849-8C60-6660EA0AE200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03" authorId="0" shapeId="0" xr:uid="{C7A3F469-89C4-4C39-99C4-E173D937574F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06" authorId="0" shapeId="0" xr:uid="{6F640C2A-D2C3-4C12-9488-08B51B207EF5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09" authorId="0" shapeId="0" xr:uid="{C854D1BD-E82A-417F-9E5E-7DC368782EF7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10" authorId="0" shapeId="0" xr:uid="{EEA159C0-BB8B-45AC-B7C9-383B485C7265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11" authorId="0" shapeId="0" xr:uid="{BF40842F-AA75-4948-80CF-4D2443BF618E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  <comment ref="H112" authorId="0" shapeId="0" xr:uid="{1E299588-9D7D-47A2-BB44-2F95E9A7433E}">
      <text>
        <r>
          <rPr>
            <b/>
            <sz val="9"/>
            <color indexed="81"/>
            <rFont val="Tahoma"/>
            <family val="2"/>
          </rPr>
          <t>WIN 10:</t>
        </r>
        <r>
          <rPr>
            <sz val="9"/>
            <color indexed="81"/>
            <rFont val="Tahoma"/>
            <family val="2"/>
          </rPr>
          <t xml:space="preserve">
hutang usaha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Mokhtar</author>
  </authors>
  <commentList>
    <comment ref="T18" authorId="0" shapeId="0" xr:uid="{2AA6A830-DC1A-48FC-841E-E809A1878085}">
      <text>
        <r>
          <rPr>
            <sz val="9"/>
            <color indexed="81"/>
            <rFont val="Tahoma"/>
            <family val="2"/>
          </rPr>
          <t xml:space="preserve">Perincian Hutang :
1. Retensi WHJO      =   79.581
2. LC Mitsui             =   25.157
3. Retensi Sucofindo  =    2.819
4. Asuransi Jasindo   =    4.931
    </t>
        </r>
        <r>
          <rPr>
            <b/>
            <sz val="9"/>
            <color indexed="81"/>
            <rFont val="Tahoma"/>
            <family val="2"/>
          </rPr>
          <t>JUMLAH              = 112.488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Mokhtar</author>
  </authors>
  <commentList>
    <comment ref="Q15" authorId="0" shapeId="0" xr:uid="{5D9E503C-FE58-438A-B0B9-EA325936BAB7}">
      <text>
        <r>
          <rPr>
            <b/>
            <sz val="9"/>
            <color indexed="81"/>
            <rFont val="Tahoma"/>
            <family val="2"/>
          </rPr>
          <t>Mokhtar:</t>
        </r>
        <r>
          <rPr>
            <sz val="9"/>
            <color indexed="81"/>
            <rFont val="Tahoma"/>
            <family val="2"/>
          </rPr>
          <t xml:space="preserve">
Penerimaan Restitusi PPN Apri - Des 2019</t>
        </r>
      </text>
    </comment>
    <comment ref="I16" authorId="0" shapeId="0" xr:uid="{013EA568-FB9A-43AE-9D27-50E93F71513C}">
      <text>
        <r>
          <rPr>
            <b/>
            <sz val="9"/>
            <color indexed="81"/>
            <rFont val="Tahoma"/>
            <family val="2"/>
          </rPr>
          <t xml:space="preserve">
Hutang Mitsui  = 27157
Sisa Retnsi      = 37.411
Jumlah           = 64.568</t>
        </r>
      </text>
    </comment>
    <comment ref="K16" authorId="0" shapeId="0" xr:uid="{F8F2D0D3-FDAF-45B0-A043-AEA1B88519BC}">
      <text>
        <r>
          <rPr>
            <b/>
            <sz val="9"/>
            <color indexed="81"/>
            <rFont val="Tahoma"/>
            <family val="2"/>
          </rPr>
          <t>Mokhtar:</t>
        </r>
        <r>
          <rPr>
            <sz val="9"/>
            <color indexed="81"/>
            <rFont val="Tahoma"/>
            <family val="2"/>
          </rPr>
          <t xml:space="preserve">
Sisa Retensi Peralatan</t>
        </r>
      </text>
    </comment>
    <comment ref="Q16" authorId="0" shapeId="0" xr:uid="{AE2EF3CA-BEAB-49F7-97D5-2951F58BA014}">
      <text>
        <r>
          <rPr>
            <b/>
            <sz val="9"/>
            <color indexed="81"/>
            <rFont val="Tahoma"/>
            <family val="2"/>
          </rPr>
          <t xml:space="preserve">
Eskalasi JO          = 52.640
sdh dibyr PPh      =  (1.435)
sisa hutang          = 51.145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Mokhtar</author>
  </authors>
  <commentList>
    <comment ref="R15" authorId="0" shapeId="0" xr:uid="{129204F2-2780-4CB2-99E4-5C6855A7123B}">
      <text>
        <r>
          <rPr>
            <b/>
            <sz val="9"/>
            <color indexed="81"/>
            <rFont val="Tahoma"/>
            <family val="2"/>
          </rPr>
          <t>Mokhtar:</t>
        </r>
        <r>
          <rPr>
            <sz val="9"/>
            <color indexed="81"/>
            <rFont val="Tahoma"/>
            <family val="2"/>
          </rPr>
          <t xml:space="preserve">
Penerimaan Restitusi PPN Apri - Des 2019</t>
        </r>
      </text>
    </comment>
    <comment ref="N18" authorId="0" shapeId="0" xr:uid="{08ACB9D1-DDC1-4005-92D2-437EFFE2B93E}">
      <text>
        <r>
          <rPr>
            <b/>
            <sz val="9"/>
            <color indexed="81"/>
            <rFont val="Tahoma"/>
            <family val="2"/>
          </rPr>
          <t>Mokhtar:</t>
        </r>
        <r>
          <rPr>
            <sz val="9"/>
            <color indexed="81"/>
            <rFont val="Tahoma"/>
            <family val="2"/>
          </rPr>
          <t xml:space="preserve">
Sanksi Adm. Pajak 36.428</t>
        </r>
      </text>
    </comment>
  </commentList>
</comments>
</file>

<file path=xl/sharedStrings.xml><?xml version="1.0" encoding="utf-8"?>
<sst xmlns="http://schemas.openxmlformats.org/spreadsheetml/2006/main" count="1218" uniqueCount="591">
  <si>
    <t>INFRASTRUKTUR</t>
  </si>
  <si>
    <t xml:space="preserve">ANGGARAN </t>
  </si>
  <si>
    <t xml:space="preserve">SUPRASTRUKTUR: </t>
  </si>
  <si>
    <t>Ship To Shore (STS) Crane</t>
  </si>
  <si>
    <t>Automatic Rubber Tyred Gantry (ARTG) Crane</t>
  </si>
  <si>
    <t>Terminal Operating System (TOS)</t>
  </si>
  <si>
    <t>Konsultan Alat</t>
  </si>
  <si>
    <t>Civil Work</t>
  </si>
  <si>
    <t>Konsultan PMSC</t>
  </si>
  <si>
    <t>Civil Work lainnya</t>
  </si>
  <si>
    <t>Kurs</t>
  </si>
  <si>
    <t>Terminal Tractor</t>
  </si>
  <si>
    <t>Alat lainnya</t>
  </si>
  <si>
    <t>Development Cost</t>
  </si>
  <si>
    <t>IDC &amp; Provisi Rp</t>
  </si>
  <si>
    <t>IDC &amp; Provisi USD</t>
  </si>
  <si>
    <t>Eskalasi</t>
  </si>
  <si>
    <t>Total Suprastruktur</t>
  </si>
  <si>
    <t>USD</t>
  </si>
  <si>
    <t>Konversi dalam Rp</t>
  </si>
  <si>
    <t>RENCANA DAN REALISASI INVESTASI PT. PRIMA TERMINAL PETIKEMAS</t>
  </si>
  <si>
    <t>URAIAN</t>
  </si>
  <si>
    <t>%</t>
  </si>
  <si>
    <t>KONTRAK</t>
  </si>
  <si>
    <t>a. Pekerjaan Reviu Design</t>
  </si>
  <si>
    <t>b. Jalan Akses ke Fase 1 &amp; Fase 2</t>
  </si>
  <si>
    <t>c. Pembuatan Rambu Suar Jalur Nelayan</t>
  </si>
  <si>
    <t>a. Pengadaan simulator crane</t>
  </si>
  <si>
    <t>b. Konsultan Perencaan dan pengadaan simulator</t>
  </si>
  <si>
    <t xml:space="preserve">c. Pengadaan Shore Box Conection </t>
  </si>
  <si>
    <t>d. Konsultan pengawasan SBC</t>
  </si>
  <si>
    <t>e. Pemasangan Daya Listrik PLN</t>
  </si>
  <si>
    <t>REALISASI sd.Okt.2020</t>
  </si>
  <si>
    <t xml:space="preserve">SISA HUTANG </t>
  </si>
  <si>
    <t>JUMLAH</t>
  </si>
  <si>
    <t>LABA/(RUGI SELISIH KURS)</t>
  </si>
  <si>
    <t>Konversi dalam Rp (Kurs: Rp 14.750)</t>
  </si>
  <si>
    <t>9= 4-7</t>
  </si>
  <si>
    <t>11= 5-8-10</t>
  </si>
  <si>
    <t>12= 7+9</t>
  </si>
  <si>
    <t>13= 8+10+11</t>
  </si>
  <si>
    <t>Effisien (In-Effisien)</t>
  </si>
  <si>
    <t>Rp.</t>
  </si>
  <si>
    <t>April 2014 - Des 2017</t>
  </si>
  <si>
    <t>Jan 2018 - Des 2018</t>
  </si>
  <si>
    <t>Jan 2019 - Maret 2019</t>
  </si>
  <si>
    <t>Total Infrastruktur</t>
  </si>
  <si>
    <t>Tahun 2013</t>
  </si>
  <si>
    <t>Tahun 2014</t>
  </si>
  <si>
    <t>Tahun 2015</t>
  </si>
  <si>
    <t>Tahun 2016</t>
  </si>
  <si>
    <t>Tahun 2017</t>
  </si>
  <si>
    <t>Tahun 2018</t>
  </si>
  <si>
    <t>Tahun 2019</t>
  </si>
  <si>
    <t>Oktober 2020</t>
  </si>
  <si>
    <t>TOTAL</t>
  </si>
  <si>
    <t>Sumber Pendanaan</t>
  </si>
  <si>
    <t xml:space="preserve">Setoran Pemegang Saham: </t>
  </si>
  <si>
    <t>PT Pelindo 1 (70%)</t>
  </si>
  <si>
    <t>PT Hutama Karya (15%)</t>
  </si>
  <si>
    <t>PT Wijaya Karya (15%)</t>
  </si>
  <si>
    <t>Total Setoran Modal</t>
  </si>
  <si>
    <t>Pinjaman Ke Bank</t>
  </si>
  <si>
    <t>PDU (Pendapatan Jasa Giro/Deposito)</t>
  </si>
  <si>
    <t>Restitusi PPN</t>
  </si>
  <si>
    <t>Total Sumber Pendanaan</t>
  </si>
  <si>
    <t>Penggunaan Dana</t>
  </si>
  <si>
    <t>Investasi:</t>
  </si>
  <si>
    <t>WIKA HKJO</t>
  </si>
  <si>
    <t>PT Atrya Swascipta Rekayasa</t>
  </si>
  <si>
    <t xml:space="preserve">PT Virama Karya </t>
  </si>
  <si>
    <t>AKA (Aktual Kencana Adhijaya)</t>
  </si>
  <si>
    <t>PT LAPI Ganeshatama Consulting</t>
  </si>
  <si>
    <t>PT Flamboyan</t>
  </si>
  <si>
    <t>PricewaterhouseCoopers (pwc)</t>
  </si>
  <si>
    <t>Biaya yang ditangguhkan (Biaya Pendirian Perusahaan, Rekrutmen)</t>
  </si>
  <si>
    <t>Jasa Konsultan (LDS &amp; Partner, Poer's &amp; Patner, Junaidi)</t>
  </si>
  <si>
    <t>Mitsui</t>
  </si>
  <si>
    <t>Konecrane</t>
  </si>
  <si>
    <t>Terberg</t>
  </si>
  <si>
    <t>Primus &amp; RBS</t>
  </si>
  <si>
    <t>Sucofindo</t>
  </si>
  <si>
    <t>IIF</t>
  </si>
  <si>
    <t>PT Prima Pengembangan Kawasan</t>
  </si>
  <si>
    <t>Mandiri (Biaya IDC+Biaya Bank dan Provisi )</t>
  </si>
  <si>
    <t>Total Investasi</t>
  </si>
  <si>
    <t>Beban Pra Operasi</t>
  </si>
  <si>
    <t>Pajak (PPN, PPh)</t>
  </si>
  <si>
    <t>Pengembalian Restitusi PPN</t>
  </si>
  <si>
    <t>BDU (Giro)</t>
  </si>
  <si>
    <t>Bunga Pinjaman</t>
  </si>
  <si>
    <t>Total penggunaan dana</t>
  </si>
  <si>
    <t>Saldo Awal Kas dan Setara Kas</t>
  </si>
  <si>
    <t>Saldo Akhir Kas dan Setara Kas</t>
  </si>
  <si>
    <t xml:space="preserve">Laporan Arus Kas Akhir </t>
  </si>
  <si>
    <t>Check balance</t>
  </si>
  <si>
    <t>T A H U N</t>
  </si>
  <si>
    <t>Total pengeluaran Non Investasi</t>
  </si>
  <si>
    <t>Flamboyan ( Termin I Jasa Pemborongan Pekerjaan Pembuatan Rambu Suar Jalur Nelayan Kepada PT Flamboyan Karya Utama)</t>
  </si>
  <si>
    <t>JO (Pembayaran Termin VIII Jasa Pemborongan Pekerjaan Reklamasi, Dermaga, Container Yard, dan Utilisasi Terminal Petikemas Belawan Fase 2)</t>
  </si>
  <si>
    <t>Flamboyan ( Termin II Jasa Pemborongan Pekerjaan Pembuatan Rambu Suar Jalur Nelayan Kepada PT Flamboyan Karya Utama)</t>
  </si>
  <si>
    <t>Virama Karya (Progres Tagihan Bulan Ke-32 sampai dengan Bulan Ke-36 Jasa Konsultasi PMSC (Project Management and Supervisor Consultant)  Pengembangan TPK Belawan Fase 2 kepada PT Virama Karya (Persero))</t>
  </si>
  <si>
    <t>JO (Termin IX Jasa Pemborongan Pekerjaan Reklamasi, Dermaga, Container Yard, dan Utilisasi Terminal Petikemas Belawan Fase 2)</t>
  </si>
  <si>
    <t>Flamboyan (Temin III Jasa Pemborongan Pekerjaan Pembuatan Rambu Suar Jalur Nelayan Kepada PT Flamboyan Karya Utama)</t>
  </si>
  <si>
    <t>Virama karya (Progres Tagihan Bulan Desember 2017 (Ke-37) Jasa konsultasi PMSC Pengembangan TPK Belawan Fase 2 Kepada PT Virama Karya (Persero))</t>
  </si>
  <si>
    <t>ATRYA (Final 100% Jasa Konsultan Pendamping Tahap Ke-2 Pada Pekerjaan Reklamasi, Dermaga, Container Yard dan Utilitas Terminal Petikemas Belawan Fase 2)</t>
  </si>
  <si>
    <t>PWC (Tahap I (Pertama) atas Pekerjaan Jasa Konsultan Penyusunan Business Plan Pengoperasian Terminal Petikemas Belawan Fase 2 Kepada PT PricewaterhouseCoopers (PwC) Consulting Indonesia)</t>
  </si>
  <si>
    <t>JO (Termin IX Jasa Pemborongan Pekerjaan Reklamasi, Dermaga, Container Yard dan Utilitas Terminal Petikemas Belawan Fase 2)</t>
  </si>
  <si>
    <t>Bank Mandiri (Biaya Bank atas Biaya Fasilitas Kredit Sindikasi Investasi Suprastruktur (Biaya KI Suprastruktur dan KI IDC dan Biaya Agensi))</t>
  </si>
  <si>
    <t>PWC Tahap II (Kedua) atas Pekerjaan Jasa Konsultan Penyusunan Business Plan Pengoperasian Terminal Petikemas Belawan Fase 2 Kepada PT PricewaterhouseCoopers (PwC) Consulting Indonesia</t>
  </si>
  <si>
    <t>JO (Termin X Jasa Pemborongan Pekerjaan Reklamasi, Dermaga, Container Yard dan Utilitas Terminal Petikemas Belawan Fase 2)</t>
  </si>
  <si>
    <t>Virama Karya (Tagihan Bulan Januari 2018 (Ke-38) sampai dengan Bulan Maret 2018 (Ke-40) Jasa Konsultasi PMSC (Project Management and Supervisor Consultant) Pengembangan TPK Belawan Fase 2 Kepada PT Virama Karya (Persero))</t>
  </si>
  <si>
    <t>JO (Termin XI Jasa Pemborongan Pekerjaan Reklamasi, Dermaga, Container Yard dan Utilitas Terminal Petikemas Belawan Fase 2)</t>
  </si>
  <si>
    <t>Virama Karya (Tagihan Bulan April 2018 (Ke-41) sampai dengan Bulan Juli 2018 (Ke-44) Jasa Konsultasi PMSC (Project Management and Supervisor Consultant)  Pengembangan TPK Belawan Fase 2 kepada PT Virama Karya (Persero))</t>
  </si>
  <si>
    <t>JO (Termin XII Jasa Pemborongan Pekerjaan Reklamasi, Dermaga, Container Yard dan Utilitas Terminal Petikemas Belawan Fase 2)</t>
  </si>
  <si>
    <t>Pelatihan Port strategy training dari IBC Training Academy Singapore pada tanggal 14-15 Mei 2018 a.n Jansen Sitohang dan Emal Zain MTB</t>
  </si>
  <si>
    <t>Diklat Kepelabuhanan Angkatan Ke-25 Peserta dari PT Prima Terminal Petikemas atas nama Pandapotan Pulungan dan Emal Zain MTB Pada tanggal 08-12 Oktober 2018</t>
  </si>
  <si>
    <t>Konsultan Hukum Widyawan &amp; Partner atas Perjanjian Fasilitas-Fasilitas Sindikasi PT Prima Terminal Petikemas dengan PT Indonesia Infrastructure Finance dan PT Bank Mandiri (Persero) Tbk</t>
  </si>
  <si>
    <t>Mutiar Siswono (Akta Notaris atas Pembuatan Akta Gadai Kredit Investasi 2 Kepada Notaris Mutiara Siswono)</t>
  </si>
  <si>
    <t>AKA (Jasa Konsultasi Penyusunan Study Kelayakan Pembangunan dan Pengusahaan TPK Belawan Fase 1 Dengan PT Actual Kencana Adhijaya)</t>
  </si>
  <si>
    <t xml:space="preserve">PT LAPI Ganeshatama Consulting (Jasa Konsultasi Penyusunan Rencana Implementasi Investasi Shorebox Connection Untuk Crane Simulator Dengan PT LAPI Ganeshatama Consulting </t>
  </si>
  <si>
    <t>Notaris Risna Rahmi (Pembuatan Akta Perubahan Modal Dasar , Maksud &amp; Tujuan Kepada Notaris Risna Rahmi)</t>
  </si>
  <si>
    <t>Ariani (Jasa Konsultasi Hukum Ariani Untuk Perjanjian KI-2 Pengadaan Alat)</t>
  </si>
  <si>
    <t>JO (Termin XIII Jasa Pemborongan Pekerjaan Reklamasi, Dermaga, Container Yard dan Utilitas Terminal Petikemas Belawan Fase 2)</t>
  </si>
  <si>
    <t>JO (Termin XIV Jasa Pemborongan Pekerjaan Reklamasi, Dermaga, Container Yard dan Utilitas Terminal Petikemas Belawan Fase 2)</t>
  </si>
  <si>
    <t>Notaris Risna Rahmi (Pembuatan Akta Perubahan Penetapan Masa Tugas Direktur Keuangan dan Umum dan Direktur Operasi dan Teknik Kepada Notaris Risna Rahmi )</t>
  </si>
  <si>
    <t>Virama Karya (Tagihan ke 45)</t>
  </si>
  <si>
    <t>ATRYA (Jasa Konsultasi Review dan Revisi Desain Pengoperasian TPK Pekerjaan Mekanikal dan Elektrikal TPK Belawan)</t>
  </si>
  <si>
    <t>JO (Termin XV Jasa Pemborongan Pekerjaan Reklamasi, Dermaga, Container Yard dan Utilitas Terminal Petikemas Belawan Fase 2)</t>
  </si>
  <si>
    <t>Konecranes (Pembayaran Tahap I Alat ARTG Crane)</t>
  </si>
  <si>
    <t>Mitusi (Pemby Tahap I Alat STS Crane)</t>
  </si>
  <si>
    <t>JO (Termin XVI Jasa Pemborongan Pekerjaan Reklamasi, Dermaga, Container Yard dan Utilitas Terminal Petikemas Belawan Fase 2)</t>
  </si>
  <si>
    <t>Bank Mandiri (Biaya Agensi Terkait Fasilitas Kredit Sindikasi)</t>
  </si>
  <si>
    <t>PT LAPI Ganeshatama Consulting (Jasa Konsultasi Penyusunan Rencana Implementasi Investasi Shorebox Connection Untuk Crane Simulator Dengan PT LAPI Ganeshatama Consulting )</t>
  </si>
  <si>
    <t>Terberg (Pembayaran Tahap I Alat Terminal Tractor)</t>
  </si>
  <si>
    <t>JO (Termin XVII Jasa Pemborongan Pekerjaan Reklamasi, Dermaga, Container Yard dan Utilitas Terminal Petikemas Belawan Fase 2)</t>
  </si>
  <si>
    <t>Mitusi (Pemby Tahap II Alat STS Crane)</t>
  </si>
  <si>
    <t>Mitusi (Pemby Tahap III Alat STS Crane)</t>
  </si>
  <si>
    <t>Konecranes (Pembayaran Tahap II Alat ARTG Crane)</t>
  </si>
  <si>
    <t>Bank Mandiri (Biaya Administrasi Kredit Investasi Tahun 2019 a.n. PT Prima Terminal Petikemas)</t>
  </si>
  <si>
    <t>Virama Karya (Tagihan ke 46-51)</t>
  </si>
  <si>
    <t>Biaya pelatihan k3 umum Pegawai a.n Cesar Banjarnahor</t>
  </si>
  <si>
    <t>Rekrutmen Pegawai</t>
  </si>
  <si>
    <t>Sertifikasi PFSO dan Internal Auditor ISPS Code</t>
  </si>
  <si>
    <t>In-House Training &amp; sertifikasi Risk Agent dan Task Officer an. Sindy</t>
  </si>
  <si>
    <t>PT Nawakara Perkasa Nusantara (sertifikasi ISPS Code)</t>
  </si>
  <si>
    <t>Mitusi (Pemby Tahap IV Alat STS Crane)</t>
  </si>
  <si>
    <t>JO (Termin XVIII Jasa Pemborongan Pekerjaan Reklamasi, Dermaga, Container Yard dan Utilitas Terminal Petikemas Belawan Fase 2)</t>
  </si>
  <si>
    <t>Konecranes (Pembayaran Tahap III Alat ARTG Crane)</t>
  </si>
  <si>
    <t>Mitusi (Pemby Tahap V Alat STS Crane)</t>
  </si>
  <si>
    <t>Konecranes (Pembayaran Tahap IV Alat ARTG Crane)</t>
  </si>
  <si>
    <t>Konecranes (Pembayaran Tahap V Alat ARTG Crane)</t>
  </si>
  <si>
    <t>Sucofindo (Jasa Konsultansi Pengawasan Pengadaan Peralatan Bongkar Muat dan Terminal Operating System (TOS) di Terminal Petikemas Belawan Fase 2)</t>
  </si>
  <si>
    <t>Virama Karya (Tagihan ke 52-58)</t>
  </si>
  <si>
    <t>Virama Karya (Tagihan ke 59 dan retensi)</t>
  </si>
  <si>
    <t>Realtime Bussines Solutions (Pembayaran Tahap I s.d IV Pengadaan TOS0</t>
  </si>
  <si>
    <t>Primus Indonesia (Pembayaran Tahap I s.d IV Pengadaan TOS0</t>
  </si>
  <si>
    <t>Indonesia Infrastructure Finance (Konsultan Fee Oleh PT Esc Environment Indonesia sesuai dengan Kontrak no 023PROC-INV-IIF-2018)</t>
  </si>
  <si>
    <t>Konecranes (Pembayaran Tahap VI Alat ARTG Crane)</t>
  </si>
  <si>
    <t>Sisa Hutang yang belum dibayar</t>
  </si>
  <si>
    <t>Suprastruktur :</t>
  </si>
  <si>
    <t>Infrastruktur :</t>
  </si>
  <si>
    <t xml:space="preserve"> - Retensi</t>
  </si>
  <si>
    <t xml:space="preserve"> - Eskalasi</t>
  </si>
  <si>
    <t xml:space="preserve">Jumlah Hutang </t>
  </si>
  <si>
    <t>Sumber Pembiayaaan :</t>
  </si>
  <si>
    <t>Restitusi bulan April - Des 2019</t>
  </si>
  <si>
    <t>Jumlah</t>
  </si>
  <si>
    <t>PPN yg tdk dpt di Restitusi</t>
  </si>
  <si>
    <t>Nop'20</t>
  </si>
  <si>
    <t>Pokok  Pinjaman</t>
  </si>
  <si>
    <t>Shareholder Loan</t>
  </si>
  <si>
    <t>Rencana Des 20</t>
  </si>
  <si>
    <t>s/d OKT'2020</t>
  </si>
  <si>
    <t>No.</t>
  </si>
  <si>
    <t>U R A I A N</t>
  </si>
  <si>
    <t>RKAP THN 2020</t>
  </si>
  <si>
    <t>Realisasi sd Juni  2020</t>
  </si>
  <si>
    <t>Realisasi</t>
  </si>
  <si>
    <t>Realisasi sd Sept. 2020</t>
  </si>
  <si>
    <t>R e n c a n a</t>
  </si>
  <si>
    <t>Triwulan IV</t>
  </si>
  <si>
    <t>Realisasi sd Nop. 2020</t>
  </si>
  <si>
    <t>Rencana Des'20</t>
  </si>
  <si>
    <t>Estimasi sd Des 2020</t>
  </si>
  <si>
    <t>Rencana TAHUN 2021</t>
  </si>
  <si>
    <t>Rencana TW-I  2021</t>
  </si>
  <si>
    <t>Rencana TW-II  2021</t>
  </si>
  <si>
    <t>Rencana TW-III  2021</t>
  </si>
  <si>
    <t>Rencana TW-IV  2021</t>
  </si>
  <si>
    <t>Juli</t>
  </si>
  <si>
    <t>Agust.</t>
  </si>
  <si>
    <t>Sept.</t>
  </si>
  <si>
    <t>Okt.</t>
  </si>
  <si>
    <t>Nop.</t>
  </si>
  <si>
    <t>Des</t>
  </si>
  <si>
    <t>Jan</t>
  </si>
  <si>
    <t>Feb</t>
  </si>
  <si>
    <t>Mar</t>
  </si>
  <si>
    <t>Apr.</t>
  </si>
  <si>
    <t>Mei</t>
  </si>
  <si>
    <t>Jun.</t>
  </si>
  <si>
    <t>Jul.</t>
  </si>
  <si>
    <t>Agst.</t>
  </si>
  <si>
    <t>Des.</t>
  </si>
  <si>
    <t>I.</t>
  </si>
  <si>
    <t>ARUS KAS DARI AKTIVITAS OPERASI</t>
  </si>
  <si>
    <t>1.</t>
  </si>
  <si>
    <t>PENER.KAS DR AKTIVITAS USAHA KEPELABUHANAN :</t>
  </si>
  <si>
    <t>a.</t>
  </si>
  <si>
    <t>Pendapatan Tunai</t>
  </si>
  <si>
    <t>b.</t>
  </si>
  <si>
    <t>Penerimaan Uang titipan dan Uper</t>
  </si>
  <si>
    <t>c.</t>
  </si>
  <si>
    <t>Pelunasan Piutang Usaha</t>
  </si>
  <si>
    <t>Total Penerimaan Kas Dari Aktivitas Usaha Kepelabuhanan</t>
  </si>
  <si>
    <t>2.</t>
  </si>
  <si>
    <t>PENGEL. KAS UTK. AKTIVITAS USAHA KEPELABUHANAN :</t>
  </si>
  <si>
    <t>Biaya Tunai</t>
  </si>
  <si>
    <t>Pengembalian Uang Titipan dan Uper</t>
  </si>
  <si>
    <t>Pembayaran Hutang Usaha</t>
  </si>
  <si>
    <t>d.</t>
  </si>
  <si>
    <t>Pembayaran Hutang Kerjasama Mitra Usaha</t>
  </si>
  <si>
    <t>Total Pengeluaran Kas Untuk Aktivitas Usaha Kepelabuhanan</t>
  </si>
  <si>
    <t>3.</t>
  </si>
  <si>
    <t>ARUS KAS DR. KEGIATAN USAHA KEPELABUHANAN  (I.1-I.2)</t>
  </si>
  <si>
    <t>4.</t>
  </si>
  <si>
    <t>PENERIMAAN KAS DR. AKTIVITAS LAINNYA :</t>
  </si>
  <si>
    <t>Pelunasan Piutang  Pegawai</t>
  </si>
  <si>
    <t>Pelunasan Piutang Lain-Lain (Pengembalian UM Pek.Civil Work &amp; PMSC)</t>
  </si>
  <si>
    <t>Pengembalian Uang Muka</t>
  </si>
  <si>
    <t>Penerimaan Uang Yg Harus dipertanggungjawabkan</t>
  </si>
  <si>
    <t>e.</t>
  </si>
  <si>
    <t>Penerimaan Hutang Pajak Lainnya</t>
  </si>
  <si>
    <t>f.</t>
  </si>
  <si>
    <t>Penerimaan PPN Keluaran</t>
  </si>
  <si>
    <t>g.</t>
  </si>
  <si>
    <t>RK Cabang / Kantor Pusat</t>
  </si>
  <si>
    <t>h.</t>
  </si>
  <si>
    <t>Penerimaan Pendapatan Diluar Usaha</t>
  </si>
  <si>
    <t>i.</t>
  </si>
  <si>
    <t>Pendapatan Yang Diterima Dimuka</t>
  </si>
  <si>
    <t>j.</t>
  </si>
  <si>
    <t xml:space="preserve">Penerimaan dari PPn Masukan </t>
  </si>
  <si>
    <t>k.</t>
  </si>
  <si>
    <t>Penerimaan Lainnya (Uang Titipan)</t>
  </si>
  <si>
    <t>Total Penerimaan Kas Dr. Aktivitas Lainnya</t>
  </si>
  <si>
    <t>5.</t>
  </si>
  <si>
    <t>PENGEL.KAS UTK. AKTIVITAS LAINNYA :</t>
  </si>
  <si>
    <t xml:space="preserve">Pengeluaran Piutang Pegawai </t>
  </si>
  <si>
    <t>Pengeluaran Piutang Lainnya</t>
  </si>
  <si>
    <t>Pengeluaran Uang Muka</t>
  </si>
  <si>
    <t>Pembayaran Beban  Yang Dibayar Dimuka</t>
  </si>
  <si>
    <t>Pembayaran Uang Titipan</t>
  </si>
  <si>
    <t>Pembayaran Hutang Bonus dan Tantiem</t>
  </si>
  <si>
    <t>Pembayaran Hutang Jasa Produksi</t>
  </si>
  <si>
    <t>Pembayaran Deviden</t>
  </si>
  <si>
    <t>Pembayaran Kemitraan dan Bina Lingkungan</t>
  </si>
  <si>
    <t>Pembayaran Beban  Diluar Usaha</t>
  </si>
  <si>
    <t>l.</t>
  </si>
  <si>
    <t>Penyetoran Angsuran PPh Badan Pasal 25</t>
  </si>
  <si>
    <t>m.</t>
  </si>
  <si>
    <t>Pengeluaran untuk PPN Masukan yang dapat dikreditkan</t>
  </si>
  <si>
    <t>n.</t>
  </si>
  <si>
    <t>Pengeluaran untuk  Penyetoran Hutang Pajak Lainnya</t>
  </si>
  <si>
    <t>o.</t>
  </si>
  <si>
    <t>Pengeluaran untuk  Penyetoran PPN Keluaran</t>
  </si>
  <si>
    <t>p.</t>
  </si>
  <si>
    <t>Pengeluaran untuk Biaya Yang Masih Harus Dibayar</t>
  </si>
  <si>
    <t>q.</t>
  </si>
  <si>
    <t>Pengeluaran untuk Kewajiban Imbalan Kerja Jk.Pendek</t>
  </si>
  <si>
    <t>r.</t>
  </si>
  <si>
    <t>Pengeluaran Lainnya</t>
  </si>
  <si>
    <t>Total Pengeluaran Kas Untuk Aktivitas Lainnya</t>
  </si>
  <si>
    <t>6.</t>
  </si>
  <si>
    <t>ARUS KAS DR. AKTIVITAS LAINNYA (I.4)-(I.5)</t>
  </si>
  <si>
    <t>7.</t>
  </si>
  <si>
    <t>ARUS KAS BERSIH DR. AKTIVITAS OPERASI (I.3)+(I.6)</t>
  </si>
  <si>
    <t>II.</t>
  </si>
  <si>
    <t>ARUS KAS DARI AKTIVITAS INVESTASI</t>
  </si>
  <si>
    <t>PENERIMAAN KAS DR. AKTIVITAS INVESTASI :</t>
  </si>
  <si>
    <t>Penjualan Kertas Berharga</t>
  </si>
  <si>
    <t>Pencairan Deposito</t>
  </si>
  <si>
    <t>Penjualan Aktiva Tetap</t>
  </si>
  <si>
    <t>Pelunasan Piutang Lain-Lain (Pengembalian UM &amp; Retensi)</t>
  </si>
  <si>
    <t>Penerimaan Deviden / Bunga</t>
  </si>
  <si>
    <t>Total Penerimaan Kas Dari Aktivitas Investasi</t>
  </si>
  <si>
    <t>PENGEL.KAS UNTUK AKTIVITAS INVESTASI :</t>
  </si>
  <si>
    <t>Pembayaran Uang Muka Pekerjaan (Civil Work 5%)</t>
  </si>
  <si>
    <t>Pengeluaran untuk Aset Dalam Kontruksi</t>
  </si>
  <si>
    <t>Pengeluaran untuk Pengadaan Alat (STS,ARTG+TOS,Head Truck)</t>
  </si>
  <si>
    <t>Pembayaran Biaya Yang Ditangguhkan</t>
  </si>
  <si>
    <t>e</t>
  </si>
  <si>
    <t>Pembayaran Biaya Pendidikan-Fasar-Biaya Perolehan</t>
  </si>
  <si>
    <t>Total Pengeluaran Kas Untuk Aktivitas Investasi</t>
  </si>
  <si>
    <t>ARUS KAS BERSIH DR. AKTIVITAS INVESTASI (II.1)-(II.2)</t>
  </si>
  <si>
    <t>III.</t>
  </si>
  <si>
    <t>ARUS KAS DARI AKTIVITAS PENDANAAN</t>
  </si>
  <si>
    <t>PENERIMAAN KAS DR. AKTIVITAS PENDANAAN :</t>
  </si>
  <si>
    <t>Penerimaan Pinjaman Bank</t>
  </si>
  <si>
    <t>Penerimaan Restitusi Pajak</t>
  </si>
  <si>
    <t>Penjualan Saham (Tambahan Setoran Modal)</t>
  </si>
  <si>
    <t>Penerimaan Pinjaman Pemegang Saham (SHL)</t>
  </si>
  <si>
    <t>Penerimaan Piutang Setoran Modal</t>
  </si>
  <si>
    <t>Total Penerimaan Kas Dari Aktivitas Pendanaan</t>
  </si>
  <si>
    <t>PENGELUARAN KAS UNTUK AKTIVITAS PENDANAAN :</t>
  </si>
  <si>
    <t>Pembayaran Pokok Pinjaman</t>
  </si>
  <si>
    <t>Pembayaran Bunga Pinjaman</t>
  </si>
  <si>
    <t>Pembayaran Provisi</t>
  </si>
  <si>
    <t>Pembayaran IDC</t>
  </si>
  <si>
    <t>Penarikan Obligasi</t>
  </si>
  <si>
    <t>Pembayaran Pengembalian Pajak PPN</t>
  </si>
  <si>
    <t>Total Pengeluaran Kas Dari Aktivitas Pendanaan</t>
  </si>
  <si>
    <t>ARUS KAS BERSIH DR.AKTIV.PENDANAAN (III.1)-(III.2)</t>
  </si>
  <si>
    <t>IV.</t>
  </si>
  <si>
    <t>KENAIKAN/PENURUNAN KAS BERSIH (I.7)+(II.3)+(III.3)</t>
  </si>
  <si>
    <t>V.</t>
  </si>
  <si>
    <t>SALDO AWAL KAS DAN SETARA KAS</t>
  </si>
  <si>
    <t>K a s</t>
  </si>
  <si>
    <t>D e p o s i t o</t>
  </si>
  <si>
    <t>KAS DAN SETARA KAS PADA AWAL PERIODE</t>
  </si>
  <si>
    <t>VI.</t>
  </si>
  <si>
    <t>SALDO AKHIR KAS DAN SETARA KAS (IV+V)</t>
  </si>
  <si>
    <t>dibayar</t>
  </si>
  <si>
    <t>Oktober</t>
  </si>
  <si>
    <t>Nopember</t>
  </si>
  <si>
    <t>Desember</t>
  </si>
  <si>
    <t>Maret 2021</t>
  </si>
  <si>
    <t>Hutang Retensi Wika Hutama JO</t>
  </si>
  <si>
    <t>Hutang Eskalasi Wika Hutama JO</t>
  </si>
  <si>
    <t>Sub Jumlah</t>
  </si>
  <si>
    <t>PT Atrya Swacipta Rekayasa</t>
  </si>
  <si>
    <t>PT Primus Indonesia</t>
  </si>
  <si>
    <t>Konecranes</t>
  </si>
  <si>
    <t>Jumlah Hutang Vendor</t>
  </si>
  <si>
    <t>s/d Nop'20</t>
  </si>
  <si>
    <t>Asuransi Jasindo</t>
  </si>
  <si>
    <t>PT Pelindo1 (70%)</t>
  </si>
  <si>
    <t>TOTAL sd Nop 2020</t>
  </si>
  <si>
    <t>Total Investasi Supra &amp; Infra Struktur</t>
  </si>
  <si>
    <t xml:space="preserve">Setoran Modal Pemegang Saham: </t>
  </si>
  <si>
    <t>4=2-3</t>
  </si>
  <si>
    <t>5=4/2</t>
  </si>
  <si>
    <t>RENCANA DAN REALISAI INVESTASI PT. PRIMA TERMINAL PETIKEMAS</t>
  </si>
  <si>
    <t>Estimasi Realisasi  2020 (Revisi RKAP)</t>
  </si>
  <si>
    <t>TW-I</t>
  </si>
  <si>
    <t>TW-II</t>
  </si>
  <si>
    <t>TW-III</t>
  </si>
  <si>
    <t>Lampiran - 1</t>
  </si>
  <si>
    <t>SUMBER PEMBIAYAAN INVESTASI &amp; REALISASI PENGGUNAANNYA</t>
  </si>
  <si>
    <t>PT. PRIMA TERMINAL PETIKEMAS</t>
  </si>
  <si>
    <t>TAHUN 2013 S/D DESEMBER 2020</t>
  </si>
  <si>
    <t>Lampiran - 2</t>
  </si>
  <si>
    <t>Lampiran - 3</t>
  </si>
  <si>
    <t>ESTIMASI ARUS  KAS TAHUN 2020 DAN RENCANA TAHUN 2021</t>
  </si>
  <si>
    <t>Infrastruktur</t>
  </si>
  <si>
    <t>Fasilitas Peralatan</t>
  </si>
  <si>
    <t>Konsultan</t>
  </si>
  <si>
    <t>Asuransi</t>
  </si>
  <si>
    <t>IDC &amp; Adm. Bank</t>
  </si>
  <si>
    <t>Pajak</t>
  </si>
  <si>
    <t>Lainnya</t>
  </si>
  <si>
    <t>Sub Jumah Suprastruktur</t>
  </si>
  <si>
    <t>INVESTASI</t>
  </si>
  <si>
    <t>Total Pendanaan</t>
  </si>
  <si>
    <t>SUMBER PENDANAAN</t>
  </si>
  <si>
    <t>PENGELUARAN</t>
  </si>
  <si>
    <t>PENERIMAAN :</t>
  </si>
  <si>
    <t>Total Pengeluaran Investasi</t>
  </si>
  <si>
    <t>Total Penerimaan Pendanaan</t>
  </si>
  <si>
    <t>Saldo</t>
  </si>
  <si>
    <t>Saldo Bank</t>
  </si>
  <si>
    <t>Net Cash Flow Investasi</t>
  </si>
  <si>
    <t>PENGELUARAN NON INVESTASI</t>
  </si>
  <si>
    <t>PENERIMAAN LAIN-LAIN</t>
  </si>
  <si>
    <t>Penerimaan Restitusi PPN</t>
  </si>
  <si>
    <t>Net Cash Flow Non Investasi</t>
  </si>
  <si>
    <t>Total Pengeluaran Non  Investasi</t>
  </si>
  <si>
    <t>Total Penerimaan Non Investasi</t>
  </si>
  <si>
    <t>Saldo Akhir Kas</t>
  </si>
  <si>
    <t>Dari Awal sd Nop 2020</t>
  </si>
  <si>
    <t>Penerimaan Penjualan Jasa</t>
  </si>
  <si>
    <t>Rencana Pembayaran Desember 2020 :</t>
  </si>
  <si>
    <t xml:space="preserve"> - Retensi WHJO</t>
  </si>
  <si>
    <t xml:space="preserve"> - Konsultan Sucofindo</t>
  </si>
  <si>
    <t xml:space="preserve"> - Suransi Jasino</t>
  </si>
  <si>
    <t>Investasi :</t>
  </si>
  <si>
    <t>Non Investasi :</t>
  </si>
  <si>
    <t xml:space="preserve"> - Bunga Pinjaman</t>
  </si>
  <si>
    <t xml:space="preserve"> - Pokok Pinjaman</t>
  </si>
  <si>
    <t xml:space="preserve"> - Operasional </t>
  </si>
  <si>
    <t>Saldo Akhir</t>
  </si>
  <si>
    <t>Net Cash Flow Investasi per Nop'20</t>
  </si>
  <si>
    <t>Net Cash Flow Non Investasi per Nop'20</t>
  </si>
  <si>
    <t>Saldo Akhir Kas per Nop'20</t>
  </si>
  <si>
    <t>PROGNOSA ARUS KAS TAHUN 2020</t>
  </si>
  <si>
    <t>U r a I a n</t>
  </si>
  <si>
    <t>Realisas sd Juni 2020</t>
  </si>
  <si>
    <t>Estimasi Realisasi 2020</t>
  </si>
  <si>
    <t>RKAP THN 2021</t>
  </si>
  <si>
    <t>TRIWULANAN</t>
  </si>
  <si>
    <t>NO.</t>
  </si>
  <si>
    <t>RKAP 2020</t>
  </si>
  <si>
    <t>ESTIMASI RKAP 2020</t>
  </si>
  <si>
    <t>RKAP 2021</t>
  </si>
  <si>
    <t>Ratio (%)</t>
  </si>
  <si>
    <t>Jan.</t>
  </si>
  <si>
    <t>Feb.</t>
  </si>
  <si>
    <t>Mar.</t>
  </si>
  <si>
    <t>TW I</t>
  </si>
  <si>
    <t>TW II</t>
  </si>
  <si>
    <t>TW III</t>
  </si>
  <si>
    <t>TW IV</t>
  </si>
  <si>
    <t>4/3</t>
  </si>
  <si>
    <t>5/4</t>
  </si>
  <si>
    <t>6</t>
  </si>
  <si>
    <t>7</t>
  </si>
  <si>
    <t>Arus Kas dari Aktivitas Operasi</t>
  </si>
  <si>
    <t>Penerimaan Tunai</t>
  </si>
  <si>
    <t>Penerimaan Uang Muka</t>
  </si>
  <si>
    <t>Penerimaan titipan</t>
  </si>
  <si>
    <t>Penerimaan Lainnya</t>
  </si>
  <si>
    <t>Pengeluaran kepada Pemasok</t>
  </si>
  <si>
    <t>Pengeluaran kepada Karyawan/Tunai</t>
  </si>
  <si>
    <t>Pengeluaran Pajak</t>
  </si>
  <si>
    <t>Pengeluaran lainnya</t>
  </si>
  <si>
    <t>Kas bersih dihasilkan dari (digunakan untuk) aktivitas Operasi</t>
  </si>
  <si>
    <t>Arus Kas dari Aktivitas Investasi</t>
  </si>
  <si>
    <t>Pembelian Aset dalam penyelesaian</t>
  </si>
  <si>
    <t>Pembelian aset tak berwujud</t>
  </si>
  <si>
    <t>Pembelian aset tetap</t>
  </si>
  <si>
    <t>Kas bersih dihasilkan dari (digunakan untuk) aktivitas Investasi</t>
  </si>
  <si>
    <t>Arus Kas dari Aktivitas Pendanaan</t>
  </si>
  <si>
    <t>Penambahan setoran modal</t>
  </si>
  <si>
    <t>Penambahan pinjaman bank</t>
  </si>
  <si>
    <t>Pengembalian pinjaman bank</t>
  </si>
  <si>
    <t>penambahan utang bunga pinjaman</t>
  </si>
  <si>
    <t>Kas bersih dihasilkan dari (digunakan untuk) aktivitas Pendanaan</t>
  </si>
  <si>
    <t>Kenaikan (Penurunan) bersih Kas / Setara Kas</t>
  </si>
  <si>
    <t>Kas dan setara kas Awal tahun</t>
  </si>
  <si>
    <t>Saldo akhir kas dan setara kas</t>
  </si>
  <si>
    <t>Catatan : Estimasi Arus Kas sd Des 2020, blm memperhitungkan kewajiban sbb :</t>
  </si>
  <si>
    <t xml:space="preserve"> '- Tagihan Eskalai WHJO</t>
  </si>
  <si>
    <t xml:space="preserve">  58 Milyar</t>
  </si>
  <si>
    <t xml:space="preserve"> - Pembayaran BPHTB jika HPL terbit </t>
  </si>
  <si>
    <t xml:space="preserve">  40 Milyar</t>
  </si>
  <si>
    <t xml:space="preserve"> - STP atas bunga pengembalian Restitusi Pajak </t>
  </si>
  <si>
    <t xml:space="preserve">  36 Milyar</t>
  </si>
  <si>
    <t>134 Milyar</t>
  </si>
  <si>
    <t>Dana Talangan PS (Shareholder Loan)</t>
  </si>
  <si>
    <t xml:space="preserve">Kenaikan (Penurunan) bersih Kas </t>
  </si>
  <si>
    <t>Revisi RKAP Tahun 2020</t>
  </si>
  <si>
    <t>Realisasi sd Nop'2020</t>
  </si>
  <si>
    <t>Penerimaan Pajak</t>
  </si>
  <si>
    <t>Nilai Investasi</t>
  </si>
  <si>
    <t>Suprastruktur</t>
  </si>
  <si>
    <t>Anggaran</t>
  </si>
  <si>
    <t>Real. Kontrak</t>
  </si>
  <si>
    <t>Eff. (In-Eff)</t>
  </si>
  <si>
    <t>Sumber Dana</t>
  </si>
  <si>
    <t>Plafond</t>
  </si>
  <si>
    <t>Penarikan</t>
  </si>
  <si>
    <t>Pokok</t>
  </si>
  <si>
    <t>IDC</t>
  </si>
  <si>
    <t>Sisa Palfond</t>
  </si>
  <si>
    <t xml:space="preserve">Sumber Pendanaan </t>
  </si>
  <si>
    <t>Setoran Modal</t>
  </si>
  <si>
    <t>Pinjaman Bank</t>
  </si>
  <si>
    <t>Uraian</t>
  </si>
  <si>
    <t>Penerimaan Lainnya (jasa Giro &amp; Bunga Deposito) :</t>
  </si>
  <si>
    <t>Jumlah Pendanaan</t>
  </si>
  <si>
    <t>Sub Jumlah Pendanaan</t>
  </si>
  <si>
    <t>Saldo Dana</t>
  </si>
  <si>
    <t>Nilai Kontrak</t>
  </si>
  <si>
    <t>Deviasi</t>
  </si>
  <si>
    <t>Nomor</t>
  </si>
  <si>
    <t>A</t>
  </si>
  <si>
    <t>B</t>
  </si>
  <si>
    <t>C</t>
  </si>
  <si>
    <t>D</t>
  </si>
  <si>
    <t>Realisasi pengeluaran</t>
  </si>
  <si>
    <t>Saldo Hutang :</t>
  </si>
  <si>
    <t>Retensi WHJO</t>
  </si>
  <si>
    <t>Eskalasi WHJO</t>
  </si>
  <si>
    <t>Sucifondo</t>
  </si>
  <si>
    <t>d. PPN yg tdk dpt di Restitusi</t>
  </si>
  <si>
    <t>Kebutuhan Pendanaan</t>
  </si>
  <si>
    <t xml:space="preserve">Kebutuhan Pendanaan </t>
  </si>
  <si>
    <t>Ada dalam RKAP</t>
  </si>
  <si>
    <t>Tidak wajib ada dalam RKAP</t>
  </si>
  <si>
    <t>Durasi waktu pendek krn di Level PS tdk perlu ijin ke Pemegang Saham</t>
  </si>
  <si>
    <t>Proyeksi keuangan terkait Rcn pengembalian</t>
  </si>
  <si>
    <t>Diperlukan Kajian Bisnis baru terkait IRR</t>
  </si>
  <si>
    <t>Diperlukan RUPS di Level Pemegang Saham Induk masing2</t>
  </si>
  <si>
    <t xml:space="preserve">Diperlukan RUPS di Level Pemegang Saham , terkait  Penjaminan </t>
  </si>
  <si>
    <t>Diperlukan Tambahan Fasilitas baru krn fasilitas yg lama sdh close</t>
  </si>
  <si>
    <t xml:space="preserve">Proses persetujuan berdasarkan pengalaman sebelumnya cukup lama </t>
  </si>
  <si>
    <t>Rencana Des 2020</t>
  </si>
  <si>
    <t>Estimasi sd Des' 2020</t>
  </si>
  <si>
    <t>Pinjaman Pokok Ke Bank</t>
  </si>
  <si>
    <t>Pembayaran bunga</t>
  </si>
  <si>
    <t>U r a i a n</t>
  </si>
  <si>
    <t>Est. Des'20</t>
  </si>
  <si>
    <t xml:space="preserve"> - Asuransi Jasindo</t>
  </si>
  <si>
    <t xml:space="preserve"> - PPh Retensi </t>
  </si>
  <si>
    <t>Pengembalian pinjaman SHL</t>
  </si>
  <si>
    <t>1. Setoran Modal</t>
  </si>
  <si>
    <t>2. Pinjaman Pihak ke-3</t>
  </si>
  <si>
    <t>3. Pinjaman Dana (SHL)</t>
  </si>
  <si>
    <t>Dibutuhkan RUPS di Level Pemegang Saham PTP</t>
  </si>
  <si>
    <t>Terhadap Fasilitas Existing msh menjadi catatan Kreditur krn mundurnya target pengoperasian, shg belum memungkinkan mendapata tambahan Fasilitas Kredit baru</t>
  </si>
  <si>
    <t>PROGNOSA LABA (RUGI) TAHUN 2020</t>
  </si>
  <si>
    <t>REAL.2109</t>
  </si>
  <si>
    <t>R E N C A N A  T A H U N  2 0 2 1</t>
  </si>
  <si>
    <t>RKAP 2021 Stand Alone</t>
  </si>
  <si>
    <t>RKAP 2021 Ber-Mitra</t>
  </si>
  <si>
    <t>Maret</t>
  </si>
  <si>
    <t>April</t>
  </si>
  <si>
    <t>Juni</t>
  </si>
  <si>
    <t>TW-IV</t>
  </si>
  <si>
    <t>1</t>
  </si>
  <si>
    <t>2</t>
  </si>
  <si>
    <t>8</t>
  </si>
  <si>
    <t>10</t>
  </si>
  <si>
    <t>11=(8+9+10)</t>
  </si>
  <si>
    <t>12</t>
  </si>
  <si>
    <t>13</t>
  </si>
  <si>
    <t>14</t>
  </si>
  <si>
    <t>15=(12+13+14)</t>
  </si>
  <si>
    <t>PENDAPATAN OPERASI</t>
  </si>
  <si>
    <t>4101</t>
  </si>
  <si>
    <t>Pendapatan pusat layanan kapal</t>
  </si>
  <si>
    <t>4102</t>
  </si>
  <si>
    <t>Pendapatan pelayanan TPK</t>
  </si>
  <si>
    <t>4199</t>
  </si>
  <si>
    <t>Pendapatan rupa-rupa usaha</t>
  </si>
  <si>
    <t>JUMLAH PENDAPATAN</t>
  </si>
  <si>
    <t>BEBAN OPERASI</t>
  </si>
  <si>
    <t>Beban pegawai</t>
  </si>
  <si>
    <t>Beban Bahan</t>
  </si>
  <si>
    <t>Beban Pemeliharaan</t>
  </si>
  <si>
    <t>Beban penyusutan/amortisasi</t>
  </si>
  <si>
    <t>Beban asuransi</t>
  </si>
  <si>
    <t>Beban sewa</t>
  </si>
  <si>
    <t>Beban kerja sama mitra usaha</t>
  </si>
  <si>
    <t>Beban administrasi kantor</t>
  </si>
  <si>
    <t>Beban umum</t>
  </si>
  <si>
    <t>JUNLAH BEBAN OPERASI</t>
  </si>
  <si>
    <t>JUMLAH BEBAN OPERASI</t>
  </si>
  <si>
    <t>LABA (RUGI) USAHA</t>
  </si>
  <si>
    <t>III</t>
  </si>
  <si>
    <t>PENDAPATAN (BEBAN) DILUAR USAHA</t>
  </si>
  <si>
    <t>Pendapatan diluar usaha</t>
  </si>
  <si>
    <t>Beban diluar Usaha</t>
  </si>
  <si>
    <t>Jumlah Pendapatan (beban) diluar usaha</t>
  </si>
  <si>
    <t>IV</t>
  </si>
  <si>
    <t>LABA SEBELUM PAJAK</t>
  </si>
  <si>
    <t>Pendapatan (beban) pajak kini</t>
  </si>
  <si>
    <t>Pendapatan (beban) pajak tangguhan</t>
  </si>
  <si>
    <t>Bagian Laba (Rugi) Kepeningan Pengendali</t>
  </si>
  <si>
    <t xml:space="preserve">LABA (RUGI)  SETELAH PAJAK </t>
  </si>
  <si>
    <t xml:space="preserve">Laba (Rugi) setelah non Pengendali </t>
  </si>
  <si>
    <t>Saldo Deposito :</t>
  </si>
  <si>
    <t>Mandiri</t>
  </si>
  <si>
    <t>BNI</t>
  </si>
  <si>
    <t>BRI</t>
  </si>
  <si>
    <t>BSM</t>
  </si>
  <si>
    <t>Selisih Beda Kurs</t>
  </si>
  <si>
    <t>Vendor</t>
  </si>
  <si>
    <t>Kurs Jual</t>
  </si>
  <si>
    <t>Kurs Beli</t>
  </si>
  <si>
    <t>Selisih Kurs</t>
  </si>
  <si>
    <t>Pembayaran bunga Kredit</t>
  </si>
  <si>
    <t>Beban Pemasaran</t>
  </si>
  <si>
    <t>Beban Konsultan</t>
  </si>
  <si>
    <t>RKAP 2021 Pemegang Saham</t>
  </si>
  <si>
    <t>1.1.</t>
  </si>
  <si>
    <t>1.2.</t>
  </si>
  <si>
    <t>1.3</t>
  </si>
  <si>
    <t>2.1.</t>
  </si>
  <si>
    <t>2.3.</t>
  </si>
  <si>
    <t>2.2.</t>
  </si>
  <si>
    <t>2.4.</t>
  </si>
  <si>
    <t>REALISASI CASH FLOW SD DESEMBER 2020 TAHUN  DAN RENCANA TAHUN 2021</t>
  </si>
  <si>
    <t>RKAP Tahun 2021</t>
  </si>
  <si>
    <t>RKAP Tahun 2020</t>
  </si>
  <si>
    <t>Pembayaran Pokok pinjaman</t>
  </si>
  <si>
    <t>Pembayaran bunga pinjaman</t>
  </si>
  <si>
    <t xml:space="preserve"> Realisasi  2020 (Unaudited)</t>
  </si>
  <si>
    <t>RKAP 2020 Revisi PS</t>
  </si>
  <si>
    <t xml:space="preserve"> Realisasi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</si>
</sst>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* #,##0_);_(* \(#,##0\);_(* &quot;-&quot;_);_(@_)"/>
    <numFmt numFmtId="167" formatCode="_(* #,##0.00_);_(* \(#,##0.00\);_(* &quot;-&quot;_);_(@_)"/>
    <numFmt numFmtId="168" formatCode="_(* #,##0.00_);_(* \(#,##0.00\);_(* &quot;-&quot;??_);_(@_)"/>
    <numFmt numFmtId="169" formatCode="_-* #,##0.00_-;\-* #,##0.00_-;_-* &quot;-&quot;_-;_-@_-"/>
  </numFmts>
  <fonts count="5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0"/>
      <color theme="1"/>
      <name val="Tahoma"/>
      <family val="2"/>
    </font>
    <font>
      <sz val="12"/>
      <color rgb="FFFF0000"/>
      <name val="Tahoma"/>
      <family val="2"/>
    </font>
    <font>
      <sz val="10"/>
      <name val="Arial"/>
      <family val="2"/>
    </font>
    <font>
      <b/>
      <sz val="12"/>
      <color theme="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Times New Roman"/>
      <family val="1"/>
    </font>
    <font>
      <b/>
      <sz val="14"/>
      <name val="Calibri"/>
      <family val="2"/>
      <scheme val="minor"/>
    </font>
    <font>
      <b/>
      <sz val="14"/>
      <name val="Times New Roman"/>
      <family val="1"/>
    </font>
    <font>
      <b/>
      <u/>
      <sz val="10"/>
      <name val="Times New Roman"/>
      <family val="1"/>
    </font>
    <font>
      <b/>
      <sz val="10"/>
      <color theme="0"/>
      <name val="Times New Roman"/>
      <family val="1"/>
    </font>
    <font>
      <b/>
      <sz val="9"/>
      <color theme="0"/>
      <name val="Tahoma"/>
      <family val="2"/>
    </font>
    <font>
      <b/>
      <i/>
      <u/>
      <sz val="1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4"/>
      <color theme="1"/>
      <name val="Tahoma"/>
      <family val="2"/>
    </font>
    <font>
      <sz val="14"/>
      <color theme="0"/>
      <name val="Tahoma"/>
      <family val="2"/>
    </font>
    <font>
      <sz val="14"/>
      <color theme="1"/>
      <name val="Tahoma"/>
      <family val="2"/>
    </font>
    <font>
      <b/>
      <sz val="14"/>
      <color theme="0"/>
      <name val="Tahoma"/>
      <family val="2"/>
    </font>
    <font>
      <b/>
      <u/>
      <sz val="14"/>
      <color theme="1"/>
      <name val="Tahoma"/>
      <family val="2"/>
    </font>
    <font>
      <u/>
      <sz val="14"/>
      <color theme="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4"/>
      <color rgb="FF0070C0"/>
      <name val="Tahoma"/>
      <family val="2"/>
    </font>
    <font>
      <b/>
      <sz val="14"/>
      <color rgb="FF00B0F0"/>
      <name val="Tahoma"/>
      <family val="2"/>
    </font>
    <font>
      <sz val="11"/>
      <color theme="1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9"/>
      <color rgb="FFFF0000"/>
      <name val="Tahoma"/>
      <family val="2"/>
    </font>
    <font>
      <sz val="9"/>
      <name val="Tahoma"/>
      <family val="2"/>
    </font>
    <font>
      <b/>
      <u/>
      <sz val="9"/>
      <color theme="1"/>
      <name val="Tahoma"/>
      <family val="2"/>
    </font>
    <font>
      <b/>
      <sz val="9"/>
      <name val="Tahoma"/>
      <family val="2"/>
    </font>
    <font>
      <b/>
      <sz val="9"/>
      <color rgb="FF0070C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ahoma"/>
      <family val="2"/>
    </font>
    <font>
      <sz val="14"/>
      <color rgb="FFFF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9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theme="0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medium">
        <color auto="1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n">
        <color theme="0"/>
      </left>
      <right style="thin">
        <color theme="0"/>
      </right>
      <top style="mediumDashed">
        <color rgb="FFFF0000"/>
      </top>
      <bottom style="mediumDashed">
        <color rgb="FFFF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hair">
        <color theme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hair">
        <color theme="1"/>
      </bottom>
      <diagonal/>
    </border>
    <border diagonalUp="1">
      <left style="thin">
        <color theme="0"/>
      </left>
      <right style="thin">
        <color theme="0"/>
      </right>
      <top style="medium">
        <color theme="1"/>
      </top>
      <bottom style="medium">
        <color auto="1"/>
      </bottom>
      <diagonal style="thin">
        <color theme="0"/>
      </diagonal>
    </border>
    <border>
      <left style="thin">
        <color theme="0"/>
      </left>
      <right style="thin">
        <color theme="0"/>
      </right>
      <top style="hair">
        <color theme="1"/>
      </top>
      <bottom style="hair">
        <color theme="1"/>
      </bottom>
      <diagonal/>
    </border>
    <border>
      <left style="thin">
        <color theme="0"/>
      </left>
      <right style="thin">
        <color theme="0"/>
      </right>
      <top style="hair">
        <color theme="1"/>
      </top>
      <bottom style="medium">
        <color theme="1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645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4" fillId="0" borderId="0" xfId="1" applyNumberFormat="1" applyFont="1"/>
    <xf numFmtId="0" fontId="4" fillId="0" borderId="0" xfId="0" applyFont="1"/>
    <xf numFmtId="164" fontId="3" fillId="2" borderId="1" xfId="1" applyNumberFormat="1" applyFont="1" applyFill="1" applyBorder="1"/>
    <xf numFmtId="164" fontId="4" fillId="2" borderId="1" xfId="1" applyNumberFormat="1" applyFont="1" applyFill="1" applyBorder="1"/>
    <xf numFmtId="164" fontId="4" fillId="7" borderId="1" xfId="1" applyNumberFormat="1" applyFont="1" applyFill="1" applyBorder="1"/>
    <xf numFmtId="164" fontId="5" fillId="7" borderId="1" xfId="1" applyNumberFormat="1" applyFont="1" applyFill="1" applyBorder="1"/>
    <xf numFmtId="164" fontId="3" fillId="7" borderId="1" xfId="1" applyNumberFormat="1" applyFont="1" applyFill="1" applyBorder="1"/>
    <xf numFmtId="164" fontId="6" fillId="7" borderId="1" xfId="1" applyNumberFormat="1" applyFont="1" applyFill="1" applyBorder="1"/>
    <xf numFmtId="164" fontId="4" fillId="0" borderId="0" xfId="0" applyNumberFormat="1" applyFont="1"/>
    <xf numFmtId="0" fontId="4" fillId="0" borderId="0" xfId="0" applyFont="1" applyBorder="1"/>
    <xf numFmtId="164" fontId="3" fillId="10" borderId="1" xfId="1" applyNumberFormat="1" applyFont="1" applyFill="1" applyBorder="1"/>
    <xf numFmtId="164" fontId="4" fillId="10" borderId="1" xfId="1" applyNumberFormat="1" applyFont="1" applyFill="1" applyBorder="1"/>
    <xf numFmtId="164" fontId="5" fillId="11" borderId="1" xfId="1" applyNumberFormat="1" applyFont="1" applyFill="1" applyBorder="1"/>
    <xf numFmtId="164" fontId="5" fillId="13" borderId="1" xfId="1" applyNumberFormat="1" applyFont="1" applyFill="1" applyBorder="1"/>
    <xf numFmtId="0" fontId="3" fillId="12" borderId="1" xfId="0" applyFont="1" applyFill="1" applyBorder="1" applyAlignment="1">
      <alignment horizontal="center"/>
    </xf>
    <xf numFmtId="164" fontId="5" fillId="13" borderId="2" xfId="1" applyNumberFormat="1" applyFont="1" applyFill="1" applyBorder="1"/>
    <xf numFmtId="165" fontId="5" fillId="13" borderId="2" xfId="1" applyNumberFormat="1" applyFont="1" applyFill="1" applyBorder="1"/>
    <xf numFmtId="164" fontId="4" fillId="0" borderId="0" xfId="0" applyNumberFormat="1" applyFont="1" applyBorder="1"/>
    <xf numFmtId="164" fontId="6" fillId="13" borderId="1" xfId="1" applyNumberFormat="1" applyFont="1" applyFill="1" applyBorder="1"/>
    <xf numFmtId="164" fontId="6" fillId="11" borderId="1" xfId="1" applyNumberFormat="1" applyFont="1" applyFill="1" applyBorder="1"/>
    <xf numFmtId="43" fontId="3" fillId="0" borderId="0" xfId="1" applyNumberFormat="1" applyFont="1"/>
    <xf numFmtId="43" fontId="4" fillId="0" borderId="0" xfId="1" applyNumberFormat="1" applyFont="1"/>
    <xf numFmtId="43" fontId="3" fillId="12" borderId="1" xfId="0" applyNumberFormat="1" applyFont="1" applyFill="1" applyBorder="1" applyAlignment="1">
      <alignment horizontal="center"/>
    </xf>
    <xf numFmtId="164" fontId="5" fillId="9" borderId="1" xfId="1" applyNumberFormat="1" applyFont="1" applyFill="1" applyBorder="1"/>
    <xf numFmtId="0" fontId="3" fillId="0" borderId="0" xfId="0" applyFont="1"/>
    <xf numFmtId="0" fontId="4" fillId="0" borderId="0" xfId="0" applyFont="1"/>
    <xf numFmtId="164" fontId="7" fillId="0" borderId="0" xfId="0" applyNumberFormat="1" applyFont="1"/>
    <xf numFmtId="164" fontId="4" fillId="0" borderId="0" xfId="0" applyNumberFormat="1" applyFont="1"/>
    <xf numFmtId="164" fontId="4" fillId="0" borderId="1" xfId="1" applyNumberFormat="1" applyFont="1" applyFill="1" applyBorder="1"/>
    <xf numFmtId="43" fontId="4" fillId="0" borderId="0" xfId="1" applyFont="1"/>
    <xf numFmtId="164" fontId="3" fillId="6" borderId="1" xfId="1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vertical="center"/>
    </xf>
    <xf numFmtId="164" fontId="3" fillId="10" borderId="1" xfId="1" applyNumberFormat="1" applyFont="1" applyFill="1" applyBorder="1" applyAlignment="1">
      <alignment horizontal="center" vertical="center"/>
    </xf>
    <xf numFmtId="164" fontId="3" fillId="10" borderId="1" xfId="1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14" borderId="1" xfId="0" applyFont="1" applyFill="1" applyBorder="1"/>
    <xf numFmtId="0" fontId="4" fillId="14" borderId="1" xfId="0" applyFont="1" applyFill="1" applyBorder="1"/>
    <xf numFmtId="164" fontId="4" fillId="14" borderId="1" xfId="1" applyNumberFormat="1" applyFont="1" applyFill="1" applyBorder="1"/>
    <xf numFmtId="43" fontId="4" fillId="14" borderId="1" xfId="1" applyNumberFormat="1" applyFont="1" applyFill="1" applyBorder="1"/>
    <xf numFmtId="166" fontId="8" fillId="14" borderId="6" xfId="2" applyNumberFormat="1" applyFont="1" applyFill="1" applyBorder="1"/>
    <xf numFmtId="167" fontId="8" fillId="14" borderId="6" xfId="2" applyNumberFormat="1" applyFont="1" applyFill="1" applyBorder="1"/>
    <xf numFmtId="41" fontId="4" fillId="14" borderId="1" xfId="2" applyNumberFormat="1" applyFont="1" applyFill="1" applyBorder="1"/>
    <xf numFmtId="164" fontId="4" fillId="15" borderId="1" xfId="1" applyNumberFormat="1" applyFont="1" applyFill="1" applyBorder="1"/>
    <xf numFmtId="164" fontId="10" fillId="5" borderId="1" xfId="1" applyNumberFormat="1" applyFont="1" applyFill="1" applyBorder="1" applyAlignment="1">
      <alignment horizontal="center"/>
    </xf>
    <xf numFmtId="164" fontId="10" fillId="17" borderId="1" xfId="1" applyNumberFormat="1" applyFont="1" applyFill="1" applyBorder="1" applyAlignment="1">
      <alignment horizontal="center"/>
    </xf>
    <xf numFmtId="164" fontId="10" fillId="16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center" vertical="center"/>
    </xf>
    <xf numFmtId="164" fontId="10" fillId="17" borderId="1" xfId="1" applyNumberFormat="1" applyFont="1" applyFill="1" applyBorder="1" applyAlignment="1">
      <alignment horizontal="center" vertical="center"/>
    </xf>
    <xf numFmtId="164" fontId="10" fillId="18" borderId="1" xfId="1" applyNumberFormat="1" applyFont="1" applyFill="1" applyBorder="1" applyAlignment="1">
      <alignment horizontal="center" vertical="center"/>
    </xf>
    <xf numFmtId="43" fontId="10" fillId="18" borderId="1" xfId="1" applyNumberFormat="1" applyFont="1" applyFill="1" applyBorder="1" applyAlignment="1">
      <alignment horizontal="center" vertical="center"/>
    </xf>
    <xf numFmtId="0" fontId="3" fillId="19" borderId="1" xfId="0" applyFont="1" applyFill="1" applyBorder="1"/>
    <xf numFmtId="164" fontId="3" fillId="19" borderId="1" xfId="1" applyNumberFormat="1" applyFont="1" applyFill="1" applyBorder="1"/>
    <xf numFmtId="43" fontId="3" fillId="19" borderId="1" xfId="1" applyNumberFormat="1" applyFont="1" applyFill="1" applyBorder="1"/>
    <xf numFmtId="166" fontId="8" fillId="19" borderId="6" xfId="2" applyNumberFormat="1" applyFont="1" applyFill="1" applyBorder="1"/>
    <xf numFmtId="167" fontId="8" fillId="19" borderId="6" xfId="2" applyNumberFormat="1" applyFont="1" applyFill="1" applyBorder="1"/>
    <xf numFmtId="0" fontId="3" fillId="13" borderId="1" xfId="0" applyFont="1" applyFill="1" applyBorder="1"/>
    <xf numFmtId="164" fontId="3" fillId="13" borderId="1" xfId="1" applyNumberFormat="1" applyFont="1" applyFill="1" applyBorder="1"/>
    <xf numFmtId="43" fontId="3" fillId="13" borderId="1" xfId="1" applyNumberFormat="1" applyFont="1" applyFill="1" applyBorder="1"/>
    <xf numFmtId="164" fontId="4" fillId="9" borderId="0" xfId="1" applyNumberFormat="1" applyFont="1" applyFill="1"/>
    <xf numFmtId="0" fontId="4" fillId="0" borderId="0" xfId="0" applyFont="1" applyAlignment="1">
      <alignment horizontal="center" vertical="center"/>
    </xf>
    <xf numFmtId="166" fontId="13" fillId="0" borderId="0" xfId="0" applyNumberFormat="1" applyFont="1"/>
    <xf numFmtId="41" fontId="13" fillId="0" borderId="0" xfId="0" applyNumberFormat="1" applyFont="1"/>
    <xf numFmtId="0" fontId="14" fillId="0" borderId="0" xfId="5" applyFont="1"/>
    <xf numFmtId="165" fontId="14" fillId="0" borderId="0" xfId="5" applyNumberFormat="1" applyFont="1"/>
    <xf numFmtId="41" fontId="14" fillId="0" borderId="0" xfId="2" applyFont="1"/>
    <xf numFmtId="0" fontId="15" fillId="0" borderId="21" xfId="5" applyFont="1" applyBorder="1" applyProtection="1">
      <protection hidden="1"/>
    </xf>
    <xf numFmtId="0" fontId="15" fillId="0" borderId="22" xfId="5" applyFont="1" applyBorder="1" applyProtection="1">
      <protection hidden="1"/>
    </xf>
    <xf numFmtId="41" fontId="15" fillId="0" borderId="22" xfId="2" applyFont="1" applyBorder="1" applyProtection="1">
      <protection hidden="1"/>
    </xf>
    <xf numFmtId="0" fontId="15" fillId="0" borderId="23" xfId="5" applyFont="1" applyBorder="1" applyProtection="1">
      <protection hidden="1"/>
    </xf>
    <xf numFmtId="0" fontId="16" fillId="0" borderId="0" xfId="5" applyFont="1"/>
    <xf numFmtId="41" fontId="15" fillId="0" borderId="0" xfId="2" applyFont="1"/>
    <xf numFmtId="0" fontId="15" fillId="0" borderId="0" xfId="5" applyFont="1"/>
    <xf numFmtId="0" fontId="15" fillId="0" borderId="26" xfId="5" applyFont="1" applyBorder="1" applyProtection="1">
      <protection hidden="1"/>
    </xf>
    <xf numFmtId="0" fontId="15" fillId="0" borderId="27" xfId="5" applyFont="1" applyBorder="1" applyProtection="1">
      <protection hidden="1"/>
    </xf>
    <xf numFmtId="0" fontId="15" fillId="0" borderId="0" xfId="5" applyFont="1" applyProtection="1">
      <protection hidden="1"/>
    </xf>
    <xf numFmtId="41" fontId="15" fillId="0" borderId="0" xfId="2" applyFont="1" applyBorder="1" applyProtection="1">
      <protection hidden="1"/>
    </xf>
    <xf numFmtId="0" fontId="15" fillId="0" borderId="28" xfId="5" applyFont="1" applyBorder="1" applyProtection="1">
      <protection hidden="1"/>
    </xf>
    <xf numFmtId="0" fontId="19" fillId="22" borderId="1" xfId="5" applyFont="1" applyFill="1" applyBorder="1" applyAlignment="1" applyProtection="1">
      <alignment horizontal="center" vertical="center"/>
      <protection hidden="1"/>
    </xf>
    <xf numFmtId="41" fontId="19" fillId="22" borderId="1" xfId="2" applyFont="1" applyFill="1" applyBorder="1" applyAlignment="1" applyProtection="1">
      <alignment horizontal="center" vertical="center"/>
      <protection hidden="1"/>
    </xf>
    <xf numFmtId="0" fontId="15" fillId="23" borderId="1" xfId="5" applyFont="1" applyFill="1" applyBorder="1" applyAlignment="1" applyProtection="1">
      <alignment horizontal="center" vertical="center"/>
      <protection hidden="1"/>
    </xf>
    <xf numFmtId="0" fontId="15" fillId="23" borderId="35" xfId="5" applyFont="1" applyFill="1" applyBorder="1" applyAlignment="1" applyProtection="1">
      <alignment horizontal="center" vertical="center" wrapText="1"/>
      <protection hidden="1"/>
    </xf>
    <xf numFmtId="0" fontId="15" fillId="0" borderId="36" xfId="5" applyFont="1" applyBorder="1" applyAlignment="1" applyProtection="1">
      <alignment horizontal="center" vertical="center"/>
      <protection hidden="1"/>
    </xf>
    <xf numFmtId="0" fontId="15" fillId="0" borderId="13" xfId="5" applyFont="1" applyBorder="1" applyAlignment="1" applyProtection="1">
      <alignment horizontal="center" vertical="center"/>
      <protection hidden="1"/>
    </xf>
    <xf numFmtId="0" fontId="15" fillId="0" borderId="13" xfId="5" applyFont="1" applyBorder="1" applyAlignment="1" applyProtection="1">
      <alignment horizontal="center"/>
      <protection hidden="1"/>
    </xf>
    <xf numFmtId="0" fontId="15" fillId="0" borderId="19" xfId="5" applyFont="1" applyBorder="1" applyAlignment="1" applyProtection="1">
      <alignment horizontal="center"/>
      <protection hidden="1"/>
    </xf>
    <xf numFmtId="41" fontId="15" fillId="0" borderId="19" xfId="2" applyFont="1" applyBorder="1" applyAlignment="1" applyProtection="1">
      <alignment horizontal="center"/>
      <protection hidden="1"/>
    </xf>
    <xf numFmtId="0" fontId="15" fillId="0" borderId="37" xfId="5" applyFont="1" applyBorder="1" applyAlignment="1" applyProtection="1">
      <alignment horizontal="center"/>
      <protection hidden="1"/>
    </xf>
    <xf numFmtId="49" fontId="15" fillId="0" borderId="38" xfId="5" applyNumberFormat="1" applyFont="1" applyBorder="1" applyAlignment="1" applyProtection="1">
      <alignment horizontal="center"/>
      <protection hidden="1"/>
    </xf>
    <xf numFmtId="0" fontId="18" fillId="0" borderId="39" xfId="5" applyFont="1" applyBorder="1" applyProtection="1">
      <protection hidden="1"/>
    </xf>
    <xf numFmtId="37" fontId="15" fillId="0" borderId="39" xfId="5" applyNumberFormat="1" applyFont="1" applyBorder="1" applyProtection="1">
      <protection hidden="1"/>
    </xf>
    <xf numFmtId="41" fontId="15" fillId="0" borderId="39" xfId="2" applyFont="1" applyBorder="1" applyProtection="1">
      <protection hidden="1"/>
    </xf>
    <xf numFmtId="37" fontId="15" fillId="0" borderId="40" xfId="5" applyNumberFormat="1" applyFont="1" applyBorder="1" applyProtection="1">
      <protection hidden="1"/>
    </xf>
    <xf numFmtId="0" fontId="15" fillId="0" borderId="39" xfId="5" applyFont="1" applyBorder="1" applyProtection="1">
      <protection hidden="1"/>
    </xf>
    <xf numFmtId="41" fontId="15" fillId="0" borderId="39" xfId="6" applyFont="1" applyFill="1" applyBorder="1" applyAlignment="1" applyProtection="1">
      <alignment vertical="center"/>
      <protection hidden="1"/>
    </xf>
    <xf numFmtId="41" fontId="15" fillId="0" borderId="39" xfId="2" applyFont="1" applyFill="1" applyBorder="1" applyAlignment="1" applyProtection="1">
      <alignment vertical="center"/>
      <protection hidden="1"/>
    </xf>
    <xf numFmtId="41" fontId="15" fillId="0" borderId="40" xfId="6" applyFont="1" applyFill="1" applyBorder="1" applyAlignment="1" applyProtection="1">
      <alignment vertical="center"/>
      <protection hidden="1"/>
    </xf>
    <xf numFmtId="41" fontId="14" fillId="0" borderId="0" xfId="5" applyNumberFormat="1" applyFont="1"/>
    <xf numFmtId="0" fontId="15" fillId="21" borderId="39" xfId="5" applyFont="1" applyFill="1" applyBorder="1" applyAlignment="1" applyProtection="1">
      <alignment horizontal="center"/>
      <protection hidden="1"/>
    </xf>
    <xf numFmtId="41" fontId="15" fillId="21" borderId="13" xfId="6" applyFont="1" applyFill="1" applyBorder="1" applyProtection="1">
      <protection hidden="1"/>
    </xf>
    <xf numFmtId="41" fontId="15" fillId="21" borderId="13" xfId="2" applyFont="1" applyFill="1" applyBorder="1" applyProtection="1">
      <protection hidden="1"/>
    </xf>
    <xf numFmtId="41" fontId="15" fillId="21" borderId="37" xfId="6" applyFont="1" applyFill="1" applyBorder="1" applyProtection="1">
      <protection hidden="1"/>
    </xf>
    <xf numFmtId="41" fontId="15" fillId="24" borderId="13" xfId="6" applyFont="1" applyFill="1" applyBorder="1" applyProtection="1">
      <protection hidden="1"/>
    </xf>
    <xf numFmtId="41" fontId="15" fillId="0" borderId="39" xfId="6" applyFont="1" applyFill="1" applyBorder="1" applyProtection="1">
      <protection hidden="1"/>
    </xf>
    <xf numFmtId="41" fontId="15" fillId="0" borderId="39" xfId="2" applyFont="1" applyFill="1" applyBorder="1" applyProtection="1">
      <protection hidden="1"/>
    </xf>
    <xf numFmtId="41" fontId="15" fillId="0" borderId="40" xfId="6" applyFont="1" applyFill="1" applyBorder="1" applyProtection="1">
      <protection hidden="1"/>
    </xf>
    <xf numFmtId="41" fontId="14" fillId="0" borderId="0" xfId="2" applyFont="1" applyFill="1" applyBorder="1"/>
    <xf numFmtId="41" fontId="15" fillId="9" borderId="39" xfId="6" applyFont="1" applyFill="1" applyBorder="1" applyAlignment="1" applyProtection="1">
      <alignment vertical="center"/>
      <protection hidden="1"/>
    </xf>
    <xf numFmtId="0" fontId="21" fillId="0" borderId="39" xfId="5" applyFont="1" applyBorder="1" applyProtection="1">
      <protection hidden="1"/>
    </xf>
    <xf numFmtId="166" fontId="15" fillId="0" borderId="39" xfId="3" applyFont="1" applyFill="1" applyBorder="1" applyProtection="1">
      <protection hidden="1"/>
    </xf>
    <xf numFmtId="166" fontId="15" fillId="0" borderId="40" xfId="3" applyFont="1" applyFill="1" applyBorder="1" applyProtection="1">
      <protection hidden="1"/>
    </xf>
    <xf numFmtId="49" fontId="15" fillId="0" borderId="36" xfId="5" applyNumberFormat="1" applyFont="1" applyBorder="1" applyAlignment="1" applyProtection="1">
      <alignment horizontal="center"/>
      <protection hidden="1"/>
    </xf>
    <xf numFmtId="0" fontId="15" fillId="21" borderId="13" xfId="5" applyFont="1" applyFill="1" applyBorder="1" applyAlignment="1" applyProtection="1">
      <alignment horizontal="center"/>
      <protection hidden="1"/>
    </xf>
    <xf numFmtId="41" fontId="15" fillId="0" borderId="0" xfId="2" applyFont="1" applyFill="1"/>
    <xf numFmtId="49" fontId="15" fillId="0" borderId="34" xfId="5" applyNumberFormat="1" applyFont="1" applyBorder="1" applyAlignment="1" applyProtection="1">
      <alignment horizontal="center"/>
      <protection hidden="1"/>
    </xf>
    <xf numFmtId="0" fontId="15" fillId="0" borderId="19" xfId="5" applyFont="1" applyBorder="1" applyProtection="1">
      <protection hidden="1"/>
    </xf>
    <xf numFmtId="166" fontId="15" fillId="0" borderId="19" xfId="3" applyFont="1" applyFill="1" applyBorder="1" applyProtection="1">
      <protection hidden="1"/>
    </xf>
    <xf numFmtId="166" fontId="15" fillId="0" borderId="41" xfId="3" applyFont="1" applyFill="1" applyBorder="1" applyProtection="1">
      <protection hidden="1"/>
    </xf>
    <xf numFmtId="0" fontId="22" fillId="0" borderId="0" xfId="5" applyFont="1"/>
    <xf numFmtId="49" fontId="23" fillId="0" borderId="38" xfId="5" applyNumberFormat="1" applyFont="1" applyBorder="1" applyAlignment="1" applyProtection="1">
      <alignment horizontal="center"/>
      <protection hidden="1"/>
    </xf>
    <xf numFmtId="0" fontId="23" fillId="0" borderId="39" xfId="5" applyFont="1" applyBorder="1" applyProtection="1">
      <protection hidden="1"/>
    </xf>
    <xf numFmtId="41" fontId="23" fillId="0" borderId="39" xfId="6" applyFont="1" applyFill="1" applyBorder="1" applyAlignment="1" applyProtection="1">
      <alignment vertical="center"/>
      <protection hidden="1"/>
    </xf>
    <xf numFmtId="165" fontId="23" fillId="0" borderId="39" xfId="1" applyNumberFormat="1" applyFont="1" applyFill="1" applyBorder="1" applyProtection="1">
      <protection hidden="1"/>
    </xf>
    <xf numFmtId="41" fontId="22" fillId="0" borderId="0" xfId="5" applyNumberFormat="1" applyFont="1"/>
    <xf numFmtId="165" fontId="15" fillId="0" borderId="39" xfId="1" applyNumberFormat="1" applyFont="1" applyFill="1" applyBorder="1" applyProtection="1">
      <protection hidden="1"/>
    </xf>
    <xf numFmtId="165" fontId="15" fillId="0" borderId="40" xfId="1" applyNumberFormat="1" applyFont="1" applyFill="1" applyBorder="1" applyProtection="1">
      <protection hidden="1"/>
    </xf>
    <xf numFmtId="0" fontId="15" fillId="21" borderId="42" xfId="5" applyFont="1" applyFill="1" applyBorder="1" applyAlignment="1" applyProtection="1">
      <alignment horizontal="center"/>
      <protection hidden="1"/>
    </xf>
    <xf numFmtId="165" fontId="15" fillId="21" borderId="13" xfId="1" applyNumberFormat="1" applyFont="1" applyFill="1" applyBorder="1" applyProtection="1">
      <protection hidden="1"/>
    </xf>
    <xf numFmtId="165" fontId="15" fillId="21" borderId="37" xfId="1" applyNumberFormat="1" applyFont="1" applyFill="1" applyBorder="1" applyProtection="1">
      <protection hidden="1"/>
    </xf>
    <xf numFmtId="165" fontId="15" fillId="7" borderId="43" xfId="1" applyNumberFormat="1" applyFont="1" applyFill="1" applyBorder="1" applyProtection="1">
      <protection hidden="1"/>
    </xf>
    <xf numFmtId="49" fontId="15" fillId="0" borderId="44" xfId="5" applyNumberFormat="1" applyFont="1" applyBorder="1" applyAlignment="1" applyProtection="1">
      <alignment horizontal="center"/>
      <protection hidden="1"/>
    </xf>
    <xf numFmtId="0" fontId="15" fillId="0" borderId="45" xfId="5" applyFont="1" applyBorder="1" applyProtection="1">
      <protection hidden="1"/>
    </xf>
    <xf numFmtId="165" fontId="15" fillId="0" borderId="43" xfId="1" applyNumberFormat="1" applyFont="1" applyFill="1" applyBorder="1" applyProtection="1">
      <protection hidden="1"/>
    </xf>
    <xf numFmtId="165" fontId="15" fillId="0" borderId="46" xfId="1" applyNumberFormat="1" applyFont="1" applyFill="1" applyBorder="1" applyProtection="1">
      <protection hidden="1"/>
    </xf>
    <xf numFmtId="0" fontId="15" fillId="0" borderId="42" xfId="5" applyFont="1" applyBorder="1" applyProtection="1">
      <protection hidden="1"/>
    </xf>
    <xf numFmtId="0" fontId="15" fillId="0" borderId="47" xfId="5" applyFont="1" applyBorder="1" applyProtection="1">
      <protection hidden="1"/>
    </xf>
    <xf numFmtId="165" fontId="15" fillId="0" borderId="47" xfId="1" applyNumberFormat="1" applyFont="1" applyFill="1" applyBorder="1" applyProtection="1">
      <protection hidden="1"/>
    </xf>
    <xf numFmtId="41" fontId="15" fillId="0" borderId="47" xfId="2" applyFont="1" applyFill="1" applyBorder="1" applyProtection="1">
      <protection hidden="1"/>
    </xf>
    <xf numFmtId="49" fontId="15" fillId="0" borderId="0" xfId="5" applyNumberFormat="1" applyFont="1" applyAlignment="1">
      <alignment horizontal="center"/>
    </xf>
    <xf numFmtId="43" fontId="15" fillId="0" borderId="0" xfId="1" applyFont="1" applyFill="1" applyBorder="1"/>
    <xf numFmtId="165" fontId="15" fillId="0" borderId="0" xfId="1" applyNumberFormat="1" applyFont="1" applyFill="1" applyBorder="1"/>
    <xf numFmtId="41" fontId="15" fillId="0" borderId="0" xfId="2" applyFont="1" applyFill="1" applyBorder="1"/>
    <xf numFmtId="43" fontId="15" fillId="0" borderId="0" xfId="5" applyNumberFormat="1" applyFont="1"/>
    <xf numFmtId="41" fontId="15" fillId="0" borderId="0" xfId="5" applyNumberFormat="1" applyFont="1"/>
    <xf numFmtId="165" fontId="15" fillId="0" borderId="0" xfId="4" applyNumberFormat="1" applyFont="1" applyFill="1" applyBorder="1"/>
    <xf numFmtId="43" fontId="15" fillId="0" borderId="0" xfId="4" applyFont="1" applyFill="1" applyBorder="1"/>
    <xf numFmtId="164" fontId="15" fillId="8" borderId="0" xfId="4" applyNumberFormat="1" applyFont="1" applyFill="1" applyBorder="1" applyAlignment="1">
      <alignment horizontal="center" wrapText="1"/>
    </xf>
    <xf numFmtId="164" fontId="15" fillId="0" borderId="0" xfId="4" applyNumberFormat="1" applyFont="1" applyFill="1" applyBorder="1"/>
    <xf numFmtId="164" fontId="15" fillId="8" borderId="0" xfId="4" applyNumberFormat="1" applyFont="1" applyFill="1" applyBorder="1" applyAlignment="1">
      <alignment horizontal="center" vertical="center" wrapText="1"/>
    </xf>
    <xf numFmtId="164" fontId="15" fillId="8" borderId="0" xfId="4" applyNumberFormat="1" applyFont="1" applyFill="1" applyBorder="1" applyAlignment="1">
      <alignment vertical="center"/>
    </xf>
    <xf numFmtId="164" fontId="15" fillId="8" borderId="0" xfId="4" applyNumberFormat="1" applyFont="1" applyFill="1" applyBorder="1" applyAlignment="1">
      <alignment vertical="center" wrapText="1"/>
    </xf>
    <xf numFmtId="0" fontId="14" fillId="0" borderId="0" xfId="5" applyFont="1" applyAlignment="1">
      <alignment horizontal="center"/>
    </xf>
    <xf numFmtId="41" fontId="14" fillId="0" borderId="0" xfId="2" applyFont="1" applyAlignment="1">
      <alignment horizontal="center"/>
    </xf>
    <xf numFmtId="0" fontId="3" fillId="12" borderId="1" xfId="0" quotePrefix="1" applyFont="1" applyFill="1" applyBorder="1" applyAlignment="1">
      <alignment horizontal="center"/>
    </xf>
    <xf numFmtId="164" fontId="4" fillId="30" borderId="48" xfId="1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41" fontId="28" fillId="0" borderId="0" xfId="2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7" fillId="0" borderId="0" xfId="0" applyFont="1"/>
    <xf numFmtId="0" fontId="30" fillId="34" borderId="7" xfId="5" applyFont="1" applyFill="1" applyBorder="1" applyAlignment="1" applyProtection="1">
      <alignment vertical="center" wrapText="1"/>
      <protection hidden="1"/>
    </xf>
    <xf numFmtId="0" fontId="30" fillId="8" borderId="1" xfId="5" applyFont="1" applyFill="1" applyBorder="1" applyAlignment="1" applyProtection="1">
      <alignment horizontal="center" vertical="center" wrapText="1"/>
      <protection hidden="1"/>
    </xf>
    <xf numFmtId="0" fontId="30" fillId="34" borderId="1" xfId="5" applyFont="1" applyFill="1" applyBorder="1" applyAlignment="1" applyProtection="1">
      <alignment horizontal="center" vertical="center" wrapText="1"/>
      <protection hidden="1"/>
    </xf>
    <xf numFmtId="16" fontId="30" fillId="8" borderId="1" xfId="0" quotePrefix="1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 vertical="center" wrapText="1"/>
    </xf>
    <xf numFmtId="0" fontId="30" fillId="34" borderId="0" xfId="5" applyFont="1" applyFill="1" applyAlignment="1" applyProtection="1">
      <alignment horizontal="center" vertical="center" wrapText="1"/>
      <protection hidden="1"/>
    </xf>
    <xf numFmtId="0" fontId="30" fillId="34" borderId="0" xfId="5" applyFont="1" applyFill="1" applyAlignment="1" applyProtection="1">
      <alignment vertical="center" wrapText="1"/>
      <protection hidden="1"/>
    </xf>
    <xf numFmtId="0" fontId="30" fillId="8" borderId="0" xfId="5" applyFont="1" applyFill="1" applyAlignment="1" applyProtection="1">
      <alignment horizontal="center" vertical="center" wrapText="1"/>
      <protection hidden="1"/>
    </xf>
    <xf numFmtId="0" fontId="30" fillId="35" borderId="0" xfId="5" applyFont="1" applyFill="1" applyAlignment="1" applyProtection="1">
      <alignment horizontal="center" vertical="center" wrapText="1"/>
      <protection hidden="1"/>
    </xf>
    <xf numFmtId="0" fontId="30" fillId="34" borderId="59" xfId="0" applyFont="1" applyFill="1" applyBorder="1" applyAlignment="1">
      <alignment horizontal="center" vertical="center" wrapText="1"/>
    </xf>
    <xf numFmtId="0" fontId="30" fillId="8" borderId="59" xfId="0" applyFont="1" applyFill="1" applyBorder="1" applyAlignment="1">
      <alignment horizontal="center" vertical="center" wrapText="1"/>
    </xf>
    <xf numFmtId="16" fontId="30" fillId="8" borderId="59" xfId="0" quotePrefix="1" applyNumberFormat="1" applyFont="1" applyFill="1" applyBorder="1" applyAlignment="1">
      <alignment horizontal="center"/>
    </xf>
    <xf numFmtId="0" fontId="31" fillId="0" borderId="0" xfId="0" applyFont="1"/>
    <xf numFmtId="0" fontId="32" fillId="0" borderId="0" xfId="0" applyFont="1"/>
    <xf numFmtId="41" fontId="30" fillId="0" borderId="0" xfId="2" applyFont="1"/>
    <xf numFmtId="0" fontId="30" fillId="0" borderId="0" xfId="0" applyFont="1"/>
    <xf numFmtId="0" fontId="27" fillId="0" borderId="0" xfId="0" applyFont="1" applyAlignment="1">
      <alignment horizontal="center" vertical="center"/>
    </xf>
    <xf numFmtId="41" fontId="29" fillId="0" borderId="0" xfId="0" applyNumberFormat="1" applyFont="1"/>
    <xf numFmtId="41" fontId="29" fillId="0" borderId="0" xfId="2" applyFont="1"/>
    <xf numFmtId="0" fontId="29" fillId="0" borderId="60" xfId="0" applyFont="1" applyBorder="1"/>
    <xf numFmtId="41" fontId="29" fillId="0" borderId="60" xfId="0" applyNumberFormat="1" applyFont="1" applyBorder="1"/>
    <xf numFmtId="169" fontId="29" fillId="0" borderId="60" xfId="2" applyNumberFormat="1" applyFont="1" applyBorder="1"/>
    <xf numFmtId="41" fontId="29" fillId="36" borderId="0" xfId="2" applyFont="1" applyFill="1"/>
    <xf numFmtId="166" fontId="33" fillId="0" borderId="6" xfId="2" applyNumberFormat="1" applyFont="1" applyFill="1" applyBorder="1"/>
    <xf numFmtId="166" fontId="33" fillId="32" borderId="6" xfId="2" applyNumberFormat="1" applyFont="1" applyFill="1" applyBorder="1"/>
    <xf numFmtId="41" fontId="29" fillId="0" borderId="0" xfId="2" applyFont="1" applyFill="1"/>
    <xf numFmtId="166" fontId="33" fillId="0" borderId="0" xfId="2" applyNumberFormat="1" applyFont="1" applyFill="1" applyBorder="1"/>
    <xf numFmtId="166" fontId="33" fillId="0" borderId="60" xfId="2" applyNumberFormat="1" applyFont="1" applyFill="1" applyBorder="1"/>
    <xf numFmtId="166" fontId="33" fillId="37" borderId="6" xfId="2" applyNumberFormat="1" applyFont="1" applyFill="1" applyBorder="1"/>
    <xf numFmtId="166" fontId="33" fillId="13" borderId="6" xfId="2" applyNumberFormat="1" applyFont="1" applyFill="1" applyBorder="1"/>
    <xf numFmtId="166" fontId="33" fillId="0" borderId="61" xfId="2" applyNumberFormat="1" applyFont="1" applyFill="1" applyBorder="1"/>
    <xf numFmtId="0" fontId="29" fillId="0" borderId="62" xfId="0" applyFont="1" applyBorder="1"/>
    <xf numFmtId="166" fontId="33" fillId="0" borderId="62" xfId="2" applyNumberFormat="1" applyFont="1" applyFill="1" applyBorder="1"/>
    <xf numFmtId="169" fontId="29" fillId="0" borderId="62" xfId="2" applyNumberFormat="1" applyFont="1" applyBorder="1"/>
    <xf numFmtId="0" fontId="27" fillId="0" borderId="52" xfId="0" applyFont="1" applyBorder="1" applyAlignment="1">
      <alignment horizontal="left" wrapText="1"/>
    </xf>
    <xf numFmtId="166" fontId="34" fillId="0" borderId="63" xfId="2" applyNumberFormat="1" applyFont="1" applyFill="1" applyBorder="1" applyAlignment="1">
      <alignment vertical="center"/>
    </xf>
    <xf numFmtId="166" fontId="34" fillId="0" borderId="64" xfId="2" applyNumberFormat="1" applyFont="1" applyFill="1" applyBorder="1" applyAlignment="1">
      <alignment vertical="center"/>
    </xf>
    <xf numFmtId="166" fontId="34" fillId="13" borderId="51" xfId="2" applyNumberFormat="1" applyFont="1" applyFill="1" applyBorder="1" applyAlignment="1">
      <alignment vertical="center"/>
    </xf>
    <xf numFmtId="0" fontId="27" fillId="13" borderId="52" xfId="0" applyFont="1" applyFill="1" applyBorder="1" applyAlignment="1">
      <alignment horizontal="left" wrapText="1"/>
    </xf>
    <xf numFmtId="41" fontId="27" fillId="13" borderId="52" xfId="0" applyNumberFormat="1" applyFont="1" applyFill="1" applyBorder="1"/>
    <xf numFmtId="166" fontId="34" fillId="13" borderId="52" xfId="2" applyNumberFormat="1" applyFont="1" applyFill="1" applyBorder="1"/>
    <xf numFmtId="167" fontId="34" fillId="13" borderId="52" xfId="2" applyNumberFormat="1" applyFont="1" applyFill="1" applyBorder="1"/>
    <xf numFmtId="41" fontId="27" fillId="0" borderId="0" xfId="0" applyNumberFormat="1" applyFont="1"/>
    <xf numFmtId="169" fontId="29" fillId="0" borderId="0" xfId="2" applyNumberFormat="1" applyFont="1"/>
    <xf numFmtId="41" fontId="31" fillId="0" borderId="0" xfId="0" applyNumberFormat="1" applyFont="1"/>
    <xf numFmtId="166" fontId="34" fillId="0" borderId="6" xfId="2" applyNumberFormat="1" applyFont="1" applyFill="1" applyBorder="1"/>
    <xf numFmtId="169" fontId="27" fillId="13" borderId="52" xfId="2" applyNumberFormat="1" applyFont="1" applyFill="1" applyBorder="1"/>
    <xf numFmtId="169" fontId="27" fillId="13" borderId="53" xfId="2" applyNumberFormat="1" applyFont="1" applyFill="1" applyBorder="1"/>
    <xf numFmtId="41" fontId="27" fillId="0" borderId="52" xfId="0" applyNumberFormat="1" applyFont="1" applyBorder="1" applyAlignment="1">
      <alignment vertical="center"/>
    </xf>
    <xf numFmtId="169" fontId="27" fillId="0" borderId="0" xfId="2" applyNumberFormat="1" applyFont="1"/>
    <xf numFmtId="0" fontId="27" fillId="0" borderId="52" xfId="0" applyFont="1" applyBorder="1"/>
    <xf numFmtId="41" fontId="27" fillId="0" borderId="52" xfId="0" applyNumberFormat="1" applyFont="1" applyBorder="1"/>
    <xf numFmtId="41" fontId="27" fillId="0" borderId="52" xfId="2" applyFont="1" applyBorder="1"/>
    <xf numFmtId="166" fontId="34" fillId="0" borderId="52" xfId="2" applyNumberFormat="1" applyFont="1" applyFill="1" applyBorder="1" applyAlignment="1">
      <alignment vertical="center"/>
    </xf>
    <xf numFmtId="166" fontId="30" fillId="38" borderId="63" xfId="2" applyNumberFormat="1" applyFont="1" applyFill="1" applyBorder="1" applyAlignment="1">
      <alignment vertical="center"/>
    </xf>
    <xf numFmtId="41" fontId="28" fillId="0" borderId="0" xfId="0" applyNumberFormat="1" applyFont="1"/>
    <xf numFmtId="0" fontId="35" fillId="0" borderId="65" xfId="0" applyFont="1" applyBorder="1"/>
    <xf numFmtId="41" fontId="35" fillId="0" borderId="66" xfId="0" applyNumberFormat="1" applyFont="1" applyBorder="1"/>
    <xf numFmtId="166" fontId="35" fillId="0" borderId="67" xfId="2" applyNumberFormat="1" applyFont="1" applyFill="1" applyBorder="1"/>
    <xf numFmtId="41" fontId="35" fillId="0" borderId="0" xfId="0" applyNumberFormat="1" applyFont="1"/>
    <xf numFmtId="0" fontId="35" fillId="0" borderId="0" xfId="0" applyFont="1"/>
    <xf numFmtId="0" fontId="35" fillId="0" borderId="60" xfId="0" applyFont="1" applyBorder="1"/>
    <xf numFmtId="166" fontId="35" fillId="0" borderId="60" xfId="2" applyNumberFormat="1" applyFont="1" applyFill="1" applyBorder="1"/>
    <xf numFmtId="169" fontId="35" fillId="0" borderId="60" xfId="2" applyNumberFormat="1" applyFont="1" applyBorder="1"/>
    <xf numFmtId="166" fontId="33" fillId="0" borderId="68" xfId="2" applyNumberFormat="1" applyFont="1" applyFill="1" applyBorder="1"/>
    <xf numFmtId="41" fontId="30" fillId="24" borderId="0" xfId="2" applyFont="1" applyFill="1"/>
    <xf numFmtId="41" fontId="29" fillId="24" borderId="0" xfId="2" applyFont="1" applyFill="1"/>
    <xf numFmtId="166" fontId="33" fillId="24" borderId="6" xfId="2" applyNumberFormat="1" applyFont="1" applyFill="1" applyBorder="1"/>
    <xf numFmtId="166" fontId="33" fillId="24" borderId="61" xfId="2" applyNumberFormat="1" applyFont="1" applyFill="1" applyBorder="1"/>
    <xf numFmtId="166" fontId="34" fillId="24" borderId="63" xfId="2" applyNumberFormat="1" applyFont="1" applyFill="1" applyBorder="1" applyAlignment="1">
      <alignment vertical="center"/>
    </xf>
    <xf numFmtId="41" fontId="31" fillId="24" borderId="0" xfId="0" applyNumberFormat="1" applyFont="1" applyFill="1"/>
    <xf numFmtId="0" fontId="31" fillId="24" borderId="0" xfId="0" applyFont="1" applyFill="1"/>
    <xf numFmtId="166" fontId="35" fillId="24" borderId="67" xfId="2" applyNumberFormat="1" applyFont="1" applyFill="1" applyBorder="1"/>
    <xf numFmtId="0" fontId="29" fillId="24" borderId="0" xfId="0" applyFont="1" applyFill="1"/>
    <xf numFmtId="41" fontId="27" fillId="24" borderId="52" xfId="2" applyFont="1" applyFill="1" applyBorder="1"/>
    <xf numFmtId="0" fontId="30" fillId="34" borderId="58" xfId="5" applyFont="1" applyFill="1" applyBorder="1" applyAlignment="1" applyProtection="1">
      <alignment vertical="center" wrapText="1"/>
      <protection hidden="1"/>
    </xf>
    <xf numFmtId="166" fontId="35" fillId="0" borderId="6" xfId="2" applyNumberFormat="1" applyFont="1" applyFill="1" applyBorder="1"/>
    <xf numFmtId="0" fontId="36" fillId="0" borderId="0" xfId="0" applyFont="1"/>
    <xf numFmtId="41" fontId="36" fillId="0" borderId="0" xfId="0" applyNumberFormat="1" applyFont="1"/>
    <xf numFmtId="41" fontId="36" fillId="0" borderId="0" xfId="2" applyFont="1"/>
    <xf numFmtId="166" fontId="36" fillId="0" borderId="6" xfId="2" applyNumberFormat="1" applyFont="1" applyFill="1" applyBorder="1"/>
    <xf numFmtId="166" fontId="36" fillId="0" borderId="0" xfId="2" applyNumberFormat="1" applyFont="1" applyFill="1" applyBorder="1"/>
    <xf numFmtId="0" fontId="36" fillId="0" borderId="60" xfId="0" applyFont="1" applyBorder="1"/>
    <xf numFmtId="166" fontId="36" fillId="0" borderId="60" xfId="2" applyNumberFormat="1" applyFont="1" applyFill="1" applyBorder="1"/>
    <xf numFmtId="169" fontId="36" fillId="0" borderId="60" xfId="2" applyNumberFormat="1" applyFont="1" applyBorder="1"/>
    <xf numFmtId="0" fontId="37" fillId="0" borderId="0" xfId="0" applyFont="1"/>
    <xf numFmtId="0" fontId="38" fillId="0" borderId="0" xfId="0" applyFont="1"/>
    <xf numFmtId="164" fontId="38" fillId="0" borderId="0" xfId="0" applyNumberFormat="1" applyFont="1"/>
    <xf numFmtId="166" fontId="38" fillId="0" borderId="0" xfId="0" applyNumberFormat="1" applyFont="1"/>
    <xf numFmtId="0" fontId="39" fillId="0" borderId="0" xfId="0" applyFont="1"/>
    <xf numFmtId="0" fontId="40" fillId="0" borderId="0" xfId="0" applyFont="1"/>
    <xf numFmtId="0" fontId="38" fillId="0" borderId="0" xfId="0" applyFont="1" applyAlignment="1">
      <alignment horizontal="right"/>
    </xf>
    <xf numFmtId="0" fontId="41" fillId="0" borderId="0" xfId="0" applyFont="1"/>
    <xf numFmtId="168" fontId="38" fillId="0" borderId="0" xfId="0" quotePrefix="1" applyNumberFormat="1" applyFont="1" applyAlignment="1">
      <alignment horizontal="center"/>
    </xf>
    <xf numFmtId="0" fontId="39" fillId="0" borderId="0" xfId="0" applyFont="1" applyAlignment="1">
      <alignment horizontal="center"/>
    </xf>
    <xf numFmtId="166" fontId="38" fillId="0" borderId="0" xfId="0" applyNumberFormat="1" applyFont="1" applyAlignment="1">
      <alignment horizontal="center"/>
    </xf>
    <xf numFmtId="168" fontId="38" fillId="0" borderId="0" xfId="0" quotePrefix="1" applyNumberFormat="1" applyFont="1" applyAlignment="1">
      <alignment horizontal="left"/>
    </xf>
    <xf numFmtId="0" fontId="39" fillId="13" borderId="13" xfId="0" applyFont="1" applyFill="1" applyBorder="1"/>
    <xf numFmtId="164" fontId="39" fillId="13" borderId="13" xfId="0" applyNumberFormat="1" applyFont="1" applyFill="1" applyBorder="1"/>
    <xf numFmtId="41" fontId="38" fillId="0" borderId="0" xfId="2" applyFont="1"/>
    <xf numFmtId="0" fontId="39" fillId="4" borderId="13" xfId="0" applyFont="1" applyFill="1" applyBorder="1" applyAlignment="1">
      <alignment horizontal="center" vertical="center"/>
    </xf>
    <xf numFmtId="0" fontId="42" fillId="0" borderId="13" xfId="0" applyFont="1" applyBorder="1"/>
    <xf numFmtId="0" fontId="38" fillId="0" borderId="13" xfId="0" applyFont="1" applyBorder="1"/>
    <xf numFmtId="164" fontId="38" fillId="0" borderId="13" xfId="1" applyNumberFormat="1" applyFont="1" applyFill="1" applyBorder="1"/>
    <xf numFmtId="0" fontId="41" fillId="0" borderId="13" xfId="0" applyFont="1" applyBorder="1"/>
    <xf numFmtId="164" fontId="41" fillId="0" borderId="13" xfId="1" applyNumberFormat="1" applyFont="1" applyFill="1" applyBorder="1"/>
    <xf numFmtId="0" fontId="39" fillId="0" borderId="13" xfId="0" applyFont="1" applyBorder="1"/>
    <xf numFmtId="164" fontId="39" fillId="0" borderId="13" xfId="1" applyNumberFormat="1" applyFont="1" applyFill="1" applyBorder="1"/>
    <xf numFmtId="164" fontId="43" fillId="0" borderId="13" xfId="1" applyNumberFormat="1" applyFont="1" applyFill="1" applyBorder="1"/>
    <xf numFmtId="168" fontId="38" fillId="0" borderId="0" xfId="0" applyNumberFormat="1" applyFont="1"/>
    <xf numFmtId="41" fontId="41" fillId="0" borderId="14" xfId="2" applyFont="1" applyFill="1" applyBorder="1"/>
    <xf numFmtId="0" fontId="38" fillId="0" borderId="13" xfId="0" applyFont="1" applyBorder="1" applyAlignment="1">
      <alignment wrapText="1"/>
    </xf>
    <xf numFmtId="164" fontId="39" fillId="0" borderId="13" xfId="1" applyNumberFormat="1" applyFont="1" applyBorder="1"/>
    <xf numFmtId="164" fontId="38" fillId="0" borderId="13" xfId="1" applyNumberFormat="1" applyFont="1" applyBorder="1"/>
    <xf numFmtId="0" fontId="39" fillId="20" borderId="13" xfId="0" applyFont="1" applyFill="1" applyBorder="1"/>
    <xf numFmtId="164" fontId="39" fillId="20" borderId="13" xfId="1" applyNumberFormat="1" applyFont="1" applyFill="1" applyBorder="1"/>
    <xf numFmtId="43" fontId="38" fillId="0" borderId="0" xfId="1" applyFont="1"/>
    <xf numFmtId="164" fontId="38" fillId="0" borderId="0" xfId="1" applyNumberFormat="1" applyFont="1"/>
    <xf numFmtId="0" fontId="39" fillId="20" borderId="0" xfId="0" applyFont="1" applyFill="1"/>
    <xf numFmtId="43" fontId="38" fillId="20" borderId="0" xfId="1" applyFont="1" applyFill="1"/>
    <xf numFmtId="164" fontId="38" fillId="20" borderId="0" xfId="1" applyNumberFormat="1" applyFont="1" applyFill="1"/>
    <xf numFmtId="0" fontId="39" fillId="0" borderId="0" xfId="0" applyFont="1" applyFill="1"/>
    <xf numFmtId="43" fontId="38" fillId="0" borderId="0" xfId="1" applyFont="1" applyFill="1"/>
    <xf numFmtId="164" fontId="38" fillId="0" borderId="0" xfId="1" applyNumberFormat="1" applyFont="1" applyFill="1"/>
    <xf numFmtId="164" fontId="39" fillId="13" borderId="48" xfId="1" applyNumberFormat="1" applyFont="1" applyFill="1" applyBorder="1"/>
    <xf numFmtId="41" fontId="38" fillId="0" borderId="0" xfId="2" applyFont="1" applyFill="1"/>
    <xf numFmtId="0" fontId="38" fillId="0" borderId="0" xfId="0" applyFont="1" applyFill="1"/>
    <xf numFmtId="41" fontId="39" fillId="0" borderId="0" xfId="2" applyFont="1"/>
    <xf numFmtId="43" fontId="39" fillId="0" borderId="0" xfId="1" applyFont="1"/>
    <xf numFmtId="0" fontId="39" fillId="8" borderId="15" xfId="0" applyFont="1" applyFill="1" applyBorder="1" applyAlignment="1">
      <alignment horizontal="center" vertical="center"/>
    </xf>
    <xf numFmtId="0" fontId="39" fillId="8" borderId="15" xfId="0" applyFont="1" applyFill="1" applyBorder="1" applyAlignment="1">
      <alignment vertical="center"/>
    </xf>
    <xf numFmtId="0" fontId="39" fillId="0" borderId="49" xfId="0" applyFont="1" applyBorder="1"/>
    <xf numFmtId="164" fontId="38" fillId="0" borderId="49" xfId="1" applyNumberFormat="1" applyFont="1" applyFill="1" applyBorder="1"/>
    <xf numFmtId="0" fontId="38" fillId="0" borderId="20" xfId="0" applyFont="1" applyBorder="1"/>
    <xf numFmtId="164" fontId="38" fillId="9" borderId="20" xfId="1" applyNumberFormat="1" applyFont="1" applyFill="1" applyBorder="1"/>
    <xf numFmtId="166" fontId="41" fillId="0" borderId="20" xfId="3" applyFont="1" applyFill="1" applyBorder="1" applyProtection="1">
      <protection hidden="1"/>
    </xf>
    <xf numFmtId="164" fontId="38" fillId="0" borderId="20" xfId="1" applyNumberFormat="1" applyFont="1" applyFill="1" applyBorder="1"/>
    <xf numFmtId="164" fontId="38" fillId="21" borderId="20" xfId="1" applyNumberFormat="1" applyFont="1" applyFill="1" applyBorder="1"/>
    <xf numFmtId="0" fontId="38" fillId="0" borderId="20" xfId="0" applyFont="1" applyBorder="1" applyAlignment="1">
      <alignment wrapText="1"/>
    </xf>
    <xf numFmtId="164" fontId="38" fillId="30" borderId="20" xfId="1" applyNumberFormat="1" applyFont="1" applyFill="1" applyBorder="1"/>
    <xf numFmtId="164" fontId="38" fillId="20" borderId="20" xfId="1" applyNumberFormat="1" applyFont="1" applyFill="1" applyBorder="1"/>
    <xf numFmtId="0" fontId="39" fillId="13" borderId="20" xfId="0" applyFont="1" applyFill="1" applyBorder="1"/>
    <xf numFmtId="166" fontId="41" fillId="13" borderId="20" xfId="3" applyFont="1" applyFill="1" applyBorder="1" applyProtection="1">
      <protection hidden="1"/>
    </xf>
    <xf numFmtId="0" fontId="40" fillId="0" borderId="20" xfId="0" applyFont="1" applyBorder="1"/>
    <xf numFmtId="164" fontId="40" fillId="0" borderId="20" xfId="1" applyNumberFormat="1" applyFont="1" applyFill="1" applyBorder="1"/>
    <xf numFmtId="0" fontId="39" fillId="19" borderId="20" xfId="0" applyFont="1" applyFill="1" applyBorder="1"/>
    <xf numFmtId="166" fontId="43" fillId="27" borderId="20" xfId="3" applyFont="1" applyFill="1" applyBorder="1" applyProtection="1">
      <protection hidden="1"/>
    </xf>
    <xf numFmtId="0" fontId="42" fillId="0" borderId="20" xfId="0" applyFont="1" applyBorder="1"/>
    <xf numFmtId="0" fontId="41" fillId="0" borderId="20" xfId="0" applyFont="1" applyBorder="1"/>
    <xf numFmtId="0" fontId="39" fillId="0" borderId="20" xfId="0" applyFont="1" applyBorder="1"/>
    <xf numFmtId="164" fontId="39" fillId="0" borderId="20" xfId="1" applyNumberFormat="1" applyFont="1" applyFill="1" applyBorder="1"/>
    <xf numFmtId="0" fontId="43" fillId="0" borderId="20" xfId="0" applyFont="1" applyBorder="1"/>
    <xf numFmtId="164" fontId="43" fillId="0" borderId="20" xfId="1" applyNumberFormat="1" applyFont="1" applyFill="1" applyBorder="1"/>
    <xf numFmtId="164" fontId="41" fillId="0" borderId="20" xfId="1" applyNumberFormat="1" applyFont="1" applyFill="1" applyBorder="1"/>
    <xf numFmtId="41" fontId="41" fillId="0" borderId="0" xfId="2" applyFont="1"/>
    <xf numFmtId="0" fontId="43" fillId="11" borderId="50" xfId="0" applyFont="1" applyFill="1" applyBorder="1"/>
    <xf numFmtId="164" fontId="43" fillId="11" borderId="50" xfId="1" applyNumberFormat="1" applyFont="1" applyFill="1" applyBorder="1"/>
    <xf numFmtId="164" fontId="39" fillId="11" borderId="50" xfId="1" applyNumberFormat="1" applyFont="1" applyFill="1" applyBorder="1"/>
    <xf numFmtId="0" fontId="43" fillId="0" borderId="0" xfId="0" applyFont="1"/>
    <xf numFmtId="0" fontId="38" fillId="0" borderId="19" xfId="0" applyFont="1" applyBorder="1"/>
    <xf numFmtId="164" fontId="43" fillId="26" borderId="19" xfId="1" applyNumberFormat="1" applyFont="1" applyFill="1" applyBorder="1"/>
    <xf numFmtId="164" fontId="38" fillId="26" borderId="19" xfId="1" applyNumberFormat="1" applyFont="1" applyFill="1" applyBorder="1"/>
    <xf numFmtId="164" fontId="41" fillId="0" borderId="19" xfId="1" applyNumberFormat="1" applyFont="1" applyFill="1" applyBorder="1"/>
    <xf numFmtId="164" fontId="43" fillId="26" borderId="13" xfId="1" applyNumberFormat="1" applyFont="1" applyFill="1" applyBorder="1"/>
    <xf numFmtId="164" fontId="38" fillId="26" borderId="13" xfId="1" applyNumberFormat="1" applyFont="1" applyFill="1" applyBorder="1"/>
    <xf numFmtId="0" fontId="39" fillId="21" borderId="13" xfId="0" applyFont="1" applyFill="1" applyBorder="1"/>
    <xf numFmtId="164" fontId="39" fillId="21" borderId="13" xfId="1" applyNumberFormat="1" applyFont="1" applyFill="1" applyBorder="1"/>
    <xf numFmtId="164" fontId="39" fillId="0" borderId="0" xfId="0" applyNumberFormat="1" applyFont="1"/>
    <xf numFmtId="164" fontId="40" fillId="0" borderId="0" xfId="1" applyNumberFormat="1" applyFont="1"/>
    <xf numFmtId="164" fontId="41" fillId="0" borderId="0" xfId="1" applyNumberFormat="1" applyFont="1"/>
    <xf numFmtId="164" fontId="38" fillId="9" borderId="0" xfId="1" applyNumberFormat="1" applyFont="1" applyFill="1"/>
    <xf numFmtId="43" fontId="38" fillId="0" borderId="0" xfId="0" applyNumberFormat="1" applyFont="1"/>
    <xf numFmtId="43" fontId="40" fillId="0" borderId="0" xfId="1" applyFont="1"/>
    <xf numFmtId="0" fontId="44" fillId="0" borderId="49" xfId="0" applyFont="1" applyBorder="1"/>
    <xf numFmtId="164" fontId="38" fillId="0" borderId="49" xfId="1" applyNumberFormat="1" applyFont="1" applyFill="1" applyBorder="1" applyAlignment="1">
      <alignment horizontal="center" wrapText="1"/>
    </xf>
    <xf numFmtId="0" fontId="39" fillId="0" borderId="54" xfId="0" applyFont="1" applyBorder="1"/>
    <xf numFmtId="164" fontId="38" fillId="0" borderId="54" xfId="1" applyNumberFormat="1" applyFont="1" applyFill="1" applyBorder="1"/>
    <xf numFmtId="166" fontId="38" fillId="0" borderId="20" xfId="0" applyNumberFormat="1" applyFont="1" applyBorder="1"/>
    <xf numFmtId="0" fontId="38" fillId="3" borderId="1" xfId="0" applyFont="1" applyFill="1" applyBorder="1"/>
    <xf numFmtId="0" fontId="38" fillId="0" borderId="55" xfId="0" applyFont="1" applyBorder="1"/>
    <xf numFmtId="166" fontId="38" fillId="0" borderId="55" xfId="0" applyNumberFormat="1" applyFont="1" applyBorder="1"/>
    <xf numFmtId="0" fontId="39" fillId="31" borderId="48" xfId="0" applyFont="1" applyFill="1" applyBorder="1" applyAlignment="1">
      <alignment horizontal="center"/>
    </xf>
    <xf numFmtId="166" fontId="39" fillId="31" borderId="48" xfId="0" applyNumberFormat="1" applyFont="1" applyFill="1" applyBorder="1"/>
    <xf numFmtId="168" fontId="39" fillId="0" borderId="0" xfId="0" applyNumberFormat="1" applyFont="1" applyAlignment="1">
      <alignment horizontal="center"/>
    </xf>
    <xf numFmtId="0" fontId="42" fillId="0" borderId="54" xfId="0" applyFont="1" applyBorder="1"/>
    <xf numFmtId="166" fontId="38" fillId="0" borderId="54" xfId="0" applyNumberFormat="1" applyFont="1" applyBorder="1"/>
    <xf numFmtId="0" fontId="39" fillId="13" borderId="48" xfId="0" applyFont="1" applyFill="1" applyBorder="1" applyAlignment="1">
      <alignment horizontal="center"/>
    </xf>
    <xf numFmtId="166" fontId="39" fillId="13" borderId="48" xfId="0" applyNumberFormat="1" applyFont="1" applyFill="1" applyBorder="1"/>
    <xf numFmtId="0" fontId="38" fillId="0" borderId="55" xfId="0" applyFont="1" applyBorder="1" applyAlignment="1">
      <alignment horizontal="center"/>
    </xf>
    <xf numFmtId="164" fontId="38" fillId="0" borderId="55" xfId="1" applyNumberFormat="1" applyFont="1" applyFill="1" applyBorder="1"/>
    <xf numFmtId="0" fontId="38" fillId="2" borderId="13" xfId="0" applyFont="1" applyFill="1" applyBorder="1" applyAlignment="1">
      <alignment horizontal="center"/>
    </xf>
    <xf numFmtId="164" fontId="38" fillId="2" borderId="13" xfId="1" applyNumberFormat="1" applyFont="1" applyFill="1" applyBorder="1"/>
    <xf numFmtId="0" fontId="44" fillId="0" borderId="57" xfId="0" applyFont="1" applyBorder="1"/>
    <xf numFmtId="164" fontId="38" fillId="0" borderId="57" xfId="1" applyNumberFormat="1" applyFont="1" applyFill="1" applyBorder="1"/>
    <xf numFmtId="0" fontId="38" fillId="0" borderId="54" xfId="0" applyFont="1" applyBorder="1"/>
    <xf numFmtId="166" fontId="41" fillId="0" borderId="54" xfId="3" applyFont="1" applyFill="1" applyBorder="1" applyProtection="1">
      <protection hidden="1"/>
    </xf>
    <xf numFmtId="0" fontId="40" fillId="0" borderId="55" xfId="0" applyFont="1" applyBorder="1"/>
    <xf numFmtId="164" fontId="40" fillId="0" borderId="55" xfId="1" applyNumberFormat="1" applyFont="1" applyFill="1" applyBorder="1"/>
    <xf numFmtId="166" fontId="40" fillId="0" borderId="55" xfId="3" applyFont="1" applyFill="1" applyBorder="1" applyProtection="1">
      <protection hidden="1"/>
    </xf>
    <xf numFmtId="0" fontId="39" fillId="31" borderId="13" xfId="0" applyFont="1" applyFill="1" applyBorder="1" applyAlignment="1">
      <alignment horizontal="center"/>
    </xf>
    <xf numFmtId="166" fontId="38" fillId="0" borderId="13" xfId="0" applyNumberFormat="1" applyFont="1" applyBorder="1"/>
    <xf numFmtId="166" fontId="38" fillId="31" borderId="13" xfId="0" applyNumberFormat="1" applyFont="1" applyFill="1" applyBorder="1"/>
    <xf numFmtId="0" fontId="44" fillId="0" borderId="54" xfId="0" applyFont="1" applyBorder="1"/>
    <xf numFmtId="41" fontId="40" fillId="0" borderId="0" xfId="2" applyFont="1"/>
    <xf numFmtId="0" fontId="41" fillId="0" borderId="56" xfId="0" applyFont="1" applyBorder="1"/>
    <xf numFmtId="164" fontId="41" fillId="0" borderId="56" xfId="1" applyNumberFormat="1" applyFont="1" applyFill="1" applyBorder="1"/>
    <xf numFmtId="0" fontId="38" fillId="0" borderId="20" xfId="0" applyFont="1" applyBorder="1" applyAlignment="1">
      <alignment horizontal="center"/>
    </xf>
    <xf numFmtId="166" fontId="38" fillId="9" borderId="0" xfId="0" applyNumberFormat="1" applyFont="1" applyFill="1"/>
    <xf numFmtId="0" fontId="39" fillId="32" borderId="48" xfId="0" applyFont="1" applyFill="1" applyBorder="1" applyAlignment="1">
      <alignment horizontal="center"/>
    </xf>
    <xf numFmtId="166" fontId="39" fillId="32" borderId="48" xfId="0" applyNumberFormat="1" applyFont="1" applyFill="1" applyBorder="1"/>
    <xf numFmtId="41" fontId="29" fillId="20" borderId="0" xfId="2" applyFont="1" applyFill="1"/>
    <xf numFmtId="41" fontId="0" fillId="0" borderId="0" xfId="2" applyFont="1"/>
    <xf numFmtId="41" fontId="0" fillId="0" borderId="0" xfId="0" applyNumberFormat="1"/>
    <xf numFmtId="0" fontId="0" fillId="0" borderId="0" xfId="0" applyAlignment="1">
      <alignment horizontal="center"/>
    </xf>
    <xf numFmtId="0" fontId="25" fillId="0" borderId="0" xfId="0" applyFont="1"/>
    <xf numFmtId="41" fontId="0" fillId="0" borderId="0" xfId="2" applyFont="1" applyFill="1" applyBorder="1"/>
    <xf numFmtId="41" fontId="0" fillId="34" borderId="0" xfId="2" applyFont="1" applyFill="1"/>
    <xf numFmtId="0" fontId="0" fillId="34" borderId="0" xfId="0" applyFill="1"/>
    <xf numFmtId="41" fontId="0" fillId="34" borderId="0" xfId="2" applyFont="1" applyFill="1" applyBorder="1"/>
    <xf numFmtId="41" fontId="25" fillId="0" borderId="0" xfId="2" applyFont="1"/>
    <xf numFmtId="41" fontId="0" fillId="0" borderId="13" xfId="2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70" xfId="0" applyBorder="1"/>
    <xf numFmtId="41" fontId="0" fillId="0" borderId="70" xfId="2" applyFont="1" applyBorder="1"/>
    <xf numFmtId="0" fontId="0" fillId="0" borderId="71" xfId="0" applyBorder="1"/>
    <xf numFmtId="41" fontId="0" fillId="0" borderId="71" xfId="2" applyFont="1" applyBorder="1"/>
    <xf numFmtId="166" fontId="38" fillId="0" borderId="71" xfId="0" applyNumberFormat="1" applyFont="1" applyBorder="1"/>
    <xf numFmtId="0" fontId="0" fillId="0" borderId="72" xfId="0" applyBorder="1" applyAlignment="1">
      <alignment horizontal="center"/>
    </xf>
    <xf numFmtId="41" fontId="0" fillId="0" borderId="72" xfId="2" applyFont="1" applyBorder="1"/>
    <xf numFmtId="0" fontId="25" fillId="0" borderId="71" xfId="0" applyFont="1" applyBorder="1"/>
    <xf numFmtId="0" fontId="0" fillId="0" borderId="72" xfId="0" applyBorder="1"/>
    <xf numFmtId="41" fontId="0" fillId="0" borderId="71" xfId="0" applyNumberFormat="1" applyBorder="1"/>
    <xf numFmtId="41" fontId="25" fillId="0" borderId="71" xfId="2" applyFont="1" applyBorder="1"/>
    <xf numFmtId="41" fontId="25" fillId="8" borderId="13" xfId="2" applyFont="1" applyFill="1" applyBorder="1" applyAlignment="1">
      <alignment horizontal="center"/>
    </xf>
    <xf numFmtId="0" fontId="25" fillId="8" borderId="13" xfId="0" applyFont="1" applyFill="1" applyBorder="1" applyAlignment="1">
      <alignment horizontal="center"/>
    </xf>
    <xf numFmtId="0" fontId="0" fillId="0" borderId="0" xfId="0" applyFill="1" applyBorder="1"/>
    <xf numFmtId="0" fontId="0" fillId="0" borderId="73" xfId="0" applyBorder="1"/>
    <xf numFmtId="41" fontId="0" fillId="0" borderId="73" xfId="2" applyFont="1" applyBorder="1"/>
    <xf numFmtId="166" fontId="40" fillId="0" borderId="71" xfId="0" applyNumberFormat="1" applyFont="1" applyBorder="1"/>
    <xf numFmtId="167" fontId="40" fillId="0" borderId="71" xfId="0" applyNumberFormat="1" applyFont="1" applyBorder="1"/>
    <xf numFmtId="41" fontId="0" fillId="34" borderId="70" xfId="2" applyFont="1" applyFill="1" applyBorder="1"/>
    <xf numFmtId="0" fontId="0" fillId="34" borderId="70" xfId="0" applyFill="1" applyBorder="1"/>
    <xf numFmtId="41" fontId="0" fillId="0" borderId="74" xfId="2" applyFont="1" applyBorder="1"/>
    <xf numFmtId="0" fontId="0" fillId="0" borderId="39" xfId="0" applyBorder="1"/>
    <xf numFmtId="41" fontId="0" fillId="0" borderId="39" xfId="2" applyFont="1" applyBorder="1"/>
    <xf numFmtId="0" fontId="0" fillId="0" borderId="0" xfId="0" applyBorder="1"/>
    <xf numFmtId="41" fontId="0" fillId="0" borderId="0" xfId="2" applyFont="1" applyBorder="1"/>
    <xf numFmtId="41" fontId="25" fillId="0" borderId="73" xfId="2" applyFont="1" applyBorder="1"/>
    <xf numFmtId="0" fontId="0" fillId="0" borderId="74" xfId="0" applyBorder="1"/>
    <xf numFmtId="0" fontId="25" fillId="0" borderId="74" xfId="0" applyFont="1" applyBorder="1"/>
    <xf numFmtId="0" fontId="0" fillId="0" borderId="73" xfId="0" applyBorder="1" applyAlignment="1">
      <alignment vertical="center"/>
    </xf>
    <xf numFmtId="0" fontId="45" fillId="0" borderId="74" xfId="0" applyFont="1" applyBorder="1"/>
    <xf numFmtId="41" fontId="25" fillId="30" borderId="73" xfId="2" applyFont="1" applyFill="1" applyBorder="1"/>
    <xf numFmtId="0" fontId="4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7" fontId="41" fillId="0" borderId="71" xfId="0" applyNumberFormat="1" applyFont="1" applyBorder="1"/>
    <xf numFmtId="169" fontId="46" fillId="0" borderId="70" xfId="0" applyNumberFormat="1" applyFont="1" applyBorder="1"/>
    <xf numFmtId="41" fontId="0" fillId="9" borderId="0" xfId="2" applyFont="1" applyFill="1"/>
    <xf numFmtId="0" fontId="39" fillId="0" borderId="55" xfId="0" applyFont="1" applyBorder="1"/>
    <xf numFmtId="166" fontId="39" fillId="0" borderId="55" xfId="0" applyNumberFormat="1" applyFont="1" applyBorder="1"/>
    <xf numFmtId="168" fontId="39" fillId="0" borderId="0" xfId="0" applyNumberFormat="1" applyFont="1"/>
    <xf numFmtId="0" fontId="47" fillId="0" borderId="0" xfId="0" applyFont="1"/>
    <xf numFmtId="41" fontId="47" fillId="0" borderId="0" xfId="2" applyFont="1"/>
    <xf numFmtId="0" fontId="25" fillId="30" borderId="13" xfId="0" applyFont="1" applyFill="1" applyBorder="1" applyAlignment="1">
      <alignment horizontal="center" wrapText="1"/>
    </xf>
    <xf numFmtId="41" fontId="25" fillId="30" borderId="13" xfId="2" applyFont="1" applyFill="1" applyBorder="1"/>
    <xf numFmtId="0" fontId="25" fillId="30" borderId="13" xfId="0" applyFont="1" applyFill="1" applyBorder="1"/>
    <xf numFmtId="41" fontId="25" fillId="30" borderId="13" xfId="2" applyFont="1" applyFill="1" applyBorder="1" applyAlignment="1">
      <alignment horizontal="center" vertical="center"/>
    </xf>
    <xf numFmtId="0" fontId="25" fillId="30" borderId="73" xfId="0" applyFont="1" applyFill="1" applyBorder="1" applyAlignment="1">
      <alignment horizontal="center"/>
    </xf>
    <xf numFmtId="41" fontId="0" fillId="30" borderId="0" xfId="2" applyFont="1" applyFill="1" applyBorder="1"/>
    <xf numFmtId="0" fontId="25" fillId="20" borderId="13" xfId="0" applyFont="1" applyFill="1" applyBorder="1" applyAlignment="1">
      <alignment horizontal="center"/>
    </xf>
    <xf numFmtId="41" fontId="25" fillId="20" borderId="13" xfId="2" applyFont="1" applyFill="1" applyBorder="1"/>
    <xf numFmtId="0" fontId="25" fillId="20" borderId="13" xfId="0" applyFont="1" applyFill="1" applyBorder="1"/>
    <xf numFmtId="41" fontId="29" fillId="0" borderId="0" xfId="0" applyNumberFormat="1" applyFont="1" applyFill="1"/>
    <xf numFmtId="164" fontId="39" fillId="0" borderId="0" xfId="0" applyNumberFormat="1" applyFont="1" applyAlignment="1">
      <alignment horizontal="center"/>
    </xf>
    <xf numFmtId="164" fontId="39" fillId="0" borderId="0" xfId="0" applyNumberFormat="1" applyFont="1" applyFill="1"/>
    <xf numFmtId="166" fontId="38" fillId="0" borderId="20" xfId="0" applyNumberFormat="1" applyFont="1" applyFill="1" applyBorder="1"/>
    <xf numFmtId="0" fontId="0" fillId="0" borderId="0" xfId="0" applyAlignment="1">
      <alignment horizontal="center" vertical="center"/>
    </xf>
    <xf numFmtId="0" fontId="37" fillId="0" borderId="0" xfId="0" applyFont="1" applyAlignment="1">
      <alignment vertical="top"/>
    </xf>
    <xf numFmtId="0" fontId="29" fillId="0" borderId="24" xfId="0" applyFont="1" applyBorder="1"/>
    <xf numFmtId="0" fontId="29" fillId="0" borderId="0" xfId="0" applyFont="1" applyBorder="1"/>
    <xf numFmtId="0" fontId="29" fillId="0" borderId="14" xfId="0" applyFont="1" applyBorder="1"/>
    <xf numFmtId="0" fontId="29" fillId="0" borderId="42" xfId="0" applyFont="1" applyBorder="1"/>
    <xf numFmtId="0" fontId="29" fillId="0" borderId="24" xfId="0" applyFont="1" applyBorder="1" applyAlignment="1">
      <alignment vertical="top"/>
    </xf>
    <xf numFmtId="0" fontId="29" fillId="0" borderId="0" xfId="0" applyFont="1" applyBorder="1" applyAlignment="1">
      <alignment vertical="top"/>
    </xf>
    <xf numFmtId="0" fontId="29" fillId="0" borderId="14" xfId="0" applyFont="1" applyBorder="1" applyAlignment="1">
      <alignment vertical="top"/>
    </xf>
    <xf numFmtId="0" fontId="29" fillId="0" borderId="0" xfId="0" applyFont="1" applyBorder="1" applyAlignment="1">
      <alignment horizontal="left" vertical="top" wrapText="1"/>
    </xf>
    <xf numFmtId="0" fontId="29" fillId="0" borderId="42" xfId="0" applyFont="1" applyBorder="1" applyAlignment="1">
      <alignment horizontal="left" wrapText="1"/>
    </xf>
    <xf numFmtId="0" fontId="29" fillId="0" borderId="42" xfId="0" applyFont="1" applyBorder="1" applyAlignment="1">
      <alignment horizontal="left" vertical="top" wrapText="1"/>
    </xf>
    <xf numFmtId="0" fontId="29" fillId="0" borderId="42" xfId="0" applyFont="1" applyBorder="1" applyAlignment="1">
      <alignment vertical="top"/>
    </xf>
    <xf numFmtId="0" fontId="29" fillId="0" borderId="26" xfId="0" applyFont="1" applyBorder="1" applyAlignment="1">
      <alignment vertical="top"/>
    </xf>
    <xf numFmtId="0" fontId="29" fillId="0" borderId="27" xfId="0" applyFont="1" applyBorder="1"/>
    <xf numFmtId="0" fontId="29" fillId="0" borderId="75" xfId="0" applyFont="1" applyBorder="1" applyAlignment="1">
      <alignment vertical="top"/>
    </xf>
    <xf numFmtId="0" fontId="29" fillId="0" borderId="45" xfId="0" applyFont="1" applyBorder="1" applyAlignment="1">
      <alignment horizontal="left" wrapText="1"/>
    </xf>
    <xf numFmtId="164" fontId="38" fillId="0" borderId="56" xfId="1" applyNumberFormat="1" applyFont="1" applyFill="1" applyBorder="1"/>
    <xf numFmtId="41" fontId="38" fillId="0" borderId="0" xfId="0" applyNumberFormat="1" applyFont="1"/>
    <xf numFmtId="0" fontId="40" fillId="0" borderId="0" xfId="0" applyFont="1" applyBorder="1"/>
    <xf numFmtId="164" fontId="40" fillId="0" borderId="0" xfId="1" applyNumberFormat="1" applyFont="1" applyFill="1" applyBorder="1"/>
    <xf numFmtId="166" fontId="40" fillId="0" borderId="0" xfId="3" applyFont="1" applyFill="1" applyBorder="1" applyProtection="1">
      <protection hidden="1"/>
    </xf>
    <xf numFmtId="166" fontId="39" fillId="39" borderId="48" xfId="0" applyNumberFormat="1" applyFont="1" applyFill="1" applyBorder="1"/>
    <xf numFmtId="166" fontId="33" fillId="11" borderId="6" xfId="2" applyNumberFormat="1" applyFont="1" applyFill="1" applyBorder="1"/>
    <xf numFmtId="166" fontId="29" fillId="0" borderId="0" xfId="0" applyNumberFormat="1" applyFont="1"/>
    <xf numFmtId="0" fontId="49" fillId="40" borderId="6" xfId="0" applyFont="1" applyFill="1" applyBorder="1" applyAlignment="1">
      <alignment horizontal="center" vertical="center" wrapText="1"/>
    </xf>
    <xf numFmtId="0" fontId="50" fillId="8" borderId="6" xfId="0" applyFont="1" applyFill="1" applyBorder="1" applyAlignment="1">
      <alignment horizontal="center" vertical="center" wrapText="1"/>
    </xf>
    <xf numFmtId="16" fontId="24" fillId="8" borderId="0" xfId="0" quotePrefix="1" applyNumberFormat="1" applyFont="1" applyFill="1" applyAlignment="1">
      <alignment horizontal="center"/>
    </xf>
    <xf numFmtId="0" fontId="25" fillId="31" borderId="79" xfId="0" quotePrefix="1" applyFont="1" applyFill="1" applyBorder="1" applyAlignment="1">
      <alignment horizontal="center"/>
    </xf>
    <xf numFmtId="41" fontId="25" fillId="31" borderId="79" xfId="2" quotePrefix="1" applyFont="1" applyFill="1" applyBorder="1" applyAlignment="1">
      <alignment horizontal="center" vertical="center"/>
    </xf>
    <xf numFmtId="0" fontId="25" fillId="15" borderId="79" xfId="0" quotePrefix="1" applyFont="1" applyFill="1" applyBorder="1" applyAlignment="1">
      <alignment horizontal="center"/>
    </xf>
    <xf numFmtId="0" fontId="25" fillId="0" borderId="69" xfId="0" applyFont="1" applyBorder="1" applyAlignment="1">
      <alignment horizontal="center" vertical="center"/>
    </xf>
    <xf numFmtId="0" fontId="25" fillId="0" borderId="79" xfId="0" applyFont="1" applyBorder="1"/>
    <xf numFmtId="41" fontId="25" fillId="0" borderId="79" xfId="2" applyFont="1" applyFill="1" applyBorder="1"/>
    <xf numFmtId="0" fontId="0" fillId="0" borderId="80" xfId="0" applyBorder="1" applyAlignment="1">
      <alignment horizontal="center" vertical="center"/>
    </xf>
    <xf numFmtId="0" fontId="0" fillId="0" borderId="81" xfId="0" applyBorder="1"/>
    <xf numFmtId="41" fontId="0" fillId="0" borderId="81" xfId="2" applyFont="1" applyBorder="1"/>
    <xf numFmtId="41" fontId="0" fillId="0" borderId="81" xfId="2" applyFont="1" applyFill="1" applyBorder="1"/>
    <xf numFmtId="41" fontId="0" fillId="30" borderId="0" xfId="2" applyFont="1" applyFill="1"/>
    <xf numFmtId="169" fontId="0" fillId="0" borderId="81" xfId="2" applyNumberFormat="1" applyFont="1" applyFill="1" applyBorder="1"/>
    <xf numFmtId="0" fontId="0" fillId="0" borderId="82" xfId="0" applyBorder="1" applyAlignment="1">
      <alignment horizontal="center" vertical="center"/>
    </xf>
    <xf numFmtId="0" fontId="0" fillId="0" borderId="83" xfId="0" applyBorder="1"/>
    <xf numFmtId="41" fontId="0" fillId="0" borderId="83" xfId="2" applyFont="1" applyBorder="1"/>
    <xf numFmtId="41" fontId="0" fillId="0" borderId="83" xfId="2" applyFont="1" applyFill="1" applyBorder="1"/>
    <xf numFmtId="169" fontId="0" fillId="0" borderId="83" xfId="2" applyNumberFormat="1" applyFont="1" applyFill="1" applyBorder="1"/>
    <xf numFmtId="0" fontId="25" fillId="30" borderId="84" xfId="0" applyFont="1" applyFill="1" applyBorder="1" applyAlignment="1">
      <alignment horizontal="left"/>
    </xf>
    <xf numFmtId="0" fontId="25" fillId="30" borderId="85" xfId="0" applyFont="1" applyFill="1" applyBorder="1" applyAlignment="1">
      <alignment horizontal="left"/>
    </xf>
    <xf numFmtId="41" fontId="25" fillId="30" borderId="85" xfId="2" applyFont="1" applyFill="1" applyBorder="1" applyAlignment="1">
      <alignment horizontal="center"/>
    </xf>
    <xf numFmtId="41" fontId="25" fillId="30" borderId="85" xfId="2" applyFont="1" applyFill="1" applyBorder="1"/>
    <xf numFmtId="41" fontId="25" fillId="0" borderId="0" xfId="0" applyNumberFormat="1" applyFont="1"/>
    <xf numFmtId="169" fontId="25" fillId="30" borderId="85" xfId="2" applyNumberFormat="1" applyFont="1" applyFill="1" applyBorder="1"/>
    <xf numFmtId="0" fontId="25" fillId="0" borderId="0" xfId="0" applyFont="1" applyAlignment="1">
      <alignment horizontal="center" vertical="center"/>
    </xf>
    <xf numFmtId="0" fontId="25" fillId="0" borderId="86" xfId="0" applyFont="1" applyBorder="1"/>
    <xf numFmtId="41" fontId="25" fillId="0" borderId="86" xfId="2" applyFont="1" applyBorder="1"/>
    <xf numFmtId="41" fontId="25" fillId="0" borderId="86" xfId="2" applyFont="1" applyFill="1" applyBorder="1"/>
    <xf numFmtId="169" fontId="25" fillId="0" borderId="86" xfId="2" applyNumberFormat="1" applyFont="1" applyFill="1" applyBorder="1"/>
    <xf numFmtId="0" fontId="25" fillId="0" borderId="85" xfId="0" applyFont="1" applyBorder="1" applyAlignment="1">
      <alignment horizontal="left"/>
    </xf>
    <xf numFmtId="41" fontId="25" fillId="0" borderId="85" xfId="2" applyFont="1" applyFill="1" applyBorder="1"/>
    <xf numFmtId="169" fontId="25" fillId="0" borderId="85" xfId="2" applyNumberFormat="1" applyFont="1" applyFill="1" applyBorder="1"/>
    <xf numFmtId="166" fontId="51" fillId="30" borderId="87" xfId="2" applyNumberFormat="1" applyFont="1" applyFill="1" applyBorder="1"/>
    <xf numFmtId="169" fontId="51" fillId="30" borderId="87" xfId="2" applyNumberFormat="1" applyFont="1" applyFill="1" applyBorder="1"/>
    <xf numFmtId="166" fontId="25" fillId="0" borderId="0" xfId="0" applyNumberFormat="1" applyFont="1"/>
    <xf numFmtId="0" fontId="25" fillId="0" borderId="81" xfId="0" applyFont="1" applyBorder="1"/>
    <xf numFmtId="41" fontId="25" fillId="0" borderId="81" xfId="2" applyFont="1" applyBorder="1"/>
    <xf numFmtId="41" fontId="25" fillId="0" borderId="81" xfId="2" applyFont="1" applyFill="1" applyBorder="1"/>
    <xf numFmtId="169" fontId="25" fillId="0" borderId="81" xfId="2" applyNumberFormat="1" applyFont="1" applyFill="1" applyBorder="1"/>
    <xf numFmtId="166" fontId="52" fillId="0" borderId="6" xfId="2" applyNumberFormat="1" applyFont="1" applyFill="1" applyBorder="1"/>
    <xf numFmtId="166" fontId="52" fillId="30" borderId="6" xfId="2" applyNumberFormat="1" applyFont="1" applyFill="1" applyBorder="1"/>
    <xf numFmtId="166" fontId="52" fillId="0" borderId="88" xfId="2" applyNumberFormat="1" applyFont="1" applyFill="1" applyBorder="1"/>
    <xf numFmtId="169" fontId="52" fillId="0" borderId="88" xfId="2" applyNumberFormat="1" applyFont="1" applyFill="1" applyBorder="1"/>
    <xf numFmtId="169" fontId="0" fillId="0" borderId="0" xfId="2" applyNumberFormat="1" applyFont="1"/>
    <xf numFmtId="166" fontId="51" fillId="0" borderId="6" xfId="2" applyNumberFormat="1" applyFont="1" applyFill="1" applyBorder="1"/>
    <xf numFmtId="166" fontId="51" fillId="30" borderId="6" xfId="2" applyNumberFormat="1" applyFont="1" applyFill="1" applyBorder="1"/>
    <xf numFmtId="166" fontId="52" fillId="0" borderId="89" xfId="2" applyNumberFormat="1" applyFont="1" applyFill="1" applyBorder="1"/>
    <xf numFmtId="169" fontId="52" fillId="0" borderId="89" xfId="2" applyNumberFormat="1" applyFont="1" applyFill="1" applyBorder="1"/>
    <xf numFmtId="0" fontId="25" fillId="30" borderId="85" xfId="0" applyFont="1" applyFill="1" applyBorder="1" applyAlignment="1">
      <alignment horizontal="center"/>
    </xf>
    <xf numFmtId="41" fontId="0" fillId="30" borderId="81" xfId="2" applyFont="1" applyFill="1" applyBorder="1"/>
    <xf numFmtId="0" fontId="52" fillId="0" borderId="81" xfId="0" applyFont="1" applyBorder="1"/>
    <xf numFmtId="41" fontId="52" fillId="0" borderId="81" xfId="2" applyFont="1" applyBorder="1"/>
    <xf numFmtId="41" fontId="52" fillId="30" borderId="81" xfId="2" applyFont="1" applyFill="1" applyBorder="1"/>
    <xf numFmtId="166" fontId="51" fillId="9" borderId="87" xfId="2" applyNumberFormat="1" applyFont="1" applyFill="1" applyBorder="1"/>
    <xf numFmtId="0" fontId="24" fillId="0" borderId="0" xfId="0" applyFont="1"/>
    <xf numFmtId="41" fontId="24" fillId="0" borderId="0" xfId="2" applyFont="1" applyFill="1"/>
    <xf numFmtId="166" fontId="0" fillId="0" borderId="0" xfId="0" applyNumberFormat="1"/>
    <xf numFmtId="166" fontId="0" fillId="32" borderId="0" xfId="0" applyNumberFormat="1" applyFill="1"/>
    <xf numFmtId="10" fontId="0" fillId="0" borderId="0" xfId="7" applyNumberFormat="1" applyFont="1"/>
    <xf numFmtId="166" fontId="52" fillId="0" borderId="0" xfId="2" applyNumberFormat="1" applyFont="1" applyFill="1" applyBorder="1"/>
    <xf numFmtId="169" fontId="0" fillId="0" borderId="0" xfId="2" applyNumberFormat="1" applyFont="1" applyFill="1" applyBorder="1"/>
    <xf numFmtId="41" fontId="0" fillId="0" borderId="0" xfId="0" applyNumberFormat="1" applyBorder="1"/>
    <xf numFmtId="0" fontId="25" fillId="0" borderId="73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45" fillId="0" borderId="74" xfId="0" applyFont="1" applyBorder="1" applyAlignment="1">
      <alignment horizontal="center"/>
    </xf>
    <xf numFmtId="0" fontId="25" fillId="0" borderId="71" xfId="0" applyFont="1" applyBorder="1" applyAlignment="1">
      <alignment horizontal="right"/>
    </xf>
    <xf numFmtId="0" fontId="0" fillId="0" borderId="71" xfId="0" applyBorder="1" applyAlignment="1">
      <alignment horizontal="right"/>
    </xf>
    <xf numFmtId="0" fontId="0" fillId="0" borderId="74" xfId="0" applyBorder="1" applyAlignment="1">
      <alignment horizontal="right"/>
    </xf>
    <xf numFmtId="0" fontId="0" fillId="0" borderId="73" xfId="0" applyBorder="1" applyAlignment="1">
      <alignment horizontal="right" vertical="center"/>
    </xf>
    <xf numFmtId="0" fontId="0" fillId="0" borderId="73" xfId="0" applyBorder="1" applyAlignment="1">
      <alignment horizontal="right"/>
    </xf>
    <xf numFmtId="166" fontId="34" fillId="11" borderId="6" xfId="2" applyNumberFormat="1" applyFont="1" applyFill="1" applyBorder="1"/>
    <xf numFmtId="41" fontId="27" fillId="20" borderId="0" xfId="2" applyFont="1" applyFill="1"/>
    <xf numFmtId="0" fontId="26" fillId="0" borderId="0" xfId="8"/>
    <xf numFmtId="41" fontId="54" fillId="0" borderId="0" xfId="2" applyFont="1"/>
    <xf numFmtId="0" fontId="3" fillId="0" borderId="0" xfId="0" applyFont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164" fontId="10" fillId="16" borderId="1" xfId="1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horizontal="center"/>
    </xf>
    <xf numFmtId="164" fontId="10" fillId="18" borderId="2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3" fillId="13" borderId="10" xfId="1" applyNumberFormat="1" applyFont="1" applyFill="1" applyBorder="1" applyAlignment="1">
      <alignment horizontal="center" wrapText="1"/>
    </xf>
    <xf numFmtId="164" fontId="3" fillId="13" borderId="7" xfId="1" applyNumberFormat="1" applyFont="1" applyFill="1" applyBorder="1" applyAlignment="1">
      <alignment horizontal="center" wrapText="1"/>
    </xf>
    <xf numFmtId="164" fontId="3" fillId="11" borderId="8" xfId="1" applyNumberFormat="1" applyFont="1" applyFill="1" applyBorder="1" applyAlignment="1">
      <alignment horizontal="center" vertical="center" wrapText="1"/>
    </xf>
    <xf numFmtId="164" fontId="3" fillId="11" borderId="9" xfId="1" applyNumberFormat="1" applyFont="1" applyFill="1" applyBorder="1" applyAlignment="1">
      <alignment horizontal="center" vertical="center" wrapText="1"/>
    </xf>
    <xf numFmtId="164" fontId="3" fillId="11" borderId="11" xfId="1" applyNumberFormat="1" applyFont="1" applyFill="1" applyBorder="1" applyAlignment="1">
      <alignment horizontal="center" vertical="center" wrapText="1"/>
    </xf>
    <xf numFmtId="164" fontId="3" fillId="11" borderId="12" xfId="1" applyNumberFormat="1" applyFont="1" applyFill="1" applyBorder="1" applyAlignment="1">
      <alignment horizontal="center" vertical="center" wrapText="1"/>
    </xf>
    <xf numFmtId="41" fontId="25" fillId="0" borderId="71" xfId="2" applyFont="1" applyBorder="1" applyAlignment="1">
      <alignment horizontal="center" vertical="center"/>
    </xf>
    <xf numFmtId="41" fontId="25" fillId="0" borderId="73" xfId="2" applyFont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0" borderId="71" xfId="0" applyBorder="1" applyAlignment="1">
      <alignment horizontal="right" wrapText="1"/>
    </xf>
    <xf numFmtId="0" fontId="0" fillId="0" borderId="73" xfId="0" applyBorder="1" applyAlignment="1">
      <alignment horizontal="right" wrapText="1"/>
    </xf>
    <xf numFmtId="41" fontId="25" fillId="8" borderId="13" xfId="2" applyFont="1" applyFill="1" applyBorder="1" applyAlignment="1">
      <alignment horizontal="center" vertical="center"/>
    </xf>
    <xf numFmtId="41" fontId="25" fillId="8" borderId="13" xfId="2" applyFont="1" applyFill="1" applyBorder="1" applyAlignment="1">
      <alignment horizontal="center"/>
    </xf>
    <xf numFmtId="41" fontId="25" fillId="9" borderId="13" xfId="2" applyFont="1" applyFill="1" applyBorder="1" applyAlignment="1">
      <alignment horizontal="center"/>
    </xf>
    <xf numFmtId="41" fontId="25" fillId="8" borderId="13" xfId="2" applyFont="1" applyFill="1" applyBorder="1" applyAlignment="1">
      <alignment horizontal="center" vertical="center" wrapText="1"/>
    </xf>
    <xf numFmtId="0" fontId="0" fillId="0" borderId="71" xfId="0" applyBorder="1" applyAlignment="1">
      <alignment horizontal="left" wrapText="1"/>
    </xf>
    <xf numFmtId="0" fontId="0" fillId="0" borderId="73" xfId="0" applyBorder="1" applyAlignment="1">
      <alignment horizontal="left" wrapText="1"/>
    </xf>
    <xf numFmtId="0" fontId="39" fillId="0" borderId="0" xfId="0" applyFont="1" applyAlignment="1">
      <alignment horizontal="center"/>
    </xf>
    <xf numFmtId="0" fontId="39" fillId="8" borderId="15" xfId="0" applyFont="1" applyFill="1" applyBorder="1" applyAlignment="1">
      <alignment horizontal="center" vertical="center"/>
    </xf>
    <xf numFmtId="0" fontId="39" fillId="8" borderId="39" xfId="0" applyFont="1" applyFill="1" applyBorder="1" applyAlignment="1">
      <alignment horizontal="center" vertical="center"/>
    </xf>
    <xf numFmtId="0" fontId="39" fillId="25" borderId="15" xfId="0" applyFont="1" applyFill="1" applyBorder="1" applyAlignment="1">
      <alignment horizontal="center" vertical="center"/>
    </xf>
    <xf numFmtId="0" fontId="39" fillId="25" borderId="39" xfId="0" applyFont="1" applyFill="1" applyBorder="1" applyAlignment="1">
      <alignment horizontal="center" vertical="center"/>
    </xf>
    <xf numFmtId="0" fontId="39" fillId="9" borderId="15" xfId="0" applyFont="1" applyFill="1" applyBorder="1" applyAlignment="1">
      <alignment horizontal="center" vertical="center" wrapText="1"/>
    </xf>
    <xf numFmtId="0" fontId="39" fillId="9" borderId="39" xfId="0" applyFont="1" applyFill="1" applyBorder="1" applyAlignment="1">
      <alignment horizontal="center" vertical="center" wrapText="1"/>
    </xf>
    <xf numFmtId="0" fontId="39" fillId="8" borderId="16" xfId="0" applyFont="1" applyFill="1" applyBorder="1" applyAlignment="1">
      <alignment horizontal="center" vertical="center"/>
    </xf>
    <xf numFmtId="0" fontId="39" fillId="8" borderId="17" xfId="0" applyFont="1" applyFill="1" applyBorder="1" applyAlignment="1">
      <alignment horizontal="center" vertical="center"/>
    </xf>
    <xf numFmtId="0" fontId="39" fillId="8" borderId="18" xfId="0" applyFont="1" applyFill="1" applyBorder="1" applyAlignment="1">
      <alignment horizontal="center" vertical="center"/>
    </xf>
    <xf numFmtId="0" fontId="39" fillId="25" borderId="15" xfId="0" applyFont="1" applyFill="1" applyBorder="1" applyAlignment="1">
      <alignment horizontal="center" vertical="center" wrapText="1"/>
    </xf>
    <xf numFmtId="0" fontId="39" fillId="25" borderId="39" xfId="0" applyFont="1" applyFill="1" applyBorder="1" applyAlignment="1">
      <alignment horizontal="center" vertical="center" wrapText="1"/>
    </xf>
    <xf numFmtId="0" fontId="39" fillId="33" borderId="15" xfId="0" applyFont="1" applyFill="1" applyBorder="1" applyAlignment="1">
      <alignment horizontal="center" vertical="center" wrapText="1"/>
    </xf>
    <xf numFmtId="0" fontId="39" fillId="33" borderId="39" xfId="0" applyFont="1" applyFill="1" applyBorder="1" applyAlignment="1">
      <alignment horizontal="center" vertical="center" wrapText="1"/>
    </xf>
    <xf numFmtId="0" fontId="39" fillId="25" borderId="47" xfId="0" applyFont="1" applyFill="1" applyBorder="1" applyAlignment="1">
      <alignment horizontal="center" vertical="center" wrapText="1"/>
    </xf>
    <xf numFmtId="0" fontId="17" fillId="0" borderId="24" xfId="5" applyFont="1" applyBorder="1" applyAlignment="1" applyProtection="1">
      <alignment horizontal="center" vertical="center"/>
      <protection hidden="1"/>
    </xf>
    <xf numFmtId="0" fontId="17" fillId="0" borderId="0" xfId="5" applyFont="1" applyBorder="1" applyAlignment="1" applyProtection="1">
      <alignment horizontal="center" vertical="center"/>
      <protection hidden="1"/>
    </xf>
    <xf numFmtId="0" fontId="15" fillId="13" borderId="51" xfId="5" applyFont="1" applyFill="1" applyBorder="1" applyAlignment="1" applyProtection="1">
      <alignment horizontal="center"/>
      <protection hidden="1"/>
    </xf>
    <xf numFmtId="0" fontId="15" fillId="13" borderId="52" xfId="5" applyFont="1" applyFill="1" applyBorder="1" applyAlignment="1" applyProtection="1">
      <alignment horizontal="center"/>
      <protection hidden="1"/>
    </xf>
    <xf numFmtId="0" fontId="15" fillId="13" borderId="53" xfId="5" applyFont="1" applyFill="1" applyBorder="1" applyAlignment="1" applyProtection="1">
      <alignment horizontal="center"/>
      <protection hidden="1"/>
    </xf>
    <xf numFmtId="0" fontId="15" fillId="15" borderId="32" xfId="5" applyFont="1" applyFill="1" applyBorder="1" applyAlignment="1" applyProtection="1">
      <alignment horizontal="center" vertical="center" wrapText="1"/>
      <protection hidden="1"/>
    </xf>
    <xf numFmtId="0" fontId="15" fillId="15" borderId="22" xfId="5" applyFont="1" applyFill="1" applyBorder="1" applyAlignment="1" applyProtection="1">
      <alignment horizontal="center" vertical="center" wrapText="1"/>
      <protection hidden="1"/>
    </xf>
    <xf numFmtId="0" fontId="15" fillId="15" borderId="33" xfId="5" applyFont="1" applyFill="1" applyBorder="1" applyAlignment="1" applyProtection="1">
      <alignment horizontal="center" vertical="center" wrapText="1"/>
      <protection hidden="1"/>
    </xf>
    <xf numFmtId="0" fontId="15" fillId="29" borderId="10" xfId="5" applyFont="1" applyFill="1" applyBorder="1" applyAlignment="1" applyProtection="1">
      <alignment horizontal="center" vertical="center" wrapText="1"/>
      <protection hidden="1"/>
    </xf>
    <xf numFmtId="0" fontId="15" fillId="29" borderId="7" xfId="5" applyFont="1" applyFill="1" applyBorder="1" applyAlignment="1" applyProtection="1">
      <alignment horizontal="center" vertical="center" wrapText="1"/>
      <protection hidden="1"/>
    </xf>
    <xf numFmtId="164" fontId="15" fillId="8" borderId="0" xfId="4" applyNumberFormat="1" applyFont="1" applyFill="1" applyBorder="1" applyAlignment="1">
      <alignment horizontal="center" vertical="center"/>
    </xf>
    <xf numFmtId="0" fontId="18" fillId="0" borderId="24" xfId="5" applyFont="1" applyBorder="1" applyAlignment="1" applyProtection="1">
      <alignment horizontal="center" vertical="center"/>
      <protection locked="0"/>
    </xf>
    <xf numFmtId="0" fontId="18" fillId="0" borderId="0" xfId="5" applyFont="1" applyAlignment="1" applyProtection="1">
      <alignment horizontal="center" vertical="center"/>
      <protection locked="0"/>
    </xf>
    <xf numFmtId="0" fontId="18" fillId="0" borderId="25" xfId="5" applyFont="1" applyBorder="1" applyAlignment="1" applyProtection="1">
      <alignment horizontal="center" vertical="center"/>
      <protection locked="0"/>
    </xf>
    <xf numFmtId="0" fontId="19" fillId="22" borderId="29" xfId="5" applyFont="1" applyFill="1" applyBorder="1" applyAlignment="1" applyProtection="1">
      <alignment horizontal="center" vertical="center"/>
      <protection hidden="1"/>
    </xf>
    <xf numFmtId="0" fontId="19" fillId="22" borderId="34" xfId="5" applyFont="1" applyFill="1" applyBorder="1" applyAlignment="1" applyProtection="1">
      <alignment horizontal="center" vertical="center"/>
      <protection hidden="1"/>
    </xf>
    <xf numFmtId="0" fontId="15" fillId="0" borderId="30" xfId="5" applyFont="1" applyBorder="1" applyAlignment="1" applyProtection="1">
      <alignment horizontal="center" vertical="center"/>
      <protection hidden="1"/>
    </xf>
    <xf numFmtId="0" fontId="15" fillId="0" borderId="19" xfId="5" applyFont="1" applyBorder="1" applyAlignment="1" applyProtection="1">
      <alignment horizontal="center" vertical="center"/>
      <protection hidden="1"/>
    </xf>
    <xf numFmtId="0" fontId="19" fillId="8" borderId="31" xfId="5" applyFont="1" applyFill="1" applyBorder="1" applyAlignment="1" applyProtection="1">
      <alignment horizontal="center" vertical="center" wrapText="1"/>
      <protection hidden="1"/>
    </xf>
    <xf numFmtId="0" fontId="19" fillId="8" borderId="35" xfId="5" applyFont="1" applyFill="1" applyBorder="1" applyAlignment="1" applyProtection="1">
      <alignment horizontal="center" vertical="center" wrapText="1"/>
      <protection hidden="1"/>
    </xf>
    <xf numFmtId="0" fontId="14" fillId="0" borderId="0" xfId="5" applyFont="1" applyAlignment="1">
      <alignment horizontal="center"/>
    </xf>
    <xf numFmtId="0" fontId="20" fillId="22" borderId="1" xfId="5" applyFont="1" applyFill="1" applyBorder="1" applyAlignment="1" applyProtection="1">
      <alignment horizontal="center" vertical="center" wrapText="1"/>
      <protection hidden="1"/>
    </xf>
    <xf numFmtId="0" fontId="15" fillId="23" borderId="2" xfId="5" applyFont="1" applyFill="1" applyBorder="1" applyAlignment="1" applyProtection="1">
      <alignment horizontal="center" vertical="center"/>
      <protection hidden="1"/>
    </xf>
    <xf numFmtId="0" fontId="15" fillId="23" borderId="5" xfId="5" applyFont="1" applyFill="1" applyBorder="1" applyAlignment="1" applyProtection="1">
      <alignment horizontal="center" vertical="center"/>
      <protection hidden="1"/>
    </xf>
    <xf numFmtId="0" fontId="19" fillId="28" borderId="31" xfId="5" applyFont="1" applyFill="1" applyBorder="1" applyAlignment="1" applyProtection="1">
      <alignment horizontal="center" vertical="center" wrapText="1"/>
      <protection hidden="1"/>
    </xf>
    <xf numFmtId="0" fontId="19" fillId="28" borderId="35" xfId="5" applyFont="1" applyFill="1" applyBorder="1" applyAlignment="1" applyProtection="1">
      <alignment horizontal="center" vertical="center" wrapText="1"/>
      <protection hidden="1"/>
    </xf>
    <xf numFmtId="0" fontId="15" fillId="9" borderId="10" xfId="5" applyFont="1" applyFill="1" applyBorder="1" applyAlignment="1" applyProtection="1">
      <alignment horizontal="center" vertical="center" wrapText="1"/>
      <protection hidden="1"/>
    </xf>
    <xf numFmtId="0" fontId="15" fillId="9" borderId="7" xfId="5" applyFont="1" applyFill="1" applyBorder="1" applyAlignment="1" applyProtection="1">
      <alignment horizontal="center" vertical="center" wrapText="1"/>
      <protection hidden="1"/>
    </xf>
    <xf numFmtId="0" fontId="19" fillId="22" borderId="31" xfId="5" applyFont="1" applyFill="1" applyBorder="1" applyAlignment="1" applyProtection="1">
      <alignment horizontal="center" vertical="center" wrapText="1"/>
      <protection hidden="1"/>
    </xf>
    <xf numFmtId="0" fontId="19" fillId="22" borderId="35" xfId="5" applyFont="1" applyFill="1" applyBorder="1" applyAlignment="1" applyProtection="1">
      <alignment horizontal="center" vertical="center" wrapText="1"/>
      <protection hidden="1"/>
    </xf>
    <xf numFmtId="0" fontId="19" fillId="22" borderId="1" xfId="5" applyFont="1" applyFill="1" applyBorder="1" applyAlignment="1" applyProtection="1">
      <alignment horizontal="center" vertical="center"/>
      <protection hidden="1"/>
    </xf>
    <xf numFmtId="0" fontId="53" fillId="0" borderId="0" xfId="0" applyFont="1" applyAlignment="1">
      <alignment horizontal="center"/>
    </xf>
    <xf numFmtId="0" fontId="30" fillId="8" borderId="6" xfId="0" applyFont="1" applyFill="1" applyBorder="1" applyAlignment="1">
      <alignment horizontal="center" vertical="center" wrapText="1"/>
    </xf>
    <xf numFmtId="0" fontId="30" fillId="41" borderId="1" xfId="0" applyFont="1" applyFill="1" applyBorder="1" applyAlignment="1">
      <alignment horizontal="center" vertical="center" wrapText="1"/>
    </xf>
    <xf numFmtId="0" fontId="30" fillId="41" borderId="1" xfId="5" applyFont="1" applyFill="1" applyBorder="1" applyAlignment="1" applyProtection="1">
      <alignment horizontal="center" vertical="center" wrapText="1"/>
      <protection hidden="1"/>
    </xf>
    <xf numFmtId="0" fontId="30" fillId="12" borderId="1" xfId="5" applyFont="1" applyFill="1" applyBorder="1" applyAlignment="1" applyProtection="1">
      <alignment horizontal="center" vertical="center" wrapText="1"/>
      <protection hidden="1"/>
    </xf>
    <xf numFmtId="0" fontId="30" fillId="35" borderId="8" xfId="5" applyFont="1" applyFill="1" applyBorder="1" applyAlignment="1" applyProtection="1">
      <alignment horizontal="center" vertical="center" wrapText="1"/>
      <protection hidden="1"/>
    </xf>
    <xf numFmtId="0" fontId="30" fillId="35" borderId="11" xfId="5" applyFont="1" applyFill="1" applyBorder="1" applyAlignment="1" applyProtection="1">
      <alignment horizontal="center" vertical="center" wrapText="1"/>
      <protection hidden="1"/>
    </xf>
    <xf numFmtId="0" fontId="34" fillId="9" borderId="8" xfId="5" applyFont="1" applyFill="1" applyBorder="1" applyAlignment="1" applyProtection="1">
      <alignment horizontal="center" vertical="center" wrapText="1"/>
      <protection hidden="1"/>
    </xf>
    <xf numFmtId="0" fontId="34" fillId="9" borderId="11" xfId="5" applyFont="1" applyFill="1" applyBorder="1" applyAlignment="1" applyProtection="1">
      <alignment horizontal="center" vertical="center" wrapText="1"/>
      <protection hidden="1"/>
    </xf>
    <xf numFmtId="0" fontId="30" fillId="35" borderId="1" xfId="5" applyFont="1" applyFill="1" applyBorder="1" applyAlignment="1" applyProtection="1">
      <alignment horizontal="center" vertical="center" wrapText="1"/>
      <protection hidden="1"/>
    </xf>
    <xf numFmtId="0" fontId="30" fillId="8" borderId="1" xfId="5" applyFont="1" applyFill="1" applyBorder="1" applyAlignment="1" applyProtection="1">
      <alignment horizontal="center" vertical="center" wrapText="1"/>
      <protection hidden="1"/>
    </xf>
    <xf numFmtId="0" fontId="30" fillId="8" borderId="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 vertical="center" wrapText="1"/>
    </xf>
    <xf numFmtId="0" fontId="30" fillId="34" borderId="1" xfId="5" applyFont="1" applyFill="1" applyBorder="1" applyAlignment="1" applyProtection="1">
      <alignment horizontal="center" vertical="center" wrapText="1"/>
      <protection hidden="1"/>
    </xf>
    <xf numFmtId="0" fontId="30" fillId="34" borderId="2" xfId="5" applyFont="1" applyFill="1" applyBorder="1" applyAlignment="1" applyProtection="1">
      <alignment horizontal="center" vertical="center" wrapText="1"/>
      <protection hidden="1"/>
    </xf>
    <xf numFmtId="0" fontId="30" fillId="34" borderId="58" xfId="5" applyFont="1" applyFill="1" applyBorder="1" applyAlignment="1" applyProtection="1">
      <alignment horizontal="center" vertical="center" wrapText="1"/>
      <protection hidden="1"/>
    </xf>
    <xf numFmtId="0" fontId="30" fillId="34" borderId="5" xfId="5" applyFont="1" applyFill="1" applyBorder="1" applyAlignment="1" applyProtection="1">
      <alignment horizontal="center" vertical="center" wrapText="1"/>
      <protection hidden="1"/>
    </xf>
    <xf numFmtId="0" fontId="30" fillId="34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30" fillId="29" borderId="1" xfId="5" applyFont="1" applyFill="1" applyBorder="1" applyAlignment="1" applyProtection="1">
      <alignment horizontal="center" vertical="center" wrapText="1"/>
      <protection hidden="1"/>
    </xf>
    <xf numFmtId="0" fontId="27" fillId="8" borderId="21" xfId="0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33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9" fillId="40" borderId="6" xfId="0" applyFont="1" applyFill="1" applyBorder="1" applyAlignment="1">
      <alignment horizontal="center" vertical="center" wrapText="1"/>
    </xf>
    <xf numFmtId="0" fontId="49" fillId="40" borderId="6" xfId="0" applyFont="1" applyFill="1" applyBorder="1" applyAlignment="1">
      <alignment vertical="center"/>
    </xf>
    <xf numFmtId="0" fontId="50" fillId="4" borderId="76" xfId="0" applyFont="1" applyFill="1" applyBorder="1" applyAlignment="1">
      <alignment horizontal="center" vertical="center" wrapText="1"/>
    </xf>
    <xf numFmtId="0" fontId="50" fillId="4" borderId="77" xfId="0" applyFont="1" applyFill="1" applyBorder="1" applyAlignment="1">
      <alignment horizontal="center" vertical="center" wrapText="1"/>
    </xf>
    <xf numFmtId="0" fontId="50" fillId="4" borderId="78" xfId="0" applyFont="1" applyFill="1" applyBorder="1" applyAlignment="1">
      <alignment horizontal="center" vertical="center" wrapText="1"/>
    </xf>
    <xf numFmtId="0" fontId="24" fillId="8" borderId="2" xfId="0" applyFont="1" applyFill="1" applyBorder="1" applyAlignment="1">
      <alignment horizontal="center"/>
    </xf>
    <xf numFmtId="0" fontId="24" fillId="8" borderId="5" xfId="0" applyFont="1" applyFill="1" applyBorder="1" applyAlignment="1">
      <alignment horizontal="center"/>
    </xf>
    <xf numFmtId="0" fontId="49" fillId="8" borderId="6" xfId="0" applyFont="1" applyFill="1" applyBorder="1" applyAlignment="1">
      <alignment horizontal="center" vertical="center" wrapText="1"/>
    </xf>
    <xf numFmtId="0" fontId="49" fillId="8" borderId="76" xfId="0" applyFont="1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Comma [0] 10" xfId="3" xr:uid="{32AA5EEE-95F5-4CC5-853F-EB70B52033D9}"/>
    <cellStyle name="Comma [0] 2" xfId="6" xr:uid="{5DC99978-8EED-4AB5-89A2-5C99923F69D7}"/>
    <cellStyle name="Comma 2" xfId="4" xr:uid="{6F513D27-AE78-4836-9693-6579254B8525}"/>
    <cellStyle name="Hyperlink" xfId="8" builtinId="8"/>
    <cellStyle name="Normal" xfId="0" builtinId="0"/>
    <cellStyle name="Normal 2" xfId="5" xr:uid="{BC923045-D593-4CE4-B0D3-A54790628016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2099285</xdr:colOff>
      <xdr:row>3</xdr:row>
      <xdr:rowOff>90488</xdr:rowOff>
    </xdr:to>
    <xdr:pic>
      <xdr:nvPicPr>
        <xdr:cNvPr id="2" name="Content Placeholder 3">
          <a:extLst>
            <a:ext uri="{FF2B5EF4-FFF2-40B4-BE49-F238E27FC236}">
              <a16:creationId xmlns:a16="http://schemas.microsoft.com/office/drawing/2014/main" id="{B19C87D2-F71D-45F5-917F-2385B22D5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0"/>
          <a:ext cx="2351698" cy="509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356460" cy="509588"/>
    <xdr:pic>
      <xdr:nvPicPr>
        <xdr:cNvPr id="2" name="Content Placeholder 3">
          <a:extLst>
            <a:ext uri="{FF2B5EF4-FFF2-40B4-BE49-F238E27FC236}">
              <a16:creationId xmlns:a16="http://schemas.microsoft.com/office/drawing/2014/main" id="{2B54481D-1292-48F8-8835-6CDCD39F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19075"/>
          <a:ext cx="2356460" cy="509588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2356460</xdr:colOff>
      <xdr:row>3</xdr:row>
      <xdr:rowOff>67356</xdr:rowOff>
    </xdr:to>
    <xdr:pic>
      <xdr:nvPicPr>
        <xdr:cNvPr id="3" name="Content Placeholder 3">
          <a:extLst>
            <a:ext uri="{FF2B5EF4-FFF2-40B4-BE49-F238E27FC236}">
              <a16:creationId xmlns:a16="http://schemas.microsoft.com/office/drawing/2014/main" id="{BD3BFD4A-A541-4B73-A227-BEB7F417F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19075"/>
          <a:ext cx="2356460" cy="505506"/>
        </a:xfrm>
        <a:prstGeom prst="rect">
          <a:avLst/>
        </a:prstGeom>
      </xdr:spPr>
    </xdr:pic>
    <xdr:clientData/>
  </xdr:twoCellAnchor>
  <xdr:oneCellAnchor>
    <xdr:from>
      <xdr:col>28</xdr:col>
      <xdr:colOff>0</xdr:colOff>
      <xdr:row>1</xdr:row>
      <xdr:rowOff>0</xdr:rowOff>
    </xdr:from>
    <xdr:ext cx="2356460" cy="509588"/>
    <xdr:pic>
      <xdr:nvPicPr>
        <xdr:cNvPr id="4" name="Content Placeholder 3">
          <a:extLst>
            <a:ext uri="{FF2B5EF4-FFF2-40B4-BE49-F238E27FC236}">
              <a16:creationId xmlns:a16="http://schemas.microsoft.com/office/drawing/2014/main" id="{840E050D-C0D8-421C-831F-47082BC2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83650" y="219075"/>
          <a:ext cx="2356460" cy="509588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1</xdr:row>
      <xdr:rowOff>0</xdr:rowOff>
    </xdr:from>
    <xdr:ext cx="2356460" cy="504145"/>
    <xdr:pic>
      <xdr:nvPicPr>
        <xdr:cNvPr id="5" name="Content Placeholder 3">
          <a:extLst>
            <a:ext uri="{FF2B5EF4-FFF2-40B4-BE49-F238E27FC236}">
              <a16:creationId xmlns:a16="http://schemas.microsoft.com/office/drawing/2014/main" id="{51B08FDE-9C86-460D-8637-6220B9AC8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83650" y="219075"/>
          <a:ext cx="2356460" cy="50414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</xdr:row>
      <xdr:rowOff>0</xdr:rowOff>
    </xdr:from>
    <xdr:ext cx="2356460" cy="509588"/>
    <xdr:pic>
      <xdr:nvPicPr>
        <xdr:cNvPr id="6" name="Content Placeholder 3">
          <a:extLst>
            <a:ext uri="{FF2B5EF4-FFF2-40B4-BE49-F238E27FC236}">
              <a16:creationId xmlns:a16="http://schemas.microsoft.com/office/drawing/2014/main" id="{FDC2D8CA-6EF5-4E0C-A53D-14504DA4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19075"/>
          <a:ext cx="2356460" cy="509588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2356460</xdr:colOff>
      <xdr:row>3</xdr:row>
      <xdr:rowOff>67356</xdr:rowOff>
    </xdr:to>
    <xdr:pic>
      <xdr:nvPicPr>
        <xdr:cNvPr id="7" name="Content Placeholder 3">
          <a:extLst>
            <a:ext uri="{FF2B5EF4-FFF2-40B4-BE49-F238E27FC236}">
              <a16:creationId xmlns:a16="http://schemas.microsoft.com/office/drawing/2014/main" id="{ADBC9433-DFC3-464B-948B-55CF25FD9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19075"/>
          <a:ext cx="2356460" cy="505506"/>
        </a:xfrm>
        <a:prstGeom prst="rect">
          <a:avLst/>
        </a:prstGeom>
      </xdr:spPr>
    </xdr:pic>
    <xdr:clientData/>
  </xdr:twoCellAnchor>
  <xdr:oneCellAnchor>
    <xdr:from>
      <xdr:col>28</xdr:col>
      <xdr:colOff>0</xdr:colOff>
      <xdr:row>1</xdr:row>
      <xdr:rowOff>0</xdr:rowOff>
    </xdr:from>
    <xdr:ext cx="2356460" cy="509588"/>
    <xdr:pic>
      <xdr:nvPicPr>
        <xdr:cNvPr id="8" name="Content Placeholder 3">
          <a:extLst>
            <a:ext uri="{FF2B5EF4-FFF2-40B4-BE49-F238E27FC236}">
              <a16:creationId xmlns:a16="http://schemas.microsoft.com/office/drawing/2014/main" id="{94C6D4BB-CB69-4AC9-9D98-7D3F81C07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83650" y="219075"/>
          <a:ext cx="2356460" cy="509588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1</xdr:row>
      <xdr:rowOff>0</xdr:rowOff>
    </xdr:from>
    <xdr:ext cx="2356460" cy="504145"/>
    <xdr:pic>
      <xdr:nvPicPr>
        <xdr:cNvPr id="9" name="Content Placeholder 3">
          <a:extLst>
            <a:ext uri="{FF2B5EF4-FFF2-40B4-BE49-F238E27FC236}">
              <a16:creationId xmlns:a16="http://schemas.microsoft.com/office/drawing/2014/main" id="{F26BD074-F17D-41FC-84A0-CDF24C808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83650" y="219075"/>
          <a:ext cx="2356460" cy="50414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356460" cy="509588"/>
    <xdr:pic>
      <xdr:nvPicPr>
        <xdr:cNvPr id="2" name="Content Placeholder 3">
          <a:extLst>
            <a:ext uri="{FF2B5EF4-FFF2-40B4-BE49-F238E27FC236}">
              <a16:creationId xmlns:a16="http://schemas.microsoft.com/office/drawing/2014/main" id="{F25F917E-F92E-447A-B288-365DF3987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52413"/>
          <a:ext cx="2356460" cy="509588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2356460</xdr:colOff>
      <xdr:row>3</xdr:row>
      <xdr:rowOff>67356</xdr:rowOff>
    </xdr:to>
    <xdr:pic>
      <xdr:nvPicPr>
        <xdr:cNvPr id="3" name="Content Placeholder 3">
          <a:extLst>
            <a:ext uri="{FF2B5EF4-FFF2-40B4-BE49-F238E27FC236}">
              <a16:creationId xmlns:a16="http://schemas.microsoft.com/office/drawing/2014/main" id="{05276A99-2ED0-43EC-A12F-FFFA8B3F4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52413"/>
          <a:ext cx="2356460" cy="505506"/>
        </a:xfrm>
        <a:prstGeom prst="rect">
          <a:avLst/>
        </a:prstGeom>
      </xdr:spPr>
    </xdr:pic>
    <xdr:clientData/>
  </xdr:twoCellAnchor>
  <xdr:oneCellAnchor>
    <xdr:from>
      <xdr:col>29</xdr:col>
      <xdr:colOff>0</xdr:colOff>
      <xdr:row>1</xdr:row>
      <xdr:rowOff>0</xdr:rowOff>
    </xdr:from>
    <xdr:ext cx="2356460" cy="509588"/>
    <xdr:pic>
      <xdr:nvPicPr>
        <xdr:cNvPr id="4" name="Content Placeholder 3">
          <a:extLst>
            <a:ext uri="{FF2B5EF4-FFF2-40B4-BE49-F238E27FC236}">
              <a16:creationId xmlns:a16="http://schemas.microsoft.com/office/drawing/2014/main" id="{665BAA84-B8D4-4315-AAD2-799F2DD8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0" y="252413"/>
          <a:ext cx="2356460" cy="509588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1</xdr:row>
      <xdr:rowOff>0</xdr:rowOff>
    </xdr:from>
    <xdr:ext cx="2356460" cy="504145"/>
    <xdr:pic>
      <xdr:nvPicPr>
        <xdr:cNvPr id="5" name="Content Placeholder 3">
          <a:extLst>
            <a:ext uri="{FF2B5EF4-FFF2-40B4-BE49-F238E27FC236}">
              <a16:creationId xmlns:a16="http://schemas.microsoft.com/office/drawing/2014/main" id="{31F779DD-F27C-4D85-A072-0E02BA2BE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0" y="252413"/>
          <a:ext cx="2356460" cy="50414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</xdr:row>
      <xdr:rowOff>0</xdr:rowOff>
    </xdr:from>
    <xdr:ext cx="2356460" cy="509588"/>
    <xdr:pic>
      <xdr:nvPicPr>
        <xdr:cNvPr id="6" name="Content Placeholder 3">
          <a:extLst>
            <a:ext uri="{FF2B5EF4-FFF2-40B4-BE49-F238E27FC236}">
              <a16:creationId xmlns:a16="http://schemas.microsoft.com/office/drawing/2014/main" id="{A591CF07-1EE2-4F09-8A00-71523D9FB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52413"/>
          <a:ext cx="2356460" cy="509588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2356460</xdr:colOff>
      <xdr:row>3</xdr:row>
      <xdr:rowOff>67356</xdr:rowOff>
    </xdr:to>
    <xdr:pic>
      <xdr:nvPicPr>
        <xdr:cNvPr id="7" name="Content Placeholder 3">
          <a:extLst>
            <a:ext uri="{FF2B5EF4-FFF2-40B4-BE49-F238E27FC236}">
              <a16:creationId xmlns:a16="http://schemas.microsoft.com/office/drawing/2014/main" id="{FDF69380-2A77-4E21-978F-B08391F4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52413"/>
          <a:ext cx="2356460" cy="505506"/>
        </a:xfrm>
        <a:prstGeom prst="rect">
          <a:avLst/>
        </a:prstGeom>
      </xdr:spPr>
    </xdr:pic>
    <xdr:clientData/>
  </xdr:twoCellAnchor>
  <xdr:oneCellAnchor>
    <xdr:from>
      <xdr:col>29</xdr:col>
      <xdr:colOff>0</xdr:colOff>
      <xdr:row>1</xdr:row>
      <xdr:rowOff>0</xdr:rowOff>
    </xdr:from>
    <xdr:ext cx="2356460" cy="509588"/>
    <xdr:pic>
      <xdr:nvPicPr>
        <xdr:cNvPr id="8" name="Content Placeholder 3">
          <a:extLst>
            <a:ext uri="{FF2B5EF4-FFF2-40B4-BE49-F238E27FC236}">
              <a16:creationId xmlns:a16="http://schemas.microsoft.com/office/drawing/2014/main" id="{93CB1949-9D7F-4E49-A610-7263959BD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4675" y="252413"/>
          <a:ext cx="2356460" cy="509588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1</xdr:row>
      <xdr:rowOff>0</xdr:rowOff>
    </xdr:from>
    <xdr:ext cx="2356460" cy="504145"/>
    <xdr:pic>
      <xdr:nvPicPr>
        <xdr:cNvPr id="9" name="Content Placeholder 3">
          <a:extLst>
            <a:ext uri="{FF2B5EF4-FFF2-40B4-BE49-F238E27FC236}">
              <a16:creationId xmlns:a16="http://schemas.microsoft.com/office/drawing/2014/main" id="{09B68E9A-4901-42FA-8152-D5C88FCF4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4675" y="252413"/>
          <a:ext cx="2356460" cy="5041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P\PROYEKSI%20ARUS%20KAS%20PTP%20THN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P\RKAP%20PTP%202021\RKAP%20TAHUN%202021%20PTP%20Revisi%204%20-%20Setoran%20Mod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P\PROGNOSA%20ARUS%20KAS%20TAHUN%202020%20LAMPIRAN%20II%20REV%203%20tgl%207%20Sept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PROGNOSA%20ARUS%20KAS%20TAHUN%202020%20VERSI%20NON%20OPERASI%20Versi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 sd April 20 "/>
      <sheetName val="Pendanaan"/>
      <sheetName val="AK Opr Juni GP Des (1)"/>
      <sheetName val="AK 1.1."/>
      <sheetName val="AK Opr Jun GP Jun (2)"/>
      <sheetName val="AK 2.2."/>
      <sheetName val="AK Opr Agust GP Juni (3)"/>
      <sheetName val="AK 3.3."/>
      <sheetName val="AK Opr Agust GP Des (4)"/>
      <sheetName val="AK 4.4."/>
      <sheetName val=" Resume (5)"/>
      <sheetName val="AK 5.5."/>
    </sheetNames>
    <sheetDataSet>
      <sheetData sheetId="0" refreshError="1"/>
      <sheetData sheetId="1" refreshError="1"/>
      <sheetData sheetId="2" refreshError="1">
        <row r="11">
          <cell r="D11">
            <v>337309</v>
          </cell>
          <cell r="E11">
            <v>0</v>
          </cell>
        </row>
        <row r="12">
          <cell r="D12">
            <v>0</v>
          </cell>
          <cell r="E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D13">
            <v>0</v>
          </cell>
          <cell r="E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D14">
            <v>337309</v>
          </cell>
        </row>
        <row r="16">
          <cell r="D16">
            <v>0</v>
          </cell>
        </row>
        <row r="17">
          <cell r="D17">
            <v>0</v>
          </cell>
          <cell r="E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165786</v>
          </cell>
        </row>
        <row r="19">
          <cell r="D19">
            <v>222</v>
          </cell>
          <cell r="E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>
            <v>166008</v>
          </cell>
        </row>
        <row r="21">
          <cell r="D21">
            <v>171301</v>
          </cell>
        </row>
        <row r="23">
          <cell r="D23">
            <v>0</v>
          </cell>
          <cell r="E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10503</v>
          </cell>
        </row>
        <row r="28">
          <cell r="D28">
            <v>0</v>
          </cell>
          <cell r="E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E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12220</v>
          </cell>
        </row>
        <row r="31">
          <cell r="D31">
            <v>0</v>
          </cell>
          <cell r="E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>
            <v>0</v>
          </cell>
          <cell r="E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</row>
        <row r="34">
          <cell r="D34">
            <v>22723</v>
          </cell>
        </row>
        <row r="36">
          <cell r="D36">
            <v>0</v>
          </cell>
          <cell r="E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D37">
            <v>0</v>
          </cell>
          <cell r="E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0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0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D45">
            <v>0</v>
          </cell>
          <cell r="E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D46">
            <v>118975</v>
          </cell>
        </row>
        <row r="47">
          <cell r="D47">
            <v>0</v>
          </cell>
          <cell r="E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0</v>
          </cell>
          <cell r="K48">
            <v>0</v>
          </cell>
          <cell r="L48">
            <v>0</v>
          </cell>
        </row>
        <row r="49">
          <cell r="D49">
            <v>10503</v>
          </cell>
        </row>
        <row r="50">
          <cell r="D50">
            <v>0</v>
          </cell>
          <cell r="E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D51">
            <v>0</v>
          </cell>
        </row>
        <row r="52">
          <cell r="D52">
            <v>0</v>
          </cell>
          <cell r="E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6500</v>
          </cell>
        </row>
        <row r="54">
          <cell r="D54">
            <v>135978</v>
          </cell>
        </row>
        <row r="55">
          <cell r="D55">
            <v>-113255</v>
          </cell>
        </row>
        <row r="56">
          <cell r="D56">
            <v>58046</v>
          </cell>
        </row>
        <row r="59">
          <cell r="D59">
            <v>0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D61">
            <v>0</v>
          </cell>
          <cell r="E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D62">
            <v>0</v>
          </cell>
          <cell r="E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 t="str">
            <v xml:space="preserve"> - </v>
          </cell>
          <cell r="E64">
            <v>0</v>
          </cell>
        </row>
        <row r="66">
          <cell r="D66"/>
        </row>
        <row r="67">
          <cell r="D67">
            <v>0</v>
          </cell>
          <cell r="E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150105</v>
          </cell>
        </row>
        <row r="69">
          <cell r="D69">
            <v>134753</v>
          </cell>
        </row>
        <row r="70">
          <cell r="D70">
            <v>42000</v>
          </cell>
          <cell r="E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326858</v>
          </cell>
        </row>
        <row r="73">
          <cell r="D73">
            <v>0</v>
          </cell>
        </row>
        <row r="74">
          <cell r="D74">
            <v>-326858</v>
          </cell>
        </row>
        <row r="75">
          <cell r="D75"/>
        </row>
        <row r="76">
          <cell r="D76"/>
        </row>
        <row r="77">
          <cell r="D77">
            <v>330000</v>
          </cell>
        </row>
        <row r="78">
          <cell r="D78">
            <v>0</v>
          </cell>
          <cell r="E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264000</v>
          </cell>
        </row>
        <row r="81">
          <cell r="D81">
            <v>594000</v>
          </cell>
        </row>
        <row r="82">
          <cell r="D82"/>
        </row>
        <row r="83">
          <cell r="D83"/>
        </row>
        <row r="84">
          <cell r="D84">
            <v>6282</v>
          </cell>
        </row>
        <row r="85">
          <cell r="D85">
            <v>114361</v>
          </cell>
        </row>
        <row r="86">
          <cell r="D86">
            <v>8800</v>
          </cell>
          <cell r="E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>
            <v>91460</v>
          </cell>
        </row>
        <row r="88">
          <cell r="D88">
            <v>0</v>
          </cell>
          <cell r="E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/>
        </row>
        <row r="91">
          <cell r="D91">
            <v>220903</v>
          </cell>
        </row>
        <row r="92">
          <cell r="D92">
            <v>373097</v>
          </cell>
        </row>
        <row r="93">
          <cell r="D93"/>
        </row>
        <row r="94">
          <cell r="D94">
            <v>104285</v>
          </cell>
        </row>
        <row r="95">
          <cell r="D95"/>
        </row>
        <row r="96">
          <cell r="D96"/>
        </row>
        <row r="97">
          <cell r="D97">
            <v>500</v>
          </cell>
        </row>
        <row r="98">
          <cell r="D98">
            <v>55715</v>
          </cell>
        </row>
        <row r="99">
          <cell r="D99">
            <v>56215</v>
          </cell>
          <cell r="E99">
            <v>50219.215704000002</v>
          </cell>
        </row>
        <row r="100">
          <cell r="D100">
            <v>160500</v>
          </cell>
        </row>
        <row r="101">
          <cell r="D101">
            <v>500</v>
          </cell>
        </row>
        <row r="102">
          <cell r="D102">
            <v>160000</v>
          </cell>
        </row>
        <row r="142">
          <cell r="E142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 EST BLN 2020 (2)"/>
      <sheetName val="LR EST BLN 2020"/>
      <sheetName val="LR BLN 2021"/>
      <sheetName val="PROGNOSA LR 2020"/>
      <sheetName val="PKM 2020"/>
      <sheetName val="PKM 2021"/>
      <sheetName val="SDM"/>
      <sheetName val="EST Akas BLNN 2020"/>
      <sheetName val="Resume Akas 2020"/>
      <sheetName val="AKAS 2021"/>
      <sheetName val="Resume Akas 2021"/>
      <sheetName val="Restitusi PPN"/>
      <sheetName val="EST INVES 20"/>
      <sheetName val="PUTUSAN RUPS"/>
      <sheetName val="KPI"/>
      <sheetName val="INV 2021"/>
      <sheetName val="NERACA 2021"/>
      <sheetName val="covernat Bank"/>
      <sheetName val="POKOK &amp;BUNGA BANK"/>
      <sheetName val="detail LR 2020"/>
      <sheetName val="detail LR 2021"/>
      <sheetName val="LR 20"/>
      <sheetName val="LR 21"/>
      <sheetName val="poko + bunga Bank 2"/>
    </sheetNames>
    <sheetDataSet>
      <sheetData sheetId="0"/>
      <sheetData sheetId="1">
        <row r="9">
          <cell r="D9">
            <v>1622</v>
          </cell>
          <cell r="X9">
            <v>14697</v>
          </cell>
        </row>
        <row r="10">
          <cell r="D10">
            <v>177702</v>
          </cell>
          <cell r="X10">
            <v>16745</v>
          </cell>
        </row>
        <row r="11">
          <cell r="D11">
            <v>196364</v>
          </cell>
          <cell r="X11">
            <v>0</v>
          </cell>
        </row>
        <row r="12">
          <cell r="X12">
            <v>31442</v>
          </cell>
        </row>
        <row r="14">
          <cell r="D14">
            <v>21963</v>
          </cell>
          <cell r="X14">
            <v>18945.657972000001</v>
          </cell>
        </row>
        <row r="15">
          <cell r="D15">
            <v>15866</v>
          </cell>
          <cell r="X15">
            <v>7085.9217690000005</v>
          </cell>
        </row>
        <row r="16">
          <cell r="D16">
            <v>19808</v>
          </cell>
          <cell r="X16">
            <v>3520.6280000000002</v>
          </cell>
        </row>
        <row r="17">
          <cell r="D17">
            <v>73508</v>
          </cell>
          <cell r="X17">
            <v>18234.110400000009</v>
          </cell>
        </row>
        <row r="18">
          <cell r="D18">
            <v>18245</v>
          </cell>
          <cell r="X18">
            <v>9903.964704</v>
          </cell>
        </row>
        <row r="19">
          <cell r="D19">
            <v>4536</v>
          </cell>
          <cell r="X19">
            <v>5383.8340189999999</v>
          </cell>
        </row>
        <row r="20">
          <cell r="D20">
            <v>341</v>
          </cell>
          <cell r="X20">
            <v>119</v>
          </cell>
        </row>
        <row r="21">
          <cell r="D21">
            <v>1652</v>
          </cell>
          <cell r="X21">
            <v>1234.8615890000001</v>
          </cell>
        </row>
        <row r="22">
          <cell r="D22">
            <v>10090</v>
          </cell>
          <cell r="X22">
            <v>5677.2021189999996</v>
          </cell>
        </row>
        <row r="23">
          <cell r="X23">
            <v>70105.180572000012</v>
          </cell>
        </row>
        <row r="24">
          <cell r="X24">
            <v>-38663.180572000012</v>
          </cell>
        </row>
        <row r="26">
          <cell r="D26">
            <v>12220</v>
          </cell>
          <cell r="X26">
            <v>16895.133327</v>
          </cell>
        </row>
        <row r="27">
          <cell r="D27">
            <v>-118975</v>
          </cell>
          <cell r="X27">
            <v>-29205.676195</v>
          </cell>
        </row>
        <row r="28">
          <cell r="D28">
            <v>-106755</v>
          </cell>
          <cell r="X28">
            <v>-12310.542867999999</v>
          </cell>
        </row>
        <row r="29">
          <cell r="X29">
            <v>-50973.723440000009</v>
          </cell>
        </row>
        <row r="30">
          <cell r="D30">
            <v>-25731</v>
          </cell>
          <cell r="X30">
            <v>0</v>
          </cell>
        </row>
        <row r="31">
          <cell r="D31">
            <v>0</v>
          </cell>
          <cell r="X31">
            <v>0</v>
          </cell>
        </row>
        <row r="32">
          <cell r="D32">
            <v>-23158</v>
          </cell>
          <cell r="X32">
            <v>0</v>
          </cell>
        </row>
        <row r="33">
          <cell r="D33">
            <v>54035</v>
          </cell>
          <cell r="X33">
            <v>-50973.723440000009</v>
          </cell>
        </row>
      </sheetData>
      <sheetData sheetId="2">
        <row r="15">
          <cell r="H15">
            <v>1840</v>
          </cell>
          <cell r="I15">
            <v>1840</v>
          </cell>
          <cell r="J15">
            <v>1840</v>
          </cell>
          <cell r="L15">
            <v>1840</v>
          </cell>
          <cell r="M15">
            <v>1840</v>
          </cell>
          <cell r="N15">
            <v>2790</v>
          </cell>
          <cell r="P15">
            <v>1840</v>
          </cell>
          <cell r="Q15">
            <v>1840</v>
          </cell>
          <cell r="R15">
            <v>1840</v>
          </cell>
          <cell r="T15">
            <v>1840</v>
          </cell>
          <cell r="U15">
            <v>1840</v>
          </cell>
          <cell r="V15">
            <v>1868</v>
          </cell>
        </row>
      </sheetData>
      <sheetData sheetId="3">
        <row r="12">
          <cell r="U12">
            <v>10481</v>
          </cell>
          <cell r="V12">
            <v>20961</v>
          </cell>
        </row>
      </sheetData>
      <sheetData sheetId="4"/>
      <sheetData sheetId="5"/>
      <sheetData sheetId="6"/>
      <sheetData sheetId="7">
        <row r="33">
          <cell r="E33">
            <v>0</v>
          </cell>
        </row>
        <row r="82">
          <cell r="H82">
            <v>0</v>
          </cell>
        </row>
        <row r="92">
          <cell r="H92">
            <v>10867.203047000001</v>
          </cell>
        </row>
      </sheetData>
      <sheetData sheetId="8">
        <row r="10">
          <cell r="C10">
            <v>337309</v>
          </cell>
          <cell r="N10">
            <v>31442</v>
          </cell>
        </row>
        <row r="11">
          <cell r="C11">
            <v>0</v>
          </cell>
          <cell r="N11">
            <v>0</v>
          </cell>
        </row>
        <row r="12">
          <cell r="C12">
            <v>0</v>
          </cell>
          <cell r="N12">
            <v>0</v>
          </cell>
        </row>
        <row r="13">
          <cell r="C13">
            <v>22723</v>
          </cell>
          <cell r="N13">
            <v>13799.780524</v>
          </cell>
        </row>
        <row r="14">
          <cell r="C14">
            <v>-166008</v>
          </cell>
          <cell r="N14">
            <v>-375468.04922599997</v>
          </cell>
        </row>
        <row r="15">
          <cell r="C15">
            <v>0</v>
          </cell>
          <cell r="N15">
            <v>-18549.317158999998</v>
          </cell>
        </row>
        <row r="16">
          <cell r="C16">
            <v>-10503</v>
          </cell>
          <cell r="N16">
            <v>-4637.7702060000001</v>
          </cell>
        </row>
        <row r="17">
          <cell r="C17">
            <v>-125475</v>
          </cell>
          <cell r="N17">
            <v>-51007.371348000001</v>
          </cell>
        </row>
        <row r="18">
          <cell r="C18">
            <v>58046</v>
          </cell>
          <cell r="N18">
            <v>-404420.72741500003</v>
          </cell>
        </row>
        <row r="21">
          <cell r="C21">
            <v>-176753</v>
          </cell>
          <cell r="N21">
            <v>-331724.93839999998</v>
          </cell>
        </row>
        <row r="22">
          <cell r="C22">
            <v>0</v>
          </cell>
          <cell r="N22">
            <v>-23.067</v>
          </cell>
        </row>
        <row r="23">
          <cell r="C23">
            <v>-150105</v>
          </cell>
          <cell r="N23">
            <v>-9017.2679000000007</v>
          </cell>
        </row>
        <row r="24">
          <cell r="C24">
            <v>-326858</v>
          </cell>
          <cell r="N24">
            <v>-340765.27329999994</v>
          </cell>
        </row>
        <row r="27">
          <cell r="C27">
            <v>264000</v>
          </cell>
          <cell r="N27">
            <v>314234</v>
          </cell>
        </row>
        <row r="28">
          <cell r="C28">
            <v>330000</v>
          </cell>
          <cell r="N28">
            <v>519670.83169599995</v>
          </cell>
        </row>
        <row r="29">
          <cell r="C29">
            <v>-220903</v>
          </cell>
          <cell r="N29">
            <v>-81350.565982550936</v>
          </cell>
        </row>
        <row r="30">
          <cell r="C30">
            <v>373097</v>
          </cell>
          <cell r="N30">
            <v>752554.26571344899</v>
          </cell>
        </row>
        <row r="32">
          <cell r="C32">
            <v>104285</v>
          </cell>
          <cell r="N32">
            <v>7368.2649984490126</v>
          </cell>
        </row>
        <row r="34">
          <cell r="C34">
            <v>56215</v>
          </cell>
          <cell r="N34">
            <v>50219.215704000002</v>
          </cell>
        </row>
        <row r="36">
          <cell r="C36">
            <v>160500</v>
          </cell>
          <cell r="N36">
            <v>57587.480702449015</v>
          </cell>
          <cell r="U36">
            <v>-4814.6972170000663</v>
          </cell>
        </row>
      </sheetData>
      <sheetData sheetId="9">
        <row r="14">
          <cell r="G14">
            <v>16104.100309181871</v>
          </cell>
          <cell r="H14">
            <v>16104.100309181871</v>
          </cell>
          <cell r="I14">
            <v>16104.100309181871</v>
          </cell>
          <cell r="K14">
            <v>26840.167181969784</v>
          </cell>
          <cell r="L14">
            <v>26840.167181969784</v>
          </cell>
          <cell r="M14">
            <v>26840.167181969784</v>
          </cell>
          <cell r="O14">
            <v>32208.200618363739</v>
          </cell>
          <cell r="P14">
            <v>32208.200618363739</v>
          </cell>
          <cell r="Q14">
            <v>32208.200618363739</v>
          </cell>
          <cell r="S14">
            <v>32208.200618363739</v>
          </cell>
          <cell r="T14">
            <v>32208.200618363739</v>
          </cell>
          <cell r="U14">
            <v>32208.200618363739</v>
          </cell>
        </row>
        <row r="16">
          <cell r="G16">
            <v>5824.3281443903306</v>
          </cell>
          <cell r="H16">
            <v>5824.3281443903306</v>
          </cell>
          <cell r="I16">
            <v>5824.3281443903306</v>
          </cell>
          <cell r="K16">
            <v>6534.0177242727705</v>
          </cell>
          <cell r="L16">
            <v>6534.0177242727705</v>
          </cell>
          <cell r="M16">
            <v>7484.0177242727705</v>
          </cell>
          <cell r="O16">
            <v>6561.4934757139936</v>
          </cell>
          <cell r="P16">
            <v>6561.4934757139936</v>
          </cell>
          <cell r="Q16">
            <v>6561.4934757139936</v>
          </cell>
          <cell r="S16">
            <v>6752.9522193806588</v>
          </cell>
          <cell r="T16">
            <v>6752.9522193806588</v>
          </cell>
          <cell r="U16">
            <v>6864.9522193806588</v>
          </cell>
        </row>
        <row r="18">
          <cell r="G18">
            <v>0</v>
          </cell>
          <cell r="H18">
            <v>0</v>
          </cell>
          <cell r="K18">
            <v>0</v>
          </cell>
          <cell r="L18">
            <v>0</v>
          </cell>
          <cell r="M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U18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136563.727813</v>
          </cell>
          <cell r="P27">
            <v>0</v>
          </cell>
          <cell r="S27">
            <v>0</v>
          </cell>
          <cell r="T27">
            <v>0</v>
          </cell>
          <cell r="U27">
            <v>0</v>
          </cell>
        </row>
        <row r="30">
          <cell r="G30">
            <v>50</v>
          </cell>
          <cell r="H30">
            <v>50</v>
          </cell>
          <cell r="I30">
            <v>550</v>
          </cell>
          <cell r="K30">
            <v>50</v>
          </cell>
          <cell r="L30">
            <v>50</v>
          </cell>
          <cell r="M30">
            <v>50</v>
          </cell>
          <cell r="O30">
            <v>1000</v>
          </cell>
          <cell r="P30">
            <v>50</v>
          </cell>
          <cell r="Q30">
            <v>50</v>
          </cell>
          <cell r="S30">
            <v>50</v>
          </cell>
          <cell r="T30">
            <v>50</v>
          </cell>
          <cell r="U30">
            <v>50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48">
          <cell r="G48">
            <v>1610.4100309181872</v>
          </cell>
          <cell r="H48">
            <v>1610.4100309181872</v>
          </cell>
          <cell r="I48">
            <v>1610.4100309181872</v>
          </cell>
          <cell r="K48">
            <v>2684.0167181969787</v>
          </cell>
          <cell r="L48">
            <v>2684.0167181969787</v>
          </cell>
          <cell r="M48">
            <v>2684.0167181969787</v>
          </cell>
          <cell r="O48">
            <v>3220.820061836374</v>
          </cell>
          <cell r="P48">
            <v>3220.820061836374</v>
          </cell>
          <cell r="Q48">
            <v>3220.820061836374</v>
          </cell>
          <cell r="S48">
            <v>3220.820061836374</v>
          </cell>
          <cell r="T48">
            <v>3220.820061836374</v>
          </cell>
          <cell r="U48">
            <v>3220.820061836374</v>
          </cell>
        </row>
        <row r="49">
          <cell r="G49">
            <v>322.08200618363742</v>
          </cell>
          <cell r="H49">
            <v>322.08200618363742</v>
          </cell>
          <cell r="I49">
            <v>322.08200618363742</v>
          </cell>
          <cell r="K49">
            <v>36964.803343639396</v>
          </cell>
          <cell r="L49">
            <v>536.80334363939573</v>
          </cell>
          <cell r="M49">
            <v>536.80334363939573</v>
          </cell>
          <cell r="O49">
            <v>644.16401236727484</v>
          </cell>
          <cell r="P49">
            <v>644.16401236727484</v>
          </cell>
          <cell r="Q49">
            <v>644.16401236727484</v>
          </cell>
          <cell r="S49">
            <v>644.16401236727484</v>
          </cell>
          <cell r="T49">
            <v>644.16401236727484</v>
          </cell>
          <cell r="U49">
            <v>644.16401236727484</v>
          </cell>
        </row>
        <row r="68"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40000</v>
          </cell>
        </row>
        <row r="69"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</row>
        <row r="77">
          <cell r="G77">
            <v>0</v>
          </cell>
          <cell r="H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</row>
        <row r="80"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</row>
        <row r="84">
          <cell r="G84">
            <v>0</v>
          </cell>
          <cell r="H84">
            <v>0</v>
          </cell>
          <cell r="I84">
            <v>4188.4892</v>
          </cell>
          <cell r="K84">
            <v>0</v>
          </cell>
          <cell r="L84">
            <v>0</v>
          </cell>
          <cell r="M84">
            <v>4188.4892</v>
          </cell>
          <cell r="O84">
            <v>0</v>
          </cell>
          <cell r="P84">
            <v>0</v>
          </cell>
          <cell r="Q84">
            <v>4188.4892</v>
          </cell>
          <cell r="U84">
            <v>4188.4892</v>
          </cell>
        </row>
        <row r="85">
          <cell r="F85">
            <v>138192.4781147204</v>
          </cell>
          <cell r="G85">
            <v>11492.087244552731</v>
          </cell>
          <cell r="H85">
            <v>11527.412418949441</v>
          </cell>
          <cell r="I85">
            <v>10783.626362914632</v>
          </cell>
          <cell r="K85">
            <v>11586.034429534222</v>
          </cell>
          <cell r="L85">
            <v>11359.487093243139</v>
          </cell>
          <cell r="M85">
            <v>11655.545256572912</v>
          </cell>
          <cell r="O85">
            <v>11418.1458625942</v>
          </cell>
          <cell r="P85">
            <v>11716.446310667157</v>
          </cell>
          <cell r="Q85">
            <v>11751.771485063869</v>
          </cell>
          <cell r="S85">
            <v>11510.990284587242</v>
          </cell>
          <cell r="T85">
            <v>11812.672539158113</v>
          </cell>
          <cell r="U85">
            <v>11578.258826882748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</row>
        <row r="100">
          <cell r="F100">
            <v>195300.16435105636</v>
          </cell>
          <cell r="G100">
            <v>54492.67358558609</v>
          </cell>
          <cell r="H100">
            <v>51362.541294326365</v>
          </cell>
          <cell r="I100">
            <v>122989.30585910144</v>
          </cell>
          <cell r="J100">
            <v>122989.30585910146</v>
          </cell>
          <cell r="K100">
            <v>92110.600825427857</v>
          </cell>
          <cell r="L100">
            <v>97886.443128045357</v>
          </cell>
          <cell r="M100">
            <v>98227.738067333092</v>
          </cell>
          <cell r="N100">
            <v>98227.738067333092</v>
          </cell>
          <cell r="O100">
            <v>193575.043086185</v>
          </cell>
          <cell r="P100">
            <v>203690.31984396395</v>
          </cell>
          <cell r="Q100">
            <v>209581.78222734618</v>
          </cell>
          <cell r="R100">
            <v>209581.78222734615</v>
          </cell>
          <cell r="S100">
            <v>219711.05626753837</v>
          </cell>
          <cell r="T100">
            <v>229538.6480531597</v>
          </cell>
          <cell r="U100">
            <v>195300.16435105639</v>
          </cell>
          <cell r="V100">
            <v>195300.16435105636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S13">
            <v>10492675501.427319</v>
          </cell>
        </row>
        <row r="14">
          <cell r="S14">
            <v>10869666689.354156</v>
          </cell>
        </row>
        <row r="15">
          <cell r="S15">
            <v>10550641889.769457</v>
          </cell>
          <cell r="T15">
            <v>4298712600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Arus Kas 20"/>
      <sheetName val="tabel ANgsuran"/>
      <sheetName val="resume arus kas"/>
      <sheetName val="resume Arus Kas 20"/>
      <sheetName val="investasi II"/>
      <sheetName val="LR FINAL"/>
      <sheetName val="PROG LR 2020"/>
      <sheetName val="MODAL DASAR"/>
      <sheetName val="term Pemby alat"/>
      <sheetName val=" Investasi '20"/>
      <sheetName val="detail LR 20"/>
      <sheetName val="Detail LR '21"/>
      <sheetName val="resum LR RKAP 21"/>
      <sheetName val="Invest '21"/>
      <sheetName val="Invest '20"/>
      <sheetName val="angsuran Bunga+pokok"/>
      <sheetName val="tabel kelongaran"/>
      <sheetName val="saldo htg vendor"/>
      <sheetName val=" saldo hutang bank"/>
      <sheetName val="rincian biaya"/>
      <sheetName val="prognosa LR"/>
      <sheetName val="ak sd Juni 2020"/>
    </sheetNames>
    <sheetDataSet>
      <sheetData sheetId="0">
        <row r="11">
          <cell r="E11">
            <v>0</v>
          </cell>
          <cell r="F11">
            <v>0</v>
          </cell>
        </row>
        <row r="54">
          <cell r="E54">
            <v>11109.239382999998</v>
          </cell>
          <cell r="F54">
            <v>474.78519000000006</v>
          </cell>
          <cell r="G54">
            <v>42492.397907999999</v>
          </cell>
        </row>
        <row r="59">
          <cell r="E59">
            <v>0</v>
          </cell>
          <cell r="F59"/>
          <cell r="G59"/>
        </row>
        <row r="61">
          <cell r="E61">
            <v>0</v>
          </cell>
          <cell r="F61"/>
          <cell r="G61"/>
        </row>
        <row r="68">
          <cell r="E68">
            <v>0</v>
          </cell>
          <cell r="F68">
            <v>0</v>
          </cell>
        </row>
        <row r="70">
          <cell r="E70">
            <v>0</v>
          </cell>
          <cell r="F70">
            <v>0</v>
          </cell>
          <cell r="G70">
            <v>23.067</v>
          </cell>
        </row>
        <row r="73">
          <cell r="E73">
            <v>0</v>
          </cell>
          <cell r="F73"/>
          <cell r="G73"/>
        </row>
        <row r="77">
          <cell r="E77">
            <v>366724.09543799999</v>
          </cell>
        </row>
        <row r="80">
          <cell r="E80">
            <v>239434</v>
          </cell>
        </row>
        <row r="81">
          <cell r="E81">
            <v>606158.09543800005</v>
          </cell>
          <cell r="F81">
            <v>165587.67463999998</v>
          </cell>
          <cell r="G81">
            <v>66457.774218000006</v>
          </cell>
        </row>
        <row r="82">
          <cell r="E82"/>
          <cell r="F82"/>
          <cell r="G82"/>
        </row>
        <row r="83">
          <cell r="E83"/>
          <cell r="F83"/>
          <cell r="G83"/>
        </row>
        <row r="84">
          <cell r="E84">
            <v>93.893280000000004</v>
          </cell>
          <cell r="F84">
            <v>0</v>
          </cell>
          <cell r="G84"/>
        </row>
        <row r="89">
          <cell r="E89">
            <v>0</v>
          </cell>
          <cell r="F89"/>
          <cell r="G89"/>
        </row>
        <row r="91">
          <cell r="E91">
            <v>31251.215818000001</v>
          </cell>
          <cell r="F91">
            <v>3601.2495739999999</v>
          </cell>
          <cell r="G91">
            <v>3717.9134629999999</v>
          </cell>
        </row>
        <row r="92">
          <cell r="E92">
            <v>574906.87962000002</v>
          </cell>
          <cell r="F92">
            <v>161986.425066</v>
          </cell>
          <cell r="G92">
            <v>62739.860755000009</v>
          </cell>
        </row>
        <row r="94">
          <cell r="E94">
            <v>111631.31362900004</v>
          </cell>
          <cell r="F94">
            <v>29136.702914999991</v>
          </cell>
          <cell r="G94">
            <v>-22501.488601999998</v>
          </cell>
        </row>
        <row r="96">
          <cell r="E96"/>
          <cell r="F96"/>
          <cell r="G96"/>
        </row>
        <row r="111">
          <cell r="E111" t="str">
            <v>PT Atrya Swacipta Rekayasa</v>
          </cell>
          <cell r="G111"/>
        </row>
        <row r="112">
          <cell r="E112" t="str">
            <v>IIF</v>
          </cell>
          <cell r="G112"/>
        </row>
        <row r="113">
          <cell r="E113" t="str">
            <v>Mitsui</v>
          </cell>
          <cell r="G113"/>
        </row>
        <row r="120">
          <cell r="E120"/>
          <cell r="F120"/>
          <cell r="G120"/>
        </row>
        <row r="123">
          <cell r="E123"/>
          <cell r="F123"/>
          <cell r="G123"/>
        </row>
        <row r="127">
          <cell r="E127"/>
          <cell r="F127"/>
          <cell r="G127"/>
        </row>
        <row r="128">
          <cell r="E128"/>
          <cell r="F128"/>
          <cell r="G128"/>
        </row>
        <row r="129">
          <cell r="E129"/>
          <cell r="F129"/>
          <cell r="G129"/>
        </row>
        <row r="130">
          <cell r="E130"/>
          <cell r="F130"/>
          <cell r="G130"/>
        </row>
      </sheetData>
      <sheetData sheetId="1"/>
      <sheetData sheetId="2"/>
      <sheetData sheetId="3"/>
      <sheetData sheetId="4"/>
      <sheetData sheetId="5">
        <row r="57">
          <cell r="I57">
            <v>14697</v>
          </cell>
        </row>
      </sheetData>
      <sheetData sheetId="6"/>
      <sheetData sheetId="7"/>
      <sheetData sheetId="8"/>
      <sheetData sheetId="9">
        <row r="17">
          <cell r="K17">
            <v>3450</v>
          </cell>
          <cell r="L17">
            <v>0</v>
          </cell>
          <cell r="M17">
            <v>0</v>
          </cell>
          <cell r="N17">
            <v>0</v>
          </cell>
        </row>
        <row r="44">
          <cell r="L44">
            <v>600</v>
          </cell>
          <cell r="M44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6">
          <cell r="I6">
            <v>3464327000.6743946</v>
          </cell>
        </row>
        <row r="9">
          <cell r="I9">
            <v>10688882514</v>
          </cell>
        </row>
        <row r="10">
          <cell r="I10">
            <v>10344081724</v>
          </cell>
        </row>
        <row r="11">
          <cell r="I11">
            <v>10715620514</v>
          </cell>
        </row>
        <row r="12">
          <cell r="I12">
            <v>11626342700</v>
          </cell>
        </row>
      </sheetData>
      <sheetData sheetId="16"/>
      <sheetData sheetId="17">
        <row r="11">
          <cell r="C11">
            <v>720335000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 Opr Agust GP Des (4)"/>
      <sheetName val="tabel ANgsuran"/>
      <sheetName val="resume arus kas"/>
      <sheetName val="term Pemby alat"/>
      <sheetName val="angsuran Bunga+pokok"/>
      <sheetName val="tabel kelongaran"/>
      <sheetName val=" saldo hutang bank"/>
      <sheetName val="saldo htg vendor"/>
      <sheetName val="rincian biaya"/>
      <sheetName val="Investasi"/>
      <sheetName val="prognosa LR"/>
      <sheetName val="ak sd Juni 2020"/>
      <sheetName val="Prognosa LaRu"/>
      <sheetName val="RETENSI"/>
      <sheetName val="bunga deposi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@(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DAA9-5D99-41A8-BFC6-3F59683EC451}">
  <dimension ref="A3:P83"/>
  <sheetViews>
    <sheetView showGridLines="0" topLeftCell="A56" zoomScale="95" zoomScaleNormal="110" workbookViewId="0">
      <selection activeCell="F80" sqref="F80"/>
    </sheetView>
  </sheetViews>
  <sheetFormatPr defaultColWidth="9.08984375" defaultRowHeight="15" x14ac:dyDescent="0.3"/>
  <cols>
    <col min="1" max="1" width="8.1796875" style="28" bestFit="1" customWidth="1"/>
    <col min="2" max="2" width="21.7265625" style="4" customWidth="1"/>
    <col min="3" max="3" width="14.81640625" style="3" hidden="1" customWidth="1"/>
    <col min="4" max="4" width="24" style="3" customWidth="1"/>
    <col min="5" max="5" width="14.81640625" style="3" hidden="1" customWidth="1"/>
    <col min="6" max="6" width="22.90625" style="3" bestFit="1" customWidth="1"/>
    <col min="7" max="7" width="22.81640625" style="3" customWidth="1"/>
    <col min="8" max="8" width="11.7265625" style="24" customWidth="1"/>
    <col min="9" max="9" width="14.81640625" style="3" hidden="1" customWidth="1"/>
    <col min="10" max="10" width="26.26953125" style="3" hidden="1" customWidth="1"/>
    <col min="11" max="11" width="13.453125" style="4" hidden="1" customWidth="1"/>
    <col min="12" max="12" width="25.36328125" style="4" hidden="1" customWidth="1"/>
    <col min="13" max="13" width="19.54296875" style="4" hidden="1" customWidth="1"/>
    <col min="14" max="14" width="16.26953125" style="4" hidden="1" customWidth="1"/>
    <col min="15" max="15" width="25.36328125" style="4" hidden="1" customWidth="1"/>
    <col min="16" max="16" width="23.6328125" style="4" hidden="1" customWidth="1"/>
    <col min="17" max="16384" width="9.08984375" style="4"/>
  </cols>
  <sheetData>
    <row r="3" spans="1:15" s="1" customFormat="1" x14ac:dyDescent="0.3">
      <c r="A3" s="27"/>
      <c r="B3" s="1" t="s">
        <v>20</v>
      </c>
      <c r="C3" s="2"/>
      <c r="D3" s="2"/>
      <c r="E3" s="2"/>
      <c r="F3" s="2"/>
      <c r="G3" s="2"/>
      <c r="H3" s="23"/>
      <c r="I3" s="2"/>
      <c r="J3" s="2"/>
    </row>
    <row r="4" spans="1:15" ht="15.5" thickBot="1" x14ac:dyDescent="0.35"/>
    <row r="5" spans="1:15" s="28" customFormat="1" ht="15.5" thickBot="1" x14ac:dyDescent="0.35">
      <c r="C5" s="3"/>
      <c r="D5" s="3"/>
      <c r="E5" s="3"/>
      <c r="F5" s="3"/>
      <c r="G5" s="156" t="s">
        <v>348</v>
      </c>
      <c r="H5" s="24"/>
      <c r="I5" s="3"/>
      <c r="J5" s="3"/>
    </row>
    <row r="6" spans="1:15" x14ac:dyDescent="0.3">
      <c r="B6" s="1"/>
      <c r="I6" s="2" t="s">
        <v>10</v>
      </c>
      <c r="J6" s="2">
        <v>14750</v>
      </c>
      <c r="K6" s="11"/>
      <c r="L6" s="11"/>
    </row>
    <row r="7" spans="1:15" s="28" customFormat="1" x14ac:dyDescent="0.3">
      <c r="B7" s="540" t="s">
        <v>343</v>
      </c>
      <c r="C7" s="540"/>
      <c r="D7" s="540"/>
      <c r="E7" s="540"/>
      <c r="F7" s="540"/>
      <c r="G7" s="540"/>
      <c r="H7" s="540"/>
      <c r="I7" s="2"/>
      <c r="J7" s="2"/>
      <c r="K7" s="30"/>
      <c r="L7" s="30"/>
    </row>
    <row r="8" spans="1:15" s="28" customFormat="1" ht="15.5" hidden="1" thickBot="1" x14ac:dyDescent="0.35">
      <c r="B8" s="27"/>
      <c r="C8" s="3"/>
      <c r="D8" s="3"/>
      <c r="E8" s="3"/>
      <c r="F8" s="3"/>
      <c r="G8" s="3"/>
      <c r="H8" s="24"/>
      <c r="I8" s="2"/>
      <c r="J8" s="2"/>
      <c r="K8" s="30"/>
      <c r="L8" s="30"/>
    </row>
    <row r="9" spans="1:15" ht="15.75" hidden="1" customHeight="1" thickBot="1" x14ac:dyDescent="0.35">
      <c r="A9" s="544" t="s">
        <v>475</v>
      </c>
      <c r="B9" s="544" t="s">
        <v>21</v>
      </c>
      <c r="C9" s="543" t="s">
        <v>1</v>
      </c>
      <c r="D9" s="543"/>
      <c r="E9" s="46"/>
      <c r="F9" s="47" t="s">
        <v>23</v>
      </c>
      <c r="G9" s="546" t="s">
        <v>41</v>
      </c>
      <c r="H9" s="547"/>
      <c r="I9" s="545" t="s">
        <v>32</v>
      </c>
      <c r="J9" s="545"/>
      <c r="K9" s="541" t="s">
        <v>33</v>
      </c>
      <c r="L9" s="542"/>
      <c r="M9" s="548" t="s">
        <v>35</v>
      </c>
      <c r="N9" s="550" t="s">
        <v>34</v>
      </c>
      <c r="O9" s="551"/>
    </row>
    <row r="10" spans="1:15" s="37" customFormat="1" ht="57.75" hidden="1" customHeight="1" thickBot="1" x14ac:dyDescent="0.4">
      <c r="A10" s="544"/>
      <c r="B10" s="544"/>
      <c r="C10" s="48" t="s">
        <v>18</v>
      </c>
      <c r="D10" s="48" t="s">
        <v>19</v>
      </c>
      <c r="E10" s="49" t="s">
        <v>18</v>
      </c>
      <c r="F10" s="50" t="s">
        <v>19</v>
      </c>
      <c r="G10" s="51" t="s">
        <v>42</v>
      </c>
      <c r="H10" s="52" t="s">
        <v>22</v>
      </c>
      <c r="I10" s="33" t="s">
        <v>18</v>
      </c>
      <c r="J10" s="34" t="s">
        <v>19</v>
      </c>
      <c r="K10" s="35" t="s">
        <v>18</v>
      </c>
      <c r="L10" s="36" t="s">
        <v>36</v>
      </c>
      <c r="M10" s="549"/>
      <c r="N10" s="552"/>
      <c r="O10" s="553"/>
    </row>
    <row r="11" spans="1:15" ht="15.5" hidden="1" thickBot="1" x14ac:dyDescent="0.35">
      <c r="B11" s="17">
        <v>1</v>
      </c>
      <c r="C11" s="17">
        <f>+B11+1</f>
        <v>2</v>
      </c>
      <c r="D11" s="17">
        <v>2</v>
      </c>
      <c r="E11" s="17">
        <f t="shared" ref="E11:J11" si="0">+D11+1</f>
        <v>3</v>
      </c>
      <c r="F11" s="17">
        <v>3</v>
      </c>
      <c r="G11" s="155" t="s">
        <v>341</v>
      </c>
      <c r="H11" s="25" t="s">
        <v>342</v>
      </c>
      <c r="I11" s="17" t="e">
        <f>+#REF!+1</f>
        <v>#REF!</v>
      </c>
      <c r="J11" s="17" t="e">
        <f t="shared" si="0"/>
        <v>#REF!</v>
      </c>
      <c r="K11" s="17" t="s">
        <v>37</v>
      </c>
      <c r="L11" s="17">
        <v>10</v>
      </c>
      <c r="M11" s="17" t="s">
        <v>38</v>
      </c>
      <c r="N11" s="17" t="s">
        <v>39</v>
      </c>
      <c r="O11" s="17" t="s">
        <v>40</v>
      </c>
    </row>
    <row r="12" spans="1:15" ht="15.5" hidden="1" thickBot="1" x14ac:dyDescent="0.35">
      <c r="A12" s="417" t="s">
        <v>476</v>
      </c>
      <c r="B12" s="38" t="s">
        <v>0</v>
      </c>
      <c r="C12" s="6"/>
      <c r="D12" s="40"/>
      <c r="E12" s="40"/>
      <c r="F12" s="40"/>
      <c r="G12" s="40"/>
      <c r="H12" s="41"/>
      <c r="I12" s="7"/>
      <c r="J12" s="8"/>
      <c r="K12" s="14"/>
      <c r="L12" s="14"/>
      <c r="M12" s="16"/>
      <c r="N12" s="15"/>
      <c r="O12" s="15"/>
    </row>
    <row r="13" spans="1:15" ht="15.5" hidden="1" thickBot="1" x14ac:dyDescent="0.35">
      <c r="A13" s="39"/>
      <c r="B13" s="39" t="s">
        <v>7</v>
      </c>
      <c r="C13" s="6"/>
      <c r="D13" s="40">
        <v>1602555000000</v>
      </c>
      <c r="E13" s="40"/>
      <c r="F13" s="40">
        <v>1591626000000</v>
      </c>
      <c r="G13" s="40">
        <f t="shared" ref="G13:G20" si="1">D13-F13</f>
        <v>10929000000</v>
      </c>
      <c r="H13" s="41">
        <f>G13/D13*100</f>
        <v>0.68197347360933014</v>
      </c>
      <c r="I13" s="7"/>
      <c r="J13" s="8">
        <f>(1446928998031+68314691206+9997916000+8885280000)*0+(F13-L13)</f>
        <v>1511775000000</v>
      </c>
      <c r="K13" s="14"/>
      <c r="L13" s="14">
        <v>79851000000</v>
      </c>
      <c r="M13" s="16"/>
      <c r="N13" s="15"/>
      <c r="O13" s="15">
        <f t="shared" ref="O13:O20" si="2">+J13+L13+M13</f>
        <v>1591626000000</v>
      </c>
    </row>
    <row r="14" spans="1:15" ht="15.5" hidden="1" thickBot="1" x14ac:dyDescent="0.35">
      <c r="A14" s="39"/>
      <c r="B14" s="39" t="s">
        <v>8</v>
      </c>
      <c r="C14" s="6"/>
      <c r="D14" s="40">
        <f>22500000000+6863000000</f>
        <v>29363000000</v>
      </c>
      <c r="E14" s="40"/>
      <c r="F14" s="40">
        <v>31142316000</v>
      </c>
      <c r="G14" s="42">
        <f t="shared" si="1"/>
        <v>-1779316000</v>
      </c>
      <c r="H14" s="43">
        <f>G14/D14*100</f>
        <v>-6.059721418111228</v>
      </c>
      <c r="I14" s="7"/>
      <c r="J14" s="8">
        <f>24876964915+3028424500</f>
        <v>27905389415</v>
      </c>
      <c r="K14" s="14"/>
      <c r="L14" s="14"/>
      <c r="M14" s="16"/>
      <c r="N14" s="15"/>
      <c r="O14" s="15">
        <f t="shared" si="2"/>
        <v>27905389415</v>
      </c>
    </row>
    <row r="15" spans="1:15" ht="15.5" hidden="1" thickBot="1" x14ac:dyDescent="0.35">
      <c r="A15" s="39"/>
      <c r="B15" s="39" t="s">
        <v>16</v>
      </c>
      <c r="C15" s="6"/>
      <c r="D15" s="40">
        <v>49189000000</v>
      </c>
      <c r="E15" s="40"/>
      <c r="F15" s="26">
        <v>52640624180</v>
      </c>
      <c r="G15" s="42">
        <f t="shared" si="1"/>
        <v>-3451624180</v>
      </c>
      <c r="H15" s="43">
        <f>G15/D15*100</f>
        <v>-7.0170651568440103</v>
      </c>
      <c r="I15" s="7"/>
      <c r="J15" s="8">
        <v>0</v>
      </c>
      <c r="K15" s="14"/>
      <c r="L15" s="14">
        <f>F15</f>
        <v>52640624180</v>
      </c>
      <c r="M15" s="16"/>
      <c r="N15" s="15"/>
      <c r="O15" s="15">
        <f t="shared" si="2"/>
        <v>52640624180</v>
      </c>
    </row>
    <row r="16" spans="1:15" ht="15.5" hidden="1" thickBot="1" x14ac:dyDescent="0.35">
      <c r="A16" s="39"/>
      <c r="B16" s="39" t="s">
        <v>9</v>
      </c>
      <c r="C16" s="6"/>
      <c r="D16" s="40">
        <v>0</v>
      </c>
      <c r="E16" s="40"/>
      <c r="F16" s="40">
        <v>0</v>
      </c>
      <c r="G16" s="40">
        <f t="shared" si="1"/>
        <v>0</v>
      </c>
      <c r="H16" s="41">
        <v>0</v>
      </c>
      <c r="I16" s="7"/>
      <c r="J16" s="8">
        <v>0</v>
      </c>
      <c r="K16" s="14"/>
      <c r="L16" s="14"/>
      <c r="M16" s="16"/>
      <c r="N16" s="15"/>
      <c r="O16" s="15">
        <f t="shared" si="2"/>
        <v>0</v>
      </c>
    </row>
    <row r="17" spans="1:16" ht="15.5" hidden="1" thickBot="1" x14ac:dyDescent="0.35">
      <c r="A17" s="39"/>
      <c r="B17" s="39" t="s">
        <v>24</v>
      </c>
      <c r="C17" s="6"/>
      <c r="D17" s="40">
        <v>2255000000</v>
      </c>
      <c r="E17" s="40"/>
      <c r="F17" s="40">
        <v>559474300</v>
      </c>
      <c r="G17" s="40">
        <f t="shared" si="1"/>
        <v>1695525700</v>
      </c>
      <c r="H17" s="41">
        <f>G17/D17*100</f>
        <v>75.189609756097568</v>
      </c>
      <c r="I17" s="7"/>
      <c r="J17" s="8">
        <v>0</v>
      </c>
      <c r="K17" s="14"/>
      <c r="L17" s="14"/>
      <c r="M17" s="16"/>
      <c r="N17" s="15"/>
      <c r="O17" s="15">
        <f t="shared" si="2"/>
        <v>0</v>
      </c>
    </row>
    <row r="18" spans="1:16" ht="15.5" hidden="1" thickBot="1" x14ac:dyDescent="0.35">
      <c r="A18" s="39"/>
      <c r="B18" s="39" t="s">
        <v>25</v>
      </c>
      <c r="C18" s="6"/>
      <c r="D18" s="40">
        <v>18300000000</v>
      </c>
      <c r="E18" s="40"/>
      <c r="F18" s="40">
        <v>0</v>
      </c>
      <c r="G18" s="40">
        <f t="shared" si="1"/>
        <v>18300000000</v>
      </c>
      <c r="H18" s="41">
        <f>G18/D18*100</f>
        <v>100</v>
      </c>
      <c r="I18" s="7"/>
      <c r="J18" s="8">
        <v>0</v>
      </c>
      <c r="K18" s="14"/>
      <c r="L18" s="14"/>
      <c r="M18" s="16"/>
      <c r="N18" s="15"/>
      <c r="O18" s="15">
        <f t="shared" si="2"/>
        <v>0</v>
      </c>
    </row>
    <row r="19" spans="1:16" ht="15.5" hidden="1" thickBot="1" x14ac:dyDescent="0.35">
      <c r="A19" s="39"/>
      <c r="B19" s="39" t="s">
        <v>26</v>
      </c>
      <c r="C19" s="6"/>
      <c r="D19" s="40">
        <v>750000000</v>
      </c>
      <c r="E19" s="40"/>
      <c r="F19" s="40">
        <v>745250000</v>
      </c>
      <c r="G19" s="40">
        <f t="shared" si="1"/>
        <v>4750000</v>
      </c>
      <c r="H19" s="41">
        <f>G19/D19*100</f>
        <v>0.6333333333333333</v>
      </c>
      <c r="I19" s="7"/>
      <c r="J19" s="8">
        <v>0</v>
      </c>
      <c r="K19" s="14"/>
      <c r="L19" s="14"/>
      <c r="M19" s="16"/>
      <c r="N19" s="15"/>
      <c r="O19" s="15">
        <f t="shared" si="2"/>
        <v>0</v>
      </c>
    </row>
    <row r="20" spans="1:16" s="28" customFormat="1" ht="15.5" hidden="1" thickBot="1" x14ac:dyDescent="0.35">
      <c r="A20" s="39"/>
      <c r="B20" s="39" t="s">
        <v>168</v>
      </c>
      <c r="C20" s="6">
        <v>0</v>
      </c>
      <c r="D20" s="40">
        <v>0</v>
      </c>
      <c r="E20" s="40">
        <v>0</v>
      </c>
      <c r="F20" s="45">
        <f>F43*0</f>
        <v>0</v>
      </c>
      <c r="G20" s="42">
        <f t="shared" si="1"/>
        <v>0</v>
      </c>
      <c r="H20" s="44">
        <v>0</v>
      </c>
      <c r="I20" s="7"/>
      <c r="J20" s="8">
        <v>0</v>
      </c>
      <c r="O20" s="15">
        <f t="shared" si="2"/>
        <v>0</v>
      </c>
    </row>
    <row r="21" spans="1:16" s="1" customFormat="1" ht="15.5" hidden="1" thickBot="1" x14ac:dyDescent="0.35">
      <c r="A21" s="53"/>
      <c r="B21" s="53" t="s">
        <v>46</v>
      </c>
      <c r="C21" s="5">
        <f>+SUM(C13:C16)</f>
        <v>0</v>
      </c>
      <c r="D21" s="54">
        <f>SUM(D13:D20)</f>
        <v>1702412000000</v>
      </c>
      <c r="E21" s="54">
        <f>SUM(E13:E19)</f>
        <v>0</v>
      </c>
      <c r="F21" s="54">
        <f>SUM(F13:F20)</f>
        <v>1676713664480</v>
      </c>
      <c r="G21" s="56">
        <f>SUM(G13:G20)</f>
        <v>25698335520</v>
      </c>
      <c r="H21" s="57">
        <f>G21/D21*100</f>
        <v>1.5095250456411258</v>
      </c>
      <c r="I21" s="9">
        <f>SUM(I13:I19)</f>
        <v>0</v>
      </c>
      <c r="J21" s="10">
        <f>SUM(J13:J19)</f>
        <v>1539680389415</v>
      </c>
      <c r="K21" s="13"/>
      <c r="L21" s="13"/>
      <c r="M21" s="21"/>
      <c r="N21" s="22"/>
      <c r="O21" s="22"/>
    </row>
    <row r="22" spans="1:16" ht="15.5" hidden="1" thickBot="1" x14ac:dyDescent="0.35">
      <c r="A22" s="417" t="s">
        <v>477</v>
      </c>
      <c r="B22" s="38" t="s">
        <v>2</v>
      </c>
      <c r="C22" s="6"/>
      <c r="D22" s="40"/>
      <c r="E22" s="40"/>
      <c r="F22" s="40"/>
      <c r="G22" s="40"/>
      <c r="H22" s="41"/>
      <c r="I22" s="7"/>
      <c r="J22" s="7">
        <f>F23-L23</f>
        <v>486457950000</v>
      </c>
      <c r="K22" s="14"/>
      <c r="L22" s="14"/>
      <c r="M22" s="18"/>
      <c r="N22" s="15"/>
      <c r="O22" s="15"/>
      <c r="P22" s="12"/>
    </row>
    <row r="23" spans="1:16" ht="15.5" hidden="1" thickBot="1" x14ac:dyDescent="0.35">
      <c r="A23" s="39"/>
      <c r="B23" s="39" t="s">
        <v>3</v>
      </c>
      <c r="C23" s="6">
        <v>41051670</v>
      </c>
      <c r="D23" s="40">
        <f>+C23*14750</f>
        <v>605512132500</v>
      </c>
      <c r="E23" s="40">
        <v>34716000</v>
      </c>
      <c r="F23" s="40">
        <f>E23*14750</f>
        <v>512061000000</v>
      </c>
      <c r="G23" s="40">
        <f>D23-F23</f>
        <v>93451132500</v>
      </c>
      <c r="H23" s="41">
        <f>G23/D23*100</f>
        <v>15.433403805496829</v>
      </c>
      <c r="I23" s="7">
        <v>32980200</v>
      </c>
      <c r="J23" s="8">
        <f>74002361400+97996324800+97996324800+94830225600+114465595200</f>
        <v>479290831800</v>
      </c>
      <c r="K23" s="14">
        <f>+E23-I23</f>
        <v>1735800</v>
      </c>
      <c r="L23" s="14">
        <f>+K23*14750</f>
        <v>25603050000</v>
      </c>
      <c r="M23" s="19">
        <f>+F23-J23-L23</f>
        <v>7167118200</v>
      </c>
      <c r="N23" s="15">
        <f>+I23+K23</f>
        <v>34716000</v>
      </c>
      <c r="O23" s="15">
        <f>+J23+L23+M23</f>
        <v>512061000000</v>
      </c>
      <c r="P23" s="20"/>
    </row>
    <row r="24" spans="1:16" ht="15.5" hidden="1" thickBot="1" x14ac:dyDescent="0.35">
      <c r="A24" s="39"/>
      <c r="B24" s="39" t="s">
        <v>4</v>
      </c>
      <c r="C24" s="6">
        <v>33346500</v>
      </c>
      <c r="D24" s="40">
        <f>+C24*14750</f>
        <v>491860875000</v>
      </c>
      <c r="E24" s="40">
        <v>28200000</v>
      </c>
      <c r="F24" s="40">
        <f t="shared" ref="F24:F26" si="3">E24*14750</f>
        <v>415950000000</v>
      </c>
      <c r="G24" s="40">
        <f t="shared" ref="G24:G34" si="4">D24-F24</f>
        <v>75910875000</v>
      </c>
      <c r="H24" s="41">
        <f t="shared" ref="H24:H34" si="5">G24/D24*100</f>
        <v>15.433403805496829</v>
      </c>
      <c r="I24" s="7">
        <v>26790000</v>
      </c>
      <c r="J24" s="8">
        <f>61208100000+79326600000+85728000000+85316280000+42147720000+41445554100</f>
        <v>395172254100</v>
      </c>
      <c r="K24" s="14">
        <f>+E24-I24</f>
        <v>1410000</v>
      </c>
      <c r="L24" s="14">
        <f>+K24*14750</f>
        <v>20797500000</v>
      </c>
      <c r="M24" s="19">
        <f>+F24-J24-L24</f>
        <v>-19754100</v>
      </c>
      <c r="N24" s="15">
        <f>+I24+K24</f>
        <v>28200000</v>
      </c>
      <c r="O24" s="15">
        <f>+J24+L24+M24</f>
        <v>415950000000</v>
      </c>
      <c r="P24" s="12"/>
    </row>
    <row r="25" spans="1:16" ht="15.5" hidden="1" thickBot="1" x14ac:dyDescent="0.35">
      <c r="A25" s="39"/>
      <c r="B25" s="39" t="s">
        <v>11</v>
      </c>
      <c r="C25" s="6">
        <v>3476550</v>
      </c>
      <c r="D25" s="40">
        <f>+C25*14750</f>
        <v>51279112500</v>
      </c>
      <c r="E25" s="40">
        <v>2940000</v>
      </c>
      <c r="F25" s="40">
        <f t="shared" si="3"/>
        <v>43365000000</v>
      </c>
      <c r="G25" s="40">
        <f t="shared" si="4"/>
        <v>7914112500</v>
      </c>
      <c r="H25" s="41">
        <f t="shared" si="5"/>
        <v>15.433403805496829</v>
      </c>
      <c r="I25" s="7">
        <v>2793000</v>
      </c>
      <c r="J25" s="8">
        <v>41658624000</v>
      </c>
      <c r="K25" s="14">
        <f>+E25-I25</f>
        <v>147000</v>
      </c>
      <c r="L25" s="14">
        <f>+K25*14750</f>
        <v>2168250000</v>
      </c>
      <c r="M25" s="19">
        <f>+F25-J25-L25</f>
        <v>-461874000</v>
      </c>
      <c r="N25" s="15">
        <f>+I25+K25</f>
        <v>2940000</v>
      </c>
      <c r="O25" s="15">
        <f>+J25+L25+M25</f>
        <v>43365000000</v>
      </c>
      <c r="P25" s="12"/>
    </row>
    <row r="26" spans="1:16" ht="15.5" hidden="1" thickBot="1" x14ac:dyDescent="0.35">
      <c r="A26" s="39"/>
      <c r="B26" s="39" t="s">
        <v>5</v>
      </c>
      <c r="C26" s="6">
        <v>11128510</v>
      </c>
      <c r="D26" s="40">
        <f>+C26*14750</f>
        <v>164145522500</v>
      </c>
      <c r="E26" s="40">
        <v>9411000</v>
      </c>
      <c r="F26" s="40">
        <f t="shared" si="3"/>
        <v>138812250000</v>
      </c>
      <c r="G26" s="40">
        <f t="shared" si="4"/>
        <v>25333272500</v>
      </c>
      <c r="H26" s="41">
        <f t="shared" si="5"/>
        <v>15.433422803232419</v>
      </c>
      <c r="I26" s="7">
        <v>8940450</v>
      </c>
      <c r="J26" s="8">
        <f>49511045500+77348338800</f>
        <v>126859384300</v>
      </c>
      <c r="K26" s="14">
        <f>+E26-I26</f>
        <v>470550</v>
      </c>
      <c r="L26" s="14">
        <f>+K26*14750</f>
        <v>6940612500</v>
      </c>
      <c r="M26" s="19">
        <f>+F26-J26-L26</f>
        <v>5012253200</v>
      </c>
      <c r="N26" s="15">
        <f>+I26+K26</f>
        <v>9411000</v>
      </c>
      <c r="O26" s="15">
        <f>+J26+L26+M26</f>
        <v>138812250000</v>
      </c>
      <c r="P26" s="12"/>
    </row>
    <row r="27" spans="1:16" ht="15.5" hidden="1" thickBot="1" x14ac:dyDescent="0.35">
      <c r="A27" s="39"/>
      <c r="B27" s="39" t="s">
        <v>12</v>
      </c>
      <c r="C27" s="6"/>
      <c r="D27" s="40">
        <v>0</v>
      </c>
      <c r="E27" s="40"/>
      <c r="F27" s="40"/>
      <c r="G27" s="40"/>
      <c r="H27" s="41"/>
      <c r="I27" s="7"/>
      <c r="J27" s="8"/>
      <c r="K27" s="14"/>
      <c r="L27" s="14"/>
      <c r="M27" s="18"/>
      <c r="N27" s="15"/>
      <c r="O27" s="15"/>
      <c r="P27" s="12"/>
    </row>
    <row r="28" spans="1:16" ht="15.5" hidden="1" thickBot="1" x14ac:dyDescent="0.35">
      <c r="A28" s="39"/>
      <c r="B28" s="39" t="s">
        <v>27</v>
      </c>
      <c r="C28" s="6">
        <v>0</v>
      </c>
      <c r="D28" s="40">
        <v>32261000000</v>
      </c>
      <c r="E28" s="40">
        <v>0</v>
      </c>
      <c r="F28" s="40">
        <v>0</v>
      </c>
      <c r="G28" s="40">
        <f t="shared" si="4"/>
        <v>32261000000</v>
      </c>
      <c r="H28" s="41">
        <f t="shared" si="5"/>
        <v>100</v>
      </c>
      <c r="I28" s="7"/>
      <c r="J28" s="8"/>
      <c r="K28" s="14"/>
      <c r="L28" s="14"/>
      <c r="M28" s="16"/>
      <c r="N28" s="15"/>
      <c r="O28" s="15">
        <f t="shared" ref="O28:O33" si="6">+J28+L28+M28</f>
        <v>0</v>
      </c>
    </row>
    <row r="29" spans="1:16" ht="15.5" hidden="1" thickBot="1" x14ac:dyDescent="0.35">
      <c r="A29" s="39"/>
      <c r="B29" s="39" t="s">
        <v>28</v>
      </c>
      <c r="C29" s="6">
        <v>0</v>
      </c>
      <c r="D29" s="40">
        <v>1750000000</v>
      </c>
      <c r="E29" s="40">
        <v>0</v>
      </c>
      <c r="F29" s="40">
        <v>0</v>
      </c>
      <c r="G29" s="40">
        <f t="shared" si="4"/>
        <v>1750000000</v>
      </c>
      <c r="H29" s="41">
        <f t="shared" si="5"/>
        <v>100</v>
      </c>
      <c r="I29" s="7"/>
      <c r="J29" s="8"/>
      <c r="K29" s="14"/>
      <c r="L29" s="14"/>
      <c r="M29" s="16"/>
      <c r="N29" s="15"/>
      <c r="O29" s="15">
        <f t="shared" si="6"/>
        <v>0</v>
      </c>
    </row>
    <row r="30" spans="1:16" ht="15.5" hidden="1" thickBot="1" x14ac:dyDescent="0.35">
      <c r="A30" s="39"/>
      <c r="B30" s="39" t="s">
        <v>29</v>
      </c>
      <c r="C30" s="6">
        <v>0</v>
      </c>
      <c r="D30" s="40">
        <v>46190000000</v>
      </c>
      <c r="E30" s="40">
        <v>0</v>
      </c>
      <c r="F30" s="40">
        <v>0</v>
      </c>
      <c r="G30" s="40">
        <f t="shared" si="4"/>
        <v>46190000000</v>
      </c>
      <c r="H30" s="41">
        <f t="shared" si="5"/>
        <v>100</v>
      </c>
      <c r="I30" s="7"/>
      <c r="J30" s="8"/>
      <c r="K30" s="14"/>
      <c r="L30" s="14"/>
      <c r="M30" s="16"/>
      <c r="N30" s="15"/>
      <c r="O30" s="15">
        <f t="shared" si="6"/>
        <v>0</v>
      </c>
    </row>
    <row r="31" spans="1:16" ht="15.5" hidden="1" thickBot="1" x14ac:dyDescent="0.35">
      <c r="A31" s="39"/>
      <c r="B31" s="39" t="s">
        <v>30</v>
      </c>
      <c r="C31" s="6">
        <v>0</v>
      </c>
      <c r="D31" s="40">
        <v>2000000000</v>
      </c>
      <c r="E31" s="40">
        <v>0</v>
      </c>
      <c r="F31" s="40">
        <v>0</v>
      </c>
      <c r="G31" s="40">
        <f t="shared" si="4"/>
        <v>2000000000</v>
      </c>
      <c r="H31" s="41">
        <f t="shared" si="5"/>
        <v>100</v>
      </c>
      <c r="I31" s="7"/>
      <c r="J31" s="8"/>
      <c r="K31" s="14"/>
      <c r="L31" s="14"/>
      <c r="M31" s="16"/>
      <c r="N31" s="15"/>
      <c r="O31" s="15">
        <f t="shared" si="6"/>
        <v>0</v>
      </c>
    </row>
    <row r="32" spans="1:16" ht="15.5" hidden="1" thickBot="1" x14ac:dyDescent="0.35">
      <c r="A32" s="39"/>
      <c r="B32" s="39" t="s">
        <v>31</v>
      </c>
      <c r="C32" s="6"/>
      <c r="D32" s="40">
        <v>17500000000</v>
      </c>
      <c r="E32" s="40">
        <v>0</v>
      </c>
      <c r="F32" s="40">
        <f>2140875000+6003965000</f>
        <v>8144840000</v>
      </c>
      <c r="G32" s="40">
        <f t="shared" si="4"/>
        <v>9355160000</v>
      </c>
      <c r="H32" s="41">
        <f t="shared" si="5"/>
        <v>53.458057142857143</v>
      </c>
      <c r="I32" s="7"/>
      <c r="J32" s="8">
        <f>F32</f>
        <v>8144840000</v>
      </c>
      <c r="K32" s="14"/>
      <c r="L32" s="14">
        <f>+K32*14750</f>
        <v>0</v>
      </c>
      <c r="M32" s="16"/>
      <c r="N32" s="15"/>
      <c r="O32" s="15">
        <f t="shared" si="6"/>
        <v>8144840000</v>
      </c>
    </row>
    <row r="33" spans="1:15" ht="15.5" hidden="1" thickBot="1" x14ac:dyDescent="0.35">
      <c r="A33" s="39"/>
      <c r="B33" s="39" t="s">
        <v>6</v>
      </c>
      <c r="C33" s="6"/>
      <c r="D33" s="40">
        <v>12300000000</v>
      </c>
      <c r="E33" s="40"/>
      <c r="F33" s="40">
        <v>12187579250</v>
      </c>
      <c r="G33" s="40">
        <f t="shared" si="4"/>
        <v>112420750</v>
      </c>
      <c r="H33" s="41">
        <f t="shared" si="5"/>
        <v>0.91398983739837403</v>
      </c>
      <c r="I33" s="7"/>
      <c r="J33" s="8">
        <f>4805933751+29800000</f>
        <v>4835733751</v>
      </c>
      <c r="K33" s="14"/>
      <c r="L33" s="14">
        <f>F33-J33</f>
        <v>7351845499</v>
      </c>
      <c r="M33" s="16"/>
      <c r="N33" s="15"/>
      <c r="O33" s="15">
        <f t="shared" si="6"/>
        <v>12187579250</v>
      </c>
    </row>
    <row r="34" spans="1:15" s="1" customFormat="1" ht="15.5" hidden="1" thickBot="1" x14ac:dyDescent="0.35">
      <c r="A34" s="53"/>
      <c r="B34" s="53" t="s">
        <v>17</v>
      </c>
      <c r="C34" s="54">
        <f ca="1">+SUM(C23:C37)</f>
        <v>93360930</v>
      </c>
      <c r="D34" s="54">
        <f>SUM(D23:D33)</f>
        <v>1424798642500</v>
      </c>
      <c r="E34" s="54">
        <f ca="1">+SUM(E23:E37)</f>
        <v>77677000</v>
      </c>
      <c r="F34" s="54">
        <f>SUM(F23:F33)</f>
        <v>1130520669250</v>
      </c>
      <c r="G34" s="54">
        <f t="shared" si="4"/>
        <v>294277973250</v>
      </c>
      <c r="H34" s="55">
        <f t="shared" si="5"/>
        <v>20.65400432538663</v>
      </c>
      <c r="I34" s="9">
        <f ca="1">+SUM(I23:I37)</f>
        <v>71503650</v>
      </c>
      <c r="J34" s="10">
        <f ca="1">+SUM(J23:J37)</f>
        <v>1272561775622</v>
      </c>
      <c r="K34" s="13"/>
      <c r="L34" s="13"/>
      <c r="M34" s="21"/>
      <c r="N34" s="22"/>
      <c r="O34" s="22"/>
    </row>
    <row r="35" spans="1:15" ht="15.5" hidden="1" thickBot="1" x14ac:dyDescent="0.35">
      <c r="A35" s="416" t="s">
        <v>478</v>
      </c>
      <c r="B35" s="39" t="s">
        <v>13</v>
      </c>
      <c r="C35" s="6"/>
      <c r="D35" s="40">
        <v>76227000000</v>
      </c>
      <c r="E35" s="40"/>
      <c r="F35" s="40">
        <f>-CF!M235*1000000</f>
        <v>136017537623.99998</v>
      </c>
      <c r="G35" s="42">
        <f>D35-F35</f>
        <v>-59790537623.999985</v>
      </c>
      <c r="H35" s="43">
        <f>G35/D35*100</f>
        <v>-78.437479664685711</v>
      </c>
      <c r="I35" s="7"/>
      <c r="J35" s="8">
        <v>8204159048</v>
      </c>
      <c r="K35" s="14"/>
      <c r="L35" s="14">
        <v>0</v>
      </c>
      <c r="M35" s="16"/>
      <c r="N35" s="15"/>
      <c r="O35" s="15">
        <f>+J35+L35+M35</f>
        <v>8204159048</v>
      </c>
    </row>
    <row r="36" spans="1:15" ht="15.5" hidden="1" thickBot="1" x14ac:dyDescent="0.35">
      <c r="A36" s="416" t="s">
        <v>479</v>
      </c>
      <c r="B36" s="39" t="s">
        <v>14</v>
      </c>
      <c r="C36" s="6"/>
      <c r="D36" s="40">
        <v>177197000000</v>
      </c>
      <c r="E36" s="40"/>
      <c r="F36" s="40">
        <f>(152000000000*0)+121411442996-F37</f>
        <v>86466442996</v>
      </c>
      <c r="G36" s="40">
        <f>D36-F36</f>
        <v>90730557004</v>
      </c>
      <c r="H36" s="41">
        <f>G36/D36*100</f>
        <v>51.203212810600633</v>
      </c>
      <c r="I36" s="7"/>
      <c r="J36" s="8">
        <f>114290628049+61791318960+7344989114+750000000</f>
        <v>184176936123</v>
      </c>
      <c r="K36" s="14"/>
      <c r="L36" s="14"/>
      <c r="M36" s="16"/>
      <c r="N36" s="15"/>
      <c r="O36" s="15">
        <f>+J36+L36+M36</f>
        <v>184176936123</v>
      </c>
    </row>
    <row r="37" spans="1:15" ht="15.5" hidden="1" thickBot="1" x14ac:dyDescent="0.35">
      <c r="A37" s="39"/>
      <c r="B37" s="39" t="s">
        <v>15</v>
      </c>
      <c r="C37" s="6">
        <v>4357700</v>
      </c>
      <c r="D37" s="40">
        <f>+C37*14750</f>
        <v>64276075000</v>
      </c>
      <c r="E37" s="40">
        <v>2410000</v>
      </c>
      <c r="F37" s="40">
        <f>E37*14500</f>
        <v>34945000000</v>
      </c>
      <c r="G37" s="40">
        <f>D37-F37</f>
        <v>29331075000</v>
      </c>
      <c r="H37" s="41">
        <f>G37/D37*100</f>
        <v>45.63295907536358</v>
      </c>
      <c r="I37" s="7"/>
      <c r="J37" s="8">
        <f>100000000+100000000+5212921680+3341281136+20920150762+3565949491-817131521</f>
        <v>32423171548</v>
      </c>
      <c r="K37" s="14"/>
      <c r="L37" s="14"/>
      <c r="M37" s="16"/>
      <c r="N37" s="15"/>
      <c r="O37" s="15">
        <f>+J37+L37+M37</f>
        <v>32423171548</v>
      </c>
    </row>
    <row r="38" spans="1:15" s="1" customFormat="1" ht="15.5" hidden="1" thickBot="1" x14ac:dyDescent="0.35">
      <c r="A38" s="58"/>
      <c r="B38" s="58" t="s">
        <v>85</v>
      </c>
      <c r="C38" s="59">
        <f ca="1">+C34+C21</f>
        <v>93360930</v>
      </c>
      <c r="D38" s="59">
        <f>D37+D36+D35+D21+D34</f>
        <v>3444910717500</v>
      </c>
      <c r="E38" s="59">
        <f ca="1">+E34+E21</f>
        <v>77677000</v>
      </c>
      <c r="F38" s="59">
        <f>F37+F36+F35+F21+F34</f>
        <v>3064663314350</v>
      </c>
      <c r="G38" s="59">
        <f>G37+G36+G35+G21+G34</f>
        <v>380247403150</v>
      </c>
      <c r="H38" s="60">
        <f t="shared" ref="H38" si="7">G38/D38*100</f>
        <v>11.037946534241348</v>
      </c>
      <c r="I38" s="9">
        <f ca="1">+I34+I21</f>
        <v>71503650</v>
      </c>
      <c r="J38" s="10">
        <f ca="1">+J34+J21</f>
        <v>2812242165037</v>
      </c>
      <c r="K38" s="13">
        <f>+SUM(K23:K34)</f>
        <v>3763350</v>
      </c>
      <c r="L38" s="13">
        <f>+SUM(L23:L34)</f>
        <v>62861257999</v>
      </c>
      <c r="M38" s="21">
        <f>+SUM(M23:M34)</f>
        <v>11697743300</v>
      </c>
      <c r="N38" s="22">
        <f>+SUM(N23:N34)</f>
        <v>75267000</v>
      </c>
      <c r="O38" s="22">
        <f>+SUM(O23:O34)</f>
        <v>1130520669250</v>
      </c>
    </row>
    <row r="39" spans="1:15" ht="15.5" hidden="1" thickBot="1" x14ac:dyDescent="0.35"/>
    <row r="40" spans="1:15" s="28" customFormat="1" ht="15.5" hidden="1" thickBot="1" x14ac:dyDescent="0.35">
      <c r="B40" s="28" t="s">
        <v>43</v>
      </c>
      <c r="C40" s="3"/>
      <c r="D40" s="3"/>
      <c r="E40" s="3"/>
      <c r="F40" s="31">
        <v>68314691206</v>
      </c>
      <c r="G40" s="3"/>
      <c r="H40" s="32"/>
      <c r="I40" s="3"/>
      <c r="J40" s="29"/>
    </row>
    <row r="41" spans="1:15" s="28" customFormat="1" ht="15.5" hidden="1" x14ac:dyDescent="0.35">
      <c r="B41" s="28" t="s">
        <v>44</v>
      </c>
      <c r="C41" s="3"/>
      <c r="D41" s="3"/>
      <c r="E41" s="3"/>
      <c r="F41" s="63">
        <v>28787674450</v>
      </c>
      <c r="G41" s="3"/>
      <c r="H41" s="32"/>
      <c r="I41" s="3"/>
      <c r="J41" s="29"/>
    </row>
    <row r="42" spans="1:15" s="28" customFormat="1" ht="15.5" hidden="1" x14ac:dyDescent="0.35">
      <c r="B42" s="28" t="s">
        <v>45</v>
      </c>
      <c r="C42" s="3"/>
      <c r="D42" s="3"/>
      <c r="E42" s="3"/>
      <c r="F42" s="64">
        <v>6854138400</v>
      </c>
      <c r="G42" s="3"/>
      <c r="H42" s="32"/>
      <c r="I42" s="3"/>
      <c r="J42" s="29"/>
    </row>
    <row r="43" spans="1:15" s="28" customFormat="1" ht="15.5" hidden="1" x14ac:dyDescent="0.35">
      <c r="B43" s="62" t="s">
        <v>167</v>
      </c>
      <c r="C43" s="3"/>
      <c r="D43" s="3"/>
      <c r="E43" s="3"/>
      <c r="F43" s="63">
        <f>SUM(F40:F42)</f>
        <v>103956504056</v>
      </c>
      <c r="G43" s="3"/>
      <c r="H43" s="32"/>
      <c r="I43" s="3"/>
      <c r="J43" s="29"/>
    </row>
    <row r="44" spans="1:15" hidden="1" x14ac:dyDescent="0.3"/>
    <row r="45" spans="1:15" hidden="1" x14ac:dyDescent="0.3"/>
    <row r="46" spans="1:15" ht="15.5" thickBot="1" x14ac:dyDescent="0.35"/>
    <row r="47" spans="1:15" s="28" customFormat="1" ht="15.75" customHeight="1" thickBot="1" x14ac:dyDescent="0.35">
      <c r="A47" s="544" t="s">
        <v>475</v>
      </c>
      <c r="B47" s="544" t="s">
        <v>21</v>
      </c>
      <c r="C47" s="543" t="s">
        <v>1</v>
      </c>
      <c r="D47" s="543"/>
      <c r="E47" s="46"/>
      <c r="F47" s="47" t="s">
        <v>23</v>
      </c>
      <c r="G47" s="546" t="s">
        <v>41</v>
      </c>
      <c r="H47" s="547"/>
      <c r="I47" s="545" t="s">
        <v>32</v>
      </c>
      <c r="J47" s="545"/>
      <c r="K47" s="541" t="s">
        <v>33</v>
      </c>
      <c r="L47" s="542"/>
      <c r="M47" s="548" t="s">
        <v>35</v>
      </c>
      <c r="N47" s="550" t="s">
        <v>34</v>
      </c>
      <c r="O47" s="551"/>
    </row>
    <row r="48" spans="1:15" s="37" customFormat="1" ht="57.75" customHeight="1" thickBot="1" x14ac:dyDescent="0.4">
      <c r="A48" s="544"/>
      <c r="B48" s="544"/>
      <c r="C48" s="48" t="s">
        <v>18</v>
      </c>
      <c r="D48" s="48" t="s">
        <v>19</v>
      </c>
      <c r="E48" s="49" t="s">
        <v>18</v>
      </c>
      <c r="F48" s="50" t="s">
        <v>19</v>
      </c>
      <c r="G48" s="51" t="s">
        <v>42</v>
      </c>
      <c r="H48" s="52" t="s">
        <v>22</v>
      </c>
      <c r="I48" s="33" t="s">
        <v>18</v>
      </c>
      <c r="J48" s="34" t="s">
        <v>19</v>
      </c>
      <c r="K48" s="35" t="s">
        <v>18</v>
      </c>
      <c r="L48" s="36" t="s">
        <v>36</v>
      </c>
      <c r="M48" s="549"/>
      <c r="N48" s="552"/>
      <c r="O48" s="553"/>
    </row>
    <row r="49" spans="1:16" s="28" customFormat="1" ht="15.5" hidden="1" thickBot="1" x14ac:dyDescent="0.35">
      <c r="B49" s="17">
        <v>1</v>
      </c>
      <c r="C49" s="17">
        <f>+B49+1</f>
        <v>2</v>
      </c>
      <c r="D49" s="17">
        <v>2</v>
      </c>
      <c r="E49" s="17">
        <f t="shared" ref="E49" si="8">+D49+1</f>
        <v>3</v>
      </c>
      <c r="F49" s="17">
        <v>3</v>
      </c>
      <c r="G49" s="155" t="s">
        <v>341</v>
      </c>
      <c r="H49" s="25" t="s">
        <v>342</v>
      </c>
      <c r="I49" s="17" t="e">
        <f>+#REF!+1</f>
        <v>#REF!</v>
      </c>
      <c r="J49" s="17" t="e">
        <f t="shared" ref="J49" si="9">+I49+1</f>
        <v>#REF!</v>
      </c>
      <c r="K49" s="17" t="s">
        <v>37</v>
      </c>
      <c r="L49" s="17">
        <v>10</v>
      </c>
      <c r="M49" s="17" t="s">
        <v>38</v>
      </c>
      <c r="N49" s="17" t="s">
        <v>39</v>
      </c>
      <c r="O49" s="17" t="s">
        <v>40</v>
      </c>
    </row>
    <row r="50" spans="1:16" s="28" customFormat="1" ht="15.5" thickBot="1" x14ac:dyDescent="0.35">
      <c r="A50" s="417" t="s">
        <v>476</v>
      </c>
      <c r="B50" s="38" t="s">
        <v>0</v>
      </c>
      <c r="C50" s="6"/>
      <c r="D50" s="40"/>
      <c r="E50" s="40"/>
      <c r="F50" s="40"/>
      <c r="G50" s="40"/>
      <c r="H50" s="41"/>
      <c r="I50" s="7"/>
      <c r="J50" s="8"/>
      <c r="K50" s="14"/>
      <c r="L50" s="14"/>
      <c r="M50" s="16"/>
      <c r="N50" s="15"/>
      <c r="O50" s="15"/>
    </row>
    <row r="51" spans="1:16" s="28" customFormat="1" ht="15.5" thickBot="1" x14ac:dyDescent="0.35">
      <c r="A51" s="39"/>
      <c r="B51" s="39" t="s">
        <v>7</v>
      </c>
      <c r="C51" s="6"/>
      <c r="D51" s="40">
        <f>D13/1000000</f>
        <v>1602555</v>
      </c>
      <c r="E51" s="40"/>
      <c r="F51" s="40">
        <f>F13/1000000</f>
        <v>1591626</v>
      </c>
      <c r="G51" s="40">
        <f t="shared" ref="G51:G58" si="10">D51-F51</f>
        <v>10929</v>
      </c>
      <c r="H51" s="41">
        <f>G51/D51*100</f>
        <v>0.68197347360933014</v>
      </c>
      <c r="I51" s="7"/>
      <c r="J51" s="8">
        <f>(1446928998031+68314691206+9997916000+8885280000)*0+(F51-L51)</f>
        <v>-79849408374</v>
      </c>
      <c r="K51" s="14"/>
      <c r="L51" s="14">
        <v>79851000000</v>
      </c>
      <c r="M51" s="16"/>
      <c r="N51" s="15"/>
      <c r="O51" s="15">
        <f t="shared" ref="O51:O58" si="11">+J51+L51+M51</f>
        <v>1591626</v>
      </c>
    </row>
    <row r="52" spans="1:16" s="28" customFormat="1" ht="15.5" thickBot="1" x14ac:dyDescent="0.35">
      <c r="A52" s="39"/>
      <c r="B52" s="39" t="s">
        <v>8</v>
      </c>
      <c r="C52" s="6"/>
      <c r="D52" s="40">
        <f t="shared" ref="D52:F57" si="12">D14/1000000</f>
        <v>29363</v>
      </c>
      <c r="E52" s="40"/>
      <c r="F52" s="40">
        <f t="shared" si="12"/>
        <v>31142.315999999999</v>
      </c>
      <c r="G52" s="42">
        <f t="shared" si="10"/>
        <v>-1779.3159999999989</v>
      </c>
      <c r="H52" s="43">
        <f>G52/D52*100</f>
        <v>-6.0597214181112244</v>
      </c>
      <c r="I52" s="7"/>
      <c r="J52" s="8">
        <f>24876964915+3028424500</f>
        <v>27905389415</v>
      </c>
      <c r="K52" s="14"/>
      <c r="L52" s="14"/>
      <c r="M52" s="16"/>
      <c r="N52" s="15"/>
      <c r="O52" s="15">
        <f t="shared" si="11"/>
        <v>27905389415</v>
      </c>
    </row>
    <row r="53" spans="1:16" s="28" customFormat="1" ht="15.5" thickBot="1" x14ac:dyDescent="0.35">
      <c r="A53" s="39"/>
      <c r="B53" s="39" t="s">
        <v>16</v>
      </c>
      <c r="C53" s="6"/>
      <c r="D53" s="40">
        <f t="shared" si="12"/>
        <v>49189</v>
      </c>
      <c r="E53" s="40"/>
      <c r="F53" s="40">
        <f t="shared" si="12"/>
        <v>52640.624179999999</v>
      </c>
      <c r="G53" s="42">
        <f t="shared" si="10"/>
        <v>-3451.6241799999989</v>
      </c>
      <c r="H53" s="43">
        <f>G53/D53*100</f>
        <v>-7.0170651568440077</v>
      </c>
      <c r="I53" s="7"/>
      <c r="J53" s="8">
        <v>0</v>
      </c>
      <c r="K53" s="14"/>
      <c r="L53" s="14">
        <f>F53</f>
        <v>52640.624179999999</v>
      </c>
      <c r="M53" s="16"/>
      <c r="N53" s="15"/>
      <c r="O53" s="15">
        <f t="shared" si="11"/>
        <v>52640.624179999999</v>
      </c>
    </row>
    <row r="54" spans="1:16" s="28" customFormat="1" ht="15.5" thickBot="1" x14ac:dyDescent="0.35">
      <c r="A54" s="39"/>
      <c r="B54" s="39" t="s">
        <v>9</v>
      </c>
      <c r="C54" s="6"/>
      <c r="D54" s="40">
        <v>0</v>
      </c>
      <c r="E54" s="40"/>
      <c r="F54" s="40">
        <v>0</v>
      </c>
      <c r="G54" s="40">
        <f t="shared" si="10"/>
        <v>0</v>
      </c>
      <c r="H54" s="41">
        <v>0</v>
      </c>
      <c r="I54" s="7"/>
      <c r="J54" s="8">
        <v>0</v>
      </c>
      <c r="K54" s="14"/>
      <c r="L54" s="14"/>
      <c r="M54" s="16"/>
      <c r="N54" s="15"/>
      <c r="O54" s="15">
        <f t="shared" si="11"/>
        <v>0</v>
      </c>
    </row>
    <row r="55" spans="1:16" s="28" customFormat="1" ht="15.5" thickBot="1" x14ac:dyDescent="0.35">
      <c r="A55" s="39"/>
      <c r="B55" s="39" t="s">
        <v>24</v>
      </c>
      <c r="C55" s="6"/>
      <c r="D55" s="40">
        <f t="shared" si="12"/>
        <v>2255</v>
      </c>
      <c r="E55" s="40"/>
      <c r="F55" s="40">
        <f t="shared" si="12"/>
        <v>559.47429999999997</v>
      </c>
      <c r="G55" s="40">
        <f t="shared" si="10"/>
        <v>1695.5257000000001</v>
      </c>
      <c r="H55" s="41">
        <f>G55/D55*100</f>
        <v>75.189609756097568</v>
      </c>
      <c r="I55" s="7"/>
      <c r="J55" s="8">
        <v>0</v>
      </c>
      <c r="K55" s="14"/>
      <c r="L55" s="14"/>
      <c r="M55" s="16"/>
      <c r="N55" s="15"/>
      <c r="O55" s="15">
        <f t="shared" si="11"/>
        <v>0</v>
      </c>
    </row>
    <row r="56" spans="1:16" s="28" customFormat="1" ht="15.5" thickBot="1" x14ac:dyDescent="0.35">
      <c r="A56" s="39"/>
      <c r="B56" s="39" t="s">
        <v>25</v>
      </c>
      <c r="C56" s="6"/>
      <c r="D56" s="40">
        <f t="shared" si="12"/>
        <v>18300</v>
      </c>
      <c r="E56" s="40"/>
      <c r="F56" s="40">
        <f t="shared" si="12"/>
        <v>0</v>
      </c>
      <c r="G56" s="40">
        <f t="shared" si="10"/>
        <v>18300</v>
      </c>
      <c r="H56" s="41">
        <f>G56/D56*100</f>
        <v>100</v>
      </c>
      <c r="I56" s="7"/>
      <c r="J56" s="8">
        <v>0</v>
      </c>
      <c r="K56" s="14"/>
      <c r="L56" s="14"/>
      <c r="M56" s="16"/>
      <c r="N56" s="15"/>
      <c r="O56" s="15">
        <f t="shared" si="11"/>
        <v>0</v>
      </c>
    </row>
    <row r="57" spans="1:16" s="28" customFormat="1" ht="15.5" thickBot="1" x14ac:dyDescent="0.35">
      <c r="A57" s="39"/>
      <c r="B57" s="39" t="s">
        <v>26</v>
      </c>
      <c r="C57" s="6"/>
      <c r="D57" s="40">
        <f t="shared" si="12"/>
        <v>750</v>
      </c>
      <c r="E57" s="40"/>
      <c r="F57" s="40">
        <f t="shared" si="12"/>
        <v>745.25</v>
      </c>
      <c r="G57" s="40">
        <f t="shared" si="10"/>
        <v>4.75</v>
      </c>
      <c r="H57" s="41">
        <f>G57/D57*100</f>
        <v>0.6333333333333333</v>
      </c>
      <c r="I57" s="7"/>
      <c r="J57" s="8">
        <v>0</v>
      </c>
      <c r="K57" s="14"/>
      <c r="L57" s="14"/>
      <c r="M57" s="16"/>
      <c r="N57" s="15"/>
      <c r="O57" s="15">
        <f t="shared" si="11"/>
        <v>0</v>
      </c>
    </row>
    <row r="58" spans="1:16" s="28" customFormat="1" ht="15.5" thickBot="1" x14ac:dyDescent="0.35">
      <c r="A58" s="39"/>
      <c r="B58" s="39" t="s">
        <v>485</v>
      </c>
      <c r="C58" s="6">
        <v>0</v>
      </c>
      <c r="D58" s="40">
        <v>0</v>
      </c>
      <c r="E58" s="40">
        <v>0</v>
      </c>
      <c r="F58" s="40">
        <f>F83/1000000</f>
        <v>103956.50405600001</v>
      </c>
      <c r="G58" s="42">
        <f t="shared" si="10"/>
        <v>-103956.50405600001</v>
      </c>
      <c r="H58" s="44">
        <v>0</v>
      </c>
      <c r="I58" s="7"/>
      <c r="J58" s="8">
        <v>0</v>
      </c>
      <c r="O58" s="15">
        <f t="shared" si="11"/>
        <v>0</v>
      </c>
    </row>
    <row r="59" spans="1:16" s="27" customFormat="1" ht="15.5" thickBot="1" x14ac:dyDescent="0.35">
      <c r="A59" s="53"/>
      <c r="B59" s="53" t="s">
        <v>46</v>
      </c>
      <c r="C59" s="5">
        <f>+SUM(C51:C54)</f>
        <v>0</v>
      </c>
      <c r="D59" s="54">
        <f>SUM(D51:D58)</f>
        <v>1702412</v>
      </c>
      <c r="E59" s="54">
        <f>SUM(E51:E57)</f>
        <v>0</v>
      </c>
      <c r="F59" s="54">
        <f>SUM(F51:F58)</f>
        <v>1780670.168536</v>
      </c>
      <c r="G59" s="56">
        <f>SUM(G51:G58)</f>
        <v>-78258.168536000012</v>
      </c>
      <c r="H59" s="57">
        <f>G59/D59*100</f>
        <v>-4.5968994894302915</v>
      </c>
      <c r="I59" s="9">
        <f>SUM(I51:I57)</f>
        <v>0</v>
      </c>
      <c r="J59" s="10">
        <f>SUM(J51:J57)</f>
        <v>-51944018959</v>
      </c>
      <c r="K59" s="13"/>
      <c r="L59" s="13"/>
      <c r="M59" s="21"/>
      <c r="N59" s="22"/>
      <c r="O59" s="22"/>
    </row>
    <row r="60" spans="1:16" s="28" customFormat="1" ht="15.5" thickBot="1" x14ac:dyDescent="0.35">
      <c r="A60" s="417" t="s">
        <v>477</v>
      </c>
      <c r="B60" s="38" t="s">
        <v>2</v>
      </c>
      <c r="C60" s="6"/>
      <c r="D60" s="40"/>
      <c r="E60" s="40"/>
      <c r="F60" s="40"/>
      <c r="G60" s="40"/>
      <c r="H60" s="41"/>
      <c r="I60" s="7"/>
      <c r="J60" s="7"/>
      <c r="K60" s="14"/>
      <c r="L60" s="14"/>
      <c r="M60" s="18"/>
      <c r="N60" s="15"/>
      <c r="O60" s="15"/>
      <c r="P60" s="12"/>
    </row>
    <row r="61" spans="1:16" s="28" customFormat="1" ht="15.5" thickBot="1" x14ac:dyDescent="0.35">
      <c r="A61" s="39"/>
      <c r="B61" s="39" t="s">
        <v>3</v>
      </c>
      <c r="C61" s="6">
        <v>41051670</v>
      </c>
      <c r="D61" s="40">
        <f t="shared" ref="D61:D75" si="13">D23/1000000</f>
        <v>605512.13249999995</v>
      </c>
      <c r="E61" s="40">
        <v>34716000</v>
      </c>
      <c r="F61" s="40">
        <f>F23/1000000+43000</f>
        <v>555061</v>
      </c>
      <c r="G61" s="40">
        <f>D61-F61</f>
        <v>50451.132499999949</v>
      </c>
      <c r="H61" s="41">
        <f>G61/D61*100</f>
        <v>8.3319771466346229</v>
      </c>
      <c r="I61" s="7">
        <v>32980200</v>
      </c>
      <c r="J61" s="8">
        <f>J23/1000000</f>
        <v>479290.83179999999</v>
      </c>
      <c r="K61" s="14">
        <f>+E61-I61</f>
        <v>1735800</v>
      </c>
      <c r="L61" s="14">
        <f>+K61*14750</f>
        <v>25603050000</v>
      </c>
      <c r="M61" s="19">
        <f>+F61-J61-L61</f>
        <v>-25602974229.831799</v>
      </c>
      <c r="N61" s="15">
        <f>+I61+K61</f>
        <v>34716000</v>
      </c>
      <c r="O61" s="15">
        <f>+J61+L61+M61</f>
        <v>555061</v>
      </c>
      <c r="P61" s="20"/>
    </row>
    <row r="62" spans="1:16" s="28" customFormat="1" ht="15.5" thickBot="1" x14ac:dyDescent="0.35">
      <c r="A62" s="39"/>
      <c r="B62" s="39" t="s">
        <v>4</v>
      </c>
      <c r="C62" s="6">
        <v>33346500</v>
      </c>
      <c r="D62" s="40">
        <f t="shared" si="13"/>
        <v>491860.875</v>
      </c>
      <c r="E62" s="40">
        <v>28200000</v>
      </c>
      <c r="F62" s="40">
        <f>F24/1000000+40000</f>
        <v>455950</v>
      </c>
      <c r="G62" s="40">
        <f t="shared" ref="G62:G64" si="14">D62-F62</f>
        <v>35910.875</v>
      </c>
      <c r="H62" s="41">
        <f t="shared" ref="H62:H64" si="15">G62/D62*100</f>
        <v>7.3010228756251445</v>
      </c>
      <c r="I62" s="7">
        <v>26790000</v>
      </c>
      <c r="J62" s="8">
        <f t="shared" ref="J62:J64" si="16">J24/1000000</f>
        <v>395172.25410000002</v>
      </c>
      <c r="K62" s="14">
        <f>+E62-I62</f>
        <v>1410000</v>
      </c>
      <c r="L62" s="14">
        <f>+K62*14750</f>
        <v>20797500000</v>
      </c>
      <c r="M62" s="19">
        <f>+F62-J62-L62</f>
        <v>-20797439222.254101</v>
      </c>
      <c r="N62" s="15">
        <f>+I62+K62</f>
        <v>28200000</v>
      </c>
      <c r="O62" s="15">
        <f>+J62+L62+M62</f>
        <v>455950</v>
      </c>
      <c r="P62" s="12"/>
    </row>
    <row r="63" spans="1:16" s="28" customFormat="1" ht="15.5" thickBot="1" x14ac:dyDescent="0.35">
      <c r="A63" s="39"/>
      <c r="B63" s="39" t="s">
        <v>11</v>
      </c>
      <c r="C63" s="6">
        <v>3476550</v>
      </c>
      <c r="D63" s="40">
        <f t="shared" si="13"/>
        <v>51279.112500000003</v>
      </c>
      <c r="E63" s="40">
        <v>2940000</v>
      </c>
      <c r="F63" s="40">
        <f t="shared" ref="F63" si="17">F25/1000000</f>
        <v>43365</v>
      </c>
      <c r="G63" s="40">
        <f t="shared" si="14"/>
        <v>7914.1125000000029</v>
      </c>
      <c r="H63" s="41">
        <f t="shared" si="15"/>
        <v>15.433403805496834</v>
      </c>
      <c r="I63" s="7">
        <v>2793000</v>
      </c>
      <c r="J63" s="8">
        <f t="shared" si="16"/>
        <v>41658.624000000003</v>
      </c>
      <c r="K63" s="14">
        <f>+E63-I63</f>
        <v>147000</v>
      </c>
      <c r="L63" s="14">
        <f>+K63*14750</f>
        <v>2168250000</v>
      </c>
      <c r="M63" s="19">
        <f>+F63-J63-L63</f>
        <v>-2168248293.6240001</v>
      </c>
      <c r="N63" s="15">
        <f>+I63+K63</f>
        <v>2940000</v>
      </c>
      <c r="O63" s="15">
        <f>+J63+L63+M63</f>
        <v>43365</v>
      </c>
      <c r="P63" s="12"/>
    </row>
    <row r="64" spans="1:16" s="28" customFormat="1" ht="15.5" thickBot="1" x14ac:dyDescent="0.35">
      <c r="A64" s="39"/>
      <c r="B64" s="39" t="s">
        <v>5</v>
      </c>
      <c r="C64" s="6">
        <v>11128510</v>
      </c>
      <c r="D64" s="40">
        <f t="shared" si="13"/>
        <v>164145.52249999999</v>
      </c>
      <c r="E64" s="40">
        <v>9411000</v>
      </c>
      <c r="F64" s="40">
        <f t="shared" ref="F64" si="18">F26/1000000</f>
        <v>138812.25</v>
      </c>
      <c r="G64" s="40">
        <f t="shared" si="14"/>
        <v>25333.272499999992</v>
      </c>
      <c r="H64" s="41">
        <f t="shared" si="15"/>
        <v>15.433422803232414</v>
      </c>
      <c r="I64" s="7">
        <v>8940450</v>
      </c>
      <c r="J64" s="8">
        <f t="shared" si="16"/>
        <v>126859.38430000001</v>
      </c>
      <c r="K64" s="14">
        <f>+E64-I64</f>
        <v>470550</v>
      </c>
      <c r="L64" s="14">
        <f>+K64*14750</f>
        <v>6940612500</v>
      </c>
      <c r="M64" s="19">
        <f>+F64-J64-L64</f>
        <v>-6940600547.1343002</v>
      </c>
      <c r="N64" s="15">
        <f>+I64+K64</f>
        <v>9411000</v>
      </c>
      <c r="O64" s="15">
        <f>+J64+L64+M64</f>
        <v>138812.25</v>
      </c>
      <c r="P64" s="12"/>
    </row>
    <row r="65" spans="1:16" s="28" customFormat="1" ht="15.5" thickBot="1" x14ac:dyDescent="0.35">
      <c r="A65" s="39"/>
      <c r="B65" s="39" t="s">
        <v>12</v>
      </c>
      <c r="C65" s="6"/>
      <c r="D65" s="40">
        <f t="shared" si="13"/>
        <v>0</v>
      </c>
      <c r="E65" s="40"/>
      <c r="F65" s="40">
        <f t="shared" ref="F65" si="19">F27/1000000</f>
        <v>0</v>
      </c>
      <c r="G65" s="40"/>
      <c r="H65" s="41"/>
      <c r="I65" s="7"/>
      <c r="J65" s="8"/>
      <c r="K65" s="14"/>
      <c r="L65" s="14"/>
      <c r="M65" s="18"/>
      <c r="N65" s="15"/>
      <c r="O65" s="15"/>
      <c r="P65" s="12"/>
    </row>
    <row r="66" spans="1:16" s="28" customFormat="1" ht="15.5" thickBot="1" x14ac:dyDescent="0.35">
      <c r="A66" s="39"/>
      <c r="B66" s="39" t="s">
        <v>27</v>
      </c>
      <c r="C66" s="6">
        <v>0</v>
      </c>
      <c r="D66" s="40">
        <f t="shared" si="13"/>
        <v>32261</v>
      </c>
      <c r="E66" s="40">
        <v>0</v>
      </c>
      <c r="F66" s="40">
        <f t="shared" ref="F66" si="20">F28/1000000</f>
        <v>0</v>
      </c>
      <c r="G66" s="40">
        <f t="shared" ref="G66:G72" si="21">D66-F66</f>
        <v>32261</v>
      </c>
      <c r="H66" s="41">
        <f t="shared" ref="H66:H72" si="22">G66/D66*100</f>
        <v>100</v>
      </c>
      <c r="I66" s="7"/>
      <c r="J66" s="8"/>
      <c r="K66" s="14"/>
      <c r="L66" s="14"/>
      <c r="M66" s="16"/>
      <c r="N66" s="15"/>
      <c r="O66" s="15">
        <f t="shared" ref="O66:O71" si="23">+J66+L66+M66</f>
        <v>0</v>
      </c>
    </row>
    <row r="67" spans="1:16" s="28" customFormat="1" ht="15.5" thickBot="1" x14ac:dyDescent="0.35">
      <c r="A67" s="39"/>
      <c r="B67" s="39" t="s">
        <v>28</v>
      </c>
      <c r="C67" s="6">
        <v>0</v>
      </c>
      <c r="D67" s="40">
        <f t="shared" si="13"/>
        <v>1750</v>
      </c>
      <c r="E67" s="40">
        <v>0</v>
      </c>
      <c r="F67" s="40">
        <f t="shared" ref="F67" si="24">F29/1000000</f>
        <v>0</v>
      </c>
      <c r="G67" s="40">
        <f t="shared" si="21"/>
        <v>1750</v>
      </c>
      <c r="H67" s="41">
        <f t="shared" si="22"/>
        <v>100</v>
      </c>
      <c r="I67" s="7"/>
      <c r="J67" s="8"/>
      <c r="K67" s="14"/>
      <c r="L67" s="14"/>
      <c r="M67" s="16"/>
      <c r="N67" s="15"/>
      <c r="O67" s="15">
        <f t="shared" si="23"/>
        <v>0</v>
      </c>
    </row>
    <row r="68" spans="1:16" s="28" customFormat="1" ht="15.5" thickBot="1" x14ac:dyDescent="0.35">
      <c r="A68" s="39"/>
      <c r="B68" s="39" t="s">
        <v>29</v>
      </c>
      <c r="C68" s="6">
        <v>0</v>
      </c>
      <c r="D68" s="40">
        <f t="shared" si="13"/>
        <v>46190</v>
      </c>
      <c r="E68" s="40">
        <v>0</v>
      </c>
      <c r="F68" s="40">
        <f t="shared" ref="F68" si="25">F30/1000000</f>
        <v>0</v>
      </c>
      <c r="G68" s="40">
        <f t="shared" si="21"/>
        <v>46190</v>
      </c>
      <c r="H68" s="41">
        <f t="shared" si="22"/>
        <v>100</v>
      </c>
      <c r="I68" s="7"/>
      <c r="J68" s="8"/>
      <c r="K68" s="14"/>
      <c r="L68" s="14"/>
      <c r="M68" s="16"/>
      <c r="N68" s="15"/>
      <c r="O68" s="15">
        <f t="shared" si="23"/>
        <v>0</v>
      </c>
    </row>
    <row r="69" spans="1:16" s="28" customFormat="1" ht="15.5" thickBot="1" x14ac:dyDescent="0.35">
      <c r="A69" s="39"/>
      <c r="B69" s="39" t="s">
        <v>30</v>
      </c>
      <c r="C69" s="6">
        <v>0</v>
      </c>
      <c r="D69" s="40">
        <f t="shared" si="13"/>
        <v>2000</v>
      </c>
      <c r="E69" s="40">
        <v>0</v>
      </c>
      <c r="F69" s="40">
        <f t="shared" ref="F69" si="26">F31/1000000</f>
        <v>0</v>
      </c>
      <c r="G69" s="40">
        <f t="shared" si="21"/>
        <v>2000</v>
      </c>
      <c r="H69" s="41">
        <f t="shared" si="22"/>
        <v>100</v>
      </c>
      <c r="I69" s="7"/>
      <c r="J69" s="8"/>
      <c r="K69" s="14"/>
      <c r="L69" s="14"/>
      <c r="M69" s="16"/>
      <c r="N69" s="15"/>
      <c r="O69" s="15">
        <f t="shared" si="23"/>
        <v>0</v>
      </c>
    </row>
    <row r="70" spans="1:16" s="28" customFormat="1" ht="15.5" thickBot="1" x14ac:dyDescent="0.35">
      <c r="A70" s="39"/>
      <c r="B70" s="39" t="s">
        <v>31</v>
      </c>
      <c r="C70" s="6"/>
      <c r="D70" s="40">
        <f t="shared" si="13"/>
        <v>17500</v>
      </c>
      <c r="E70" s="40">
        <v>0</v>
      </c>
      <c r="F70" s="40">
        <f t="shared" ref="F70" si="27">F32/1000000</f>
        <v>8144.84</v>
      </c>
      <c r="G70" s="40">
        <f t="shared" si="21"/>
        <v>9355.16</v>
      </c>
      <c r="H70" s="41">
        <f t="shared" si="22"/>
        <v>53.458057142857143</v>
      </c>
      <c r="I70" s="7"/>
      <c r="J70" s="8">
        <f>F70</f>
        <v>8144.84</v>
      </c>
      <c r="K70" s="14"/>
      <c r="L70" s="14">
        <f>+K70*14750</f>
        <v>0</v>
      </c>
      <c r="M70" s="16"/>
      <c r="N70" s="15"/>
      <c r="O70" s="15">
        <f t="shared" si="23"/>
        <v>8144.84</v>
      </c>
    </row>
    <row r="71" spans="1:16" s="28" customFormat="1" ht="15.5" thickBot="1" x14ac:dyDescent="0.35">
      <c r="A71" s="39"/>
      <c r="B71" s="39" t="s">
        <v>6</v>
      </c>
      <c r="C71" s="6"/>
      <c r="D71" s="40">
        <f t="shared" si="13"/>
        <v>12300</v>
      </c>
      <c r="E71" s="40"/>
      <c r="F71" s="40">
        <f t="shared" ref="F71" si="28">F33/1000000</f>
        <v>12187.579250000001</v>
      </c>
      <c r="G71" s="40">
        <f t="shared" si="21"/>
        <v>112.42074999999932</v>
      </c>
      <c r="H71" s="41">
        <f t="shared" si="22"/>
        <v>0.91398983739836848</v>
      </c>
      <c r="I71" s="7"/>
      <c r="J71" s="8">
        <f>4805933751+29800000</f>
        <v>4835733751</v>
      </c>
      <c r="K71" s="14"/>
      <c r="L71" s="14">
        <f>F71-J71</f>
        <v>-4835721563.4207497</v>
      </c>
      <c r="M71" s="16"/>
      <c r="N71" s="15"/>
      <c r="O71" s="15">
        <f t="shared" si="23"/>
        <v>12187.579250335693</v>
      </c>
    </row>
    <row r="72" spans="1:16" s="27" customFormat="1" ht="15.5" thickBot="1" x14ac:dyDescent="0.35">
      <c r="A72" s="53"/>
      <c r="B72" s="53" t="s">
        <v>17</v>
      </c>
      <c r="C72" s="54">
        <f ca="1">+SUM(C61:C75)</f>
        <v>93360930</v>
      </c>
      <c r="D72" s="54">
        <f>SUM(D61:D71)</f>
        <v>1424798.6424999998</v>
      </c>
      <c r="E72" s="54">
        <f ca="1">+SUM(E61:E75)</f>
        <v>77677000</v>
      </c>
      <c r="F72" s="54">
        <f>SUM(F61:F71)</f>
        <v>1213520.66925</v>
      </c>
      <c r="G72" s="54">
        <f t="shared" si="21"/>
        <v>211277.97324999981</v>
      </c>
      <c r="H72" s="55">
        <f t="shared" si="22"/>
        <v>14.828619774600876</v>
      </c>
      <c r="I72" s="9">
        <f ca="1">+SUM(I61:I75)</f>
        <v>71503650</v>
      </c>
      <c r="J72" s="10">
        <f ca="1">+SUM(J61:J75)</f>
        <v>1272561775622</v>
      </c>
      <c r="K72" s="13"/>
      <c r="L72" s="13"/>
      <c r="M72" s="21"/>
      <c r="N72" s="22"/>
      <c r="O72" s="22"/>
    </row>
    <row r="73" spans="1:16" s="28" customFormat="1" ht="15.5" thickBot="1" x14ac:dyDescent="0.35">
      <c r="A73" s="416" t="s">
        <v>478</v>
      </c>
      <c r="B73" s="39" t="s">
        <v>13</v>
      </c>
      <c r="C73" s="6"/>
      <c r="D73" s="40">
        <f t="shared" si="13"/>
        <v>76227</v>
      </c>
      <c r="E73" s="40"/>
      <c r="F73" s="40">
        <f>-CF!M235-CF!M236-CF!M237</f>
        <v>178248.63337299999</v>
      </c>
      <c r="G73" s="42">
        <f>D73-F73</f>
        <v>-102021.63337299999</v>
      </c>
      <c r="H73" s="43">
        <f>G73/D73*100</f>
        <v>-133.83923461896703</v>
      </c>
      <c r="I73" s="7"/>
      <c r="J73" s="8">
        <v>8204159048</v>
      </c>
      <c r="K73" s="14"/>
      <c r="L73" s="14">
        <v>0</v>
      </c>
      <c r="M73" s="16"/>
      <c r="N73" s="15"/>
      <c r="O73" s="15">
        <f>+J73+L73+M73</f>
        <v>8204159048</v>
      </c>
    </row>
    <row r="74" spans="1:16" s="28" customFormat="1" ht="15.5" thickBot="1" x14ac:dyDescent="0.35">
      <c r="A74" s="416" t="s">
        <v>479</v>
      </c>
      <c r="B74" s="39" t="s">
        <v>14</v>
      </c>
      <c r="C74" s="6"/>
      <c r="D74" s="40">
        <f t="shared" si="13"/>
        <v>177197</v>
      </c>
      <c r="E74" s="40"/>
      <c r="F74" s="40">
        <f t="shared" ref="F74" si="29">F36/1000000</f>
        <v>86466.442995999998</v>
      </c>
      <c r="G74" s="40">
        <f>D74-F74</f>
        <v>90730.557004000002</v>
      </c>
      <c r="H74" s="41">
        <f>G74/D74*100</f>
        <v>51.203212810600633</v>
      </c>
      <c r="I74" s="7"/>
      <c r="J74" s="8">
        <f>114290628049+61791318960+7344989114+750000000</f>
        <v>184176936123</v>
      </c>
      <c r="K74" s="14"/>
      <c r="L74" s="14"/>
      <c r="M74" s="16"/>
      <c r="N74" s="15"/>
      <c r="O74" s="15">
        <f>+J74+L74+M74</f>
        <v>184176936123</v>
      </c>
    </row>
    <row r="75" spans="1:16" s="28" customFormat="1" ht="15.5" thickBot="1" x14ac:dyDescent="0.35">
      <c r="A75" s="39"/>
      <c r="B75" s="39" t="s">
        <v>15</v>
      </c>
      <c r="C75" s="6">
        <v>4357700</v>
      </c>
      <c r="D75" s="40">
        <f t="shared" si="13"/>
        <v>64276.074999999997</v>
      </c>
      <c r="E75" s="40">
        <v>2410000</v>
      </c>
      <c r="F75" s="40">
        <f t="shared" ref="F75" si="30">F37/1000000</f>
        <v>34945</v>
      </c>
      <c r="G75" s="40">
        <f>D75-F75</f>
        <v>29331.074999999997</v>
      </c>
      <c r="H75" s="41">
        <f>G75/D75*100</f>
        <v>45.63295907536358</v>
      </c>
      <c r="I75" s="7"/>
      <c r="J75" s="8">
        <f>100000000+100000000+5212921680+3341281136+20920150762+3565949491-817131521</f>
        <v>32423171548</v>
      </c>
      <c r="K75" s="14"/>
      <c r="L75" s="14"/>
      <c r="M75" s="16"/>
      <c r="N75" s="15"/>
      <c r="O75" s="15">
        <f>+J75+L75+M75</f>
        <v>32423171548</v>
      </c>
    </row>
    <row r="76" spans="1:16" s="27" customFormat="1" ht="15.5" thickBot="1" x14ac:dyDescent="0.35">
      <c r="A76" s="58"/>
      <c r="B76" s="58" t="s">
        <v>85</v>
      </c>
      <c r="C76" s="59">
        <f ca="1">+C72+C59</f>
        <v>93360930</v>
      </c>
      <c r="D76" s="59">
        <f>D75+D74+D73+D59+D72</f>
        <v>3444910.7174999998</v>
      </c>
      <c r="E76" s="59">
        <f ca="1">+E72+E59</f>
        <v>77677000</v>
      </c>
      <c r="F76" s="59">
        <f>F75+F74+F73+F59+F72</f>
        <v>3293850.9141549999</v>
      </c>
      <c r="G76" s="59">
        <f t="shared" ref="G76" si="31">D76-F76</f>
        <v>151059.80334499991</v>
      </c>
      <c r="H76" s="60">
        <f t="shared" ref="H76" si="32">G76/D76*100</f>
        <v>4.385013596364705</v>
      </c>
      <c r="I76" s="9">
        <f ca="1">+I72+I59</f>
        <v>71503650</v>
      </c>
      <c r="J76" s="10">
        <f ca="1">+J72+J59</f>
        <v>2812242165037</v>
      </c>
      <c r="K76" s="13">
        <f>+SUM(K61:K72)</f>
        <v>3763350</v>
      </c>
      <c r="L76" s="13">
        <f>+SUM(L61:L72)</f>
        <v>50673690936.579254</v>
      </c>
      <c r="M76" s="21">
        <f>+SUM(M61:M72)</f>
        <v>-55509262292.8442</v>
      </c>
      <c r="N76" s="22">
        <f>+SUM(N61:N72)</f>
        <v>75267000</v>
      </c>
      <c r="O76" s="22">
        <f>+SUM(O61:O72)</f>
        <v>1213520.6692503358</v>
      </c>
    </row>
    <row r="77" spans="1:16" s="28" customFormat="1" x14ac:dyDescent="0.3">
      <c r="C77" s="3"/>
      <c r="D77" s="3"/>
      <c r="E77" s="3"/>
      <c r="F77" s="61"/>
      <c r="G77" s="3"/>
      <c r="H77" s="24"/>
      <c r="I77" s="3"/>
      <c r="J77" s="3"/>
    </row>
    <row r="78" spans="1:16" s="28" customFormat="1" x14ac:dyDescent="0.3">
      <c r="C78" s="3"/>
      <c r="D78" s="3"/>
      <c r="E78" s="3"/>
      <c r="F78" s="3"/>
      <c r="G78" s="3"/>
      <c r="H78" s="24"/>
      <c r="I78" s="3"/>
      <c r="J78" s="3"/>
    </row>
    <row r="79" spans="1:16" s="28" customFormat="1" ht="15.5" thickBot="1" x14ac:dyDescent="0.35">
      <c r="C79" s="3"/>
      <c r="D79" s="3"/>
      <c r="E79" s="3"/>
      <c r="F79" s="3"/>
      <c r="G79" s="3"/>
      <c r="H79" s="24"/>
      <c r="I79" s="3"/>
      <c r="J79" s="3"/>
    </row>
    <row r="80" spans="1:16" s="28" customFormat="1" ht="15.5" thickBot="1" x14ac:dyDescent="0.35">
      <c r="B80" s="28" t="s">
        <v>43</v>
      </c>
      <c r="C80" s="3"/>
      <c r="D80" s="3"/>
      <c r="E80" s="3"/>
      <c r="F80" s="31">
        <v>68314691206</v>
      </c>
      <c r="G80" s="3"/>
      <c r="H80" s="32"/>
      <c r="I80" s="3"/>
      <c r="J80" s="29"/>
    </row>
    <row r="81" spans="2:10" s="28" customFormat="1" ht="15.5" x14ac:dyDescent="0.35">
      <c r="B81" s="28" t="s">
        <v>44</v>
      </c>
      <c r="C81" s="3"/>
      <c r="D81" s="3"/>
      <c r="E81" s="3"/>
      <c r="F81" s="63">
        <v>28787674450</v>
      </c>
      <c r="G81" s="3"/>
      <c r="H81" s="32"/>
      <c r="I81" s="3"/>
      <c r="J81" s="29"/>
    </row>
    <row r="82" spans="2:10" s="28" customFormat="1" ht="15.5" x14ac:dyDescent="0.35">
      <c r="B82" s="28" t="s">
        <v>45</v>
      </c>
      <c r="C82" s="3"/>
      <c r="D82" s="3"/>
      <c r="E82" s="3"/>
      <c r="F82" s="64">
        <v>6854138400</v>
      </c>
      <c r="G82" s="3"/>
      <c r="H82" s="32"/>
      <c r="I82" s="3"/>
      <c r="J82" s="29"/>
    </row>
    <row r="83" spans="2:10" s="28" customFormat="1" ht="15.5" x14ac:dyDescent="0.35">
      <c r="B83" s="62" t="s">
        <v>167</v>
      </c>
      <c r="C83" s="3"/>
      <c r="D83" s="3"/>
      <c r="E83" s="3"/>
      <c r="F83" s="63">
        <f>SUM(F80:F82)</f>
        <v>103956504056</v>
      </c>
      <c r="G83" s="3"/>
      <c r="H83" s="32"/>
      <c r="I83" s="3"/>
      <c r="J83" s="29"/>
    </row>
  </sheetData>
  <mergeCells count="17">
    <mergeCell ref="A9:A10"/>
    <mergeCell ref="A47:A48"/>
    <mergeCell ref="B47:B48"/>
    <mergeCell ref="C47:D47"/>
    <mergeCell ref="G47:H47"/>
    <mergeCell ref="I47:J47"/>
    <mergeCell ref="K47:L47"/>
    <mergeCell ref="M47:M48"/>
    <mergeCell ref="N47:O48"/>
    <mergeCell ref="M9:M10"/>
    <mergeCell ref="N9:O10"/>
    <mergeCell ref="B7:H7"/>
    <mergeCell ref="K9:L9"/>
    <mergeCell ref="C9:D9"/>
    <mergeCell ref="B9:B10"/>
    <mergeCell ref="I9:J9"/>
    <mergeCell ref="G9:H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2424-0FB7-4ED7-B1E9-C901F779DC3E}">
  <sheetPr>
    <tabColor theme="5" tint="-0.249977111117893"/>
  </sheetPr>
  <dimension ref="B3:O56"/>
  <sheetViews>
    <sheetView showGridLines="0" topLeftCell="A34" workbookViewId="0">
      <selection activeCell="C54" sqref="C54"/>
    </sheetView>
  </sheetViews>
  <sheetFormatPr defaultRowHeight="14.5" x14ac:dyDescent="0.35"/>
  <cols>
    <col min="2" max="2" width="4.7265625" customWidth="1"/>
    <col min="3" max="3" width="18.81640625" customWidth="1"/>
    <col min="4" max="4" width="9.81640625" style="374" bestFit="1" customWidth="1"/>
    <col min="5" max="5" width="11.1796875" style="374" bestFit="1" customWidth="1"/>
    <col min="6" max="6" width="11.7265625" customWidth="1"/>
    <col min="7" max="7" width="13.36328125" style="374" bestFit="1" customWidth="1"/>
    <col min="8" max="8" width="9.81640625" style="374" bestFit="1" customWidth="1"/>
    <col min="9" max="9" width="9.81640625" style="374" customWidth="1"/>
    <col min="10" max="10" width="9.81640625" hidden="1" customWidth="1"/>
    <col min="11" max="12" width="9.81640625" style="374" hidden="1" customWidth="1"/>
    <col min="13" max="13" width="9.81640625" bestFit="1" customWidth="1"/>
    <col min="15" max="15" width="9.81640625" bestFit="1" customWidth="1"/>
  </cols>
  <sheetData>
    <row r="3" spans="2:15" s="376" customFormat="1" x14ac:dyDescent="0.35">
      <c r="C3" s="559" t="s">
        <v>468</v>
      </c>
      <c r="D3" s="559" t="s">
        <v>456</v>
      </c>
      <c r="E3" s="559" t="s">
        <v>457</v>
      </c>
      <c r="F3" s="559" t="s">
        <v>458</v>
      </c>
      <c r="G3" s="559" t="s">
        <v>22</v>
      </c>
      <c r="H3" s="374"/>
      <c r="I3" s="374"/>
      <c r="J3"/>
      <c r="K3" s="374"/>
      <c r="L3" s="374"/>
      <c r="M3"/>
      <c r="N3"/>
      <c r="O3"/>
    </row>
    <row r="4" spans="2:15" s="376" customFormat="1" x14ac:dyDescent="0.35">
      <c r="C4" s="559"/>
      <c r="D4" s="559"/>
      <c r="E4" s="559"/>
      <c r="F4" s="559"/>
      <c r="G4" s="559"/>
      <c r="H4" s="374"/>
      <c r="I4" s="374"/>
      <c r="J4"/>
      <c r="K4" s="374"/>
      <c r="L4" s="374"/>
      <c r="M4"/>
      <c r="N4"/>
      <c r="O4"/>
    </row>
    <row r="5" spans="2:15" s="376" customFormat="1" x14ac:dyDescent="0.35">
      <c r="C5" s="559"/>
      <c r="D5" s="559"/>
      <c r="E5" s="559"/>
      <c r="F5" s="559"/>
      <c r="G5" s="559"/>
      <c r="H5" s="374"/>
      <c r="I5" s="374"/>
      <c r="J5"/>
      <c r="K5" s="374"/>
      <c r="L5" s="374"/>
      <c r="M5"/>
      <c r="N5"/>
      <c r="O5"/>
    </row>
    <row r="6" spans="2:15" s="376" customFormat="1" x14ac:dyDescent="0.35">
      <c r="C6" s="392" t="s">
        <v>454</v>
      </c>
      <c r="D6" s="383"/>
      <c r="E6" s="383"/>
      <c r="F6" s="384"/>
      <c r="G6" s="384"/>
      <c r="H6" s="374"/>
      <c r="I6" s="374"/>
      <c r="J6"/>
      <c r="K6" s="374"/>
      <c r="L6" s="374"/>
      <c r="M6"/>
      <c r="N6"/>
      <c r="O6"/>
    </row>
    <row r="7" spans="2:15" x14ac:dyDescent="0.35">
      <c r="C7" s="387" t="s">
        <v>355</v>
      </c>
      <c r="D7" s="388">
        <f>RAB!D59</f>
        <v>1702412</v>
      </c>
      <c r="E7" s="388">
        <f>RAB!F59</f>
        <v>1780670.168536</v>
      </c>
      <c r="F7" s="401">
        <f>D7-E7</f>
        <v>-78258.168535999954</v>
      </c>
      <c r="G7" s="418">
        <f>F7/D7*100</f>
        <v>-4.5968994894302879</v>
      </c>
    </row>
    <row r="8" spans="2:15" x14ac:dyDescent="0.35">
      <c r="C8" s="385" t="s">
        <v>455</v>
      </c>
      <c r="D8" s="386">
        <f>RAB!D72</f>
        <v>1424798.6424999998</v>
      </c>
      <c r="E8" s="386">
        <f>RAB!F72</f>
        <v>1213520.66925</v>
      </c>
      <c r="F8" s="389">
        <f t="shared" ref="F8:F10" si="0">D8-E8</f>
        <v>211277.97324999981</v>
      </c>
      <c r="G8" s="419">
        <f>F8/D8*100</f>
        <v>14.828619774600876</v>
      </c>
    </row>
    <row r="9" spans="2:15" x14ac:dyDescent="0.35">
      <c r="C9" s="399" t="s">
        <v>13</v>
      </c>
      <c r="D9" s="400">
        <f>RAB!D73</f>
        <v>76227</v>
      </c>
      <c r="E9" s="400">
        <f>RAB!F73</f>
        <v>178248.63337299999</v>
      </c>
      <c r="F9" s="401">
        <f t="shared" si="0"/>
        <v>-102021.63337299999</v>
      </c>
      <c r="G9" s="402">
        <f t="shared" ref="G9" si="1">F9/D9*100</f>
        <v>-133.83923461896703</v>
      </c>
    </row>
    <row r="10" spans="2:15" x14ac:dyDescent="0.35">
      <c r="C10" s="399" t="s">
        <v>463</v>
      </c>
      <c r="D10" s="400">
        <f>RAB!D74+RAB!D75</f>
        <v>241473.07500000001</v>
      </c>
      <c r="E10" s="400">
        <f>RAB!F74+RAB!F75</f>
        <v>121411.442996</v>
      </c>
      <c r="F10" s="389">
        <f t="shared" si="0"/>
        <v>120061.63200400001</v>
      </c>
      <c r="G10" s="418">
        <f>F10/D10*100</f>
        <v>49.720504865397523</v>
      </c>
    </row>
    <row r="11" spans="2:15" x14ac:dyDescent="0.35">
      <c r="C11" s="390" t="s">
        <v>167</v>
      </c>
      <c r="D11" s="391">
        <f>SUM(D7:D10)</f>
        <v>3444910.7175000003</v>
      </c>
      <c r="E11" s="391">
        <f>SUM(E7:E10)</f>
        <v>3293850.9141550004</v>
      </c>
      <c r="F11" s="391">
        <f>SUM(F7:F10)</f>
        <v>151059.80334499988</v>
      </c>
      <c r="G11" s="418">
        <f>F11/D11*100</f>
        <v>4.3850135963647032</v>
      </c>
    </row>
    <row r="12" spans="2:15" x14ac:dyDescent="0.35">
      <c r="N12" s="374"/>
      <c r="O12" s="375"/>
    </row>
    <row r="13" spans="2:15" x14ac:dyDescent="0.35">
      <c r="N13" s="374"/>
      <c r="O13" s="375"/>
    </row>
    <row r="14" spans="2:15" hidden="1" x14ac:dyDescent="0.35">
      <c r="C14" s="559" t="s">
        <v>468</v>
      </c>
      <c r="D14" s="560" t="s">
        <v>459</v>
      </c>
      <c r="E14" s="560"/>
      <c r="F14" s="560"/>
      <c r="G14" s="560"/>
      <c r="H14" s="560"/>
      <c r="I14" s="560"/>
      <c r="J14" s="560"/>
      <c r="K14" s="560"/>
      <c r="L14" s="560"/>
      <c r="N14" s="374"/>
      <c r="O14" s="375"/>
    </row>
    <row r="15" spans="2:15" x14ac:dyDescent="0.35">
      <c r="B15" s="556" t="s">
        <v>174</v>
      </c>
      <c r="C15" s="559"/>
      <c r="D15" s="561" t="s">
        <v>460</v>
      </c>
      <c r="E15" s="561"/>
      <c r="F15" s="562" t="s">
        <v>167</v>
      </c>
      <c r="G15" s="561" t="s">
        <v>461</v>
      </c>
      <c r="H15" s="561"/>
      <c r="I15" s="562" t="s">
        <v>167</v>
      </c>
      <c r="J15" s="561" t="s">
        <v>464</v>
      </c>
      <c r="K15" s="561"/>
      <c r="L15" s="562" t="s">
        <v>167</v>
      </c>
      <c r="N15" s="374"/>
      <c r="O15" s="375"/>
    </row>
    <row r="16" spans="2:15" x14ac:dyDescent="0.35">
      <c r="B16" s="556"/>
      <c r="C16" s="559"/>
      <c r="D16" s="396" t="s">
        <v>462</v>
      </c>
      <c r="E16" s="396" t="s">
        <v>463</v>
      </c>
      <c r="F16" s="562"/>
      <c r="G16" s="396" t="s">
        <v>462</v>
      </c>
      <c r="H16" s="396" t="s">
        <v>463</v>
      </c>
      <c r="I16" s="562"/>
      <c r="J16" s="396" t="s">
        <v>462</v>
      </c>
      <c r="K16" s="397" t="s">
        <v>463</v>
      </c>
      <c r="L16" s="562"/>
      <c r="N16" s="374"/>
      <c r="O16" s="375"/>
    </row>
    <row r="17" spans="2:12" x14ac:dyDescent="0.35">
      <c r="B17" s="530" t="s">
        <v>207</v>
      </c>
      <c r="C17" s="414" t="s">
        <v>465</v>
      </c>
      <c r="D17" s="403"/>
      <c r="E17" s="403"/>
      <c r="F17" s="404"/>
      <c r="G17" s="379"/>
      <c r="H17" s="379"/>
      <c r="I17" s="379"/>
      <c r="J17" s="380"/>
      <c r="K17" s="379"/>
      <c r="L17" s="379"/>
    </row>
    <row r="18" spans="2:12" x14ac:dyDescent="0.35">
      <c r="B18" s="531" t="s">
        <v>576</v>
      </c>
      <c r="C18" s="392" t="s">
        <v>466</v>
      </c>
      <c r="D18" s="381"/>
      <c r="E18" s="381"/>
      <c r="F18" s="381"/>
      <c r="G18" s="381"/>
      <c r="H18" s="381"/>
      <c r="I18" s="382">
        <f>CF!M227</f>
        <v>1222464</v>
      </c>
      <c r="J18" s="381"/>
      <c r="K18" s="381"/>
      <c r="L18" s="381"/>
    </row>
    <row r="19" spans="2:12" x14ac:dyDescent="0.35">
      <c r="B19" s="531" t="s">
        <v>577</v>
      </c>
      <c r="C19" s="392" t="s">
        <v>467</v>
      </c>
      <c r="D19" s="381"/>
      <c r="E19" s="381"/>
      <c r="F19" s="381"/>
      <c r="G19" s="381"/>
      <c r="H19" s="381"/>
      <c r="I19" s="381"/>
      <c r="J19" s="381"/>
      <c r="K19" s="381"/>
      <c r="L19" s="381"/>
    </row>
    <row r="20" spans="2:12" x14ac:dyDescent="0.35">
      <c r="B20" s="532"/>
      <c r="C20" s="387" t="s">
        <v>355</v>
      </c>
      <c r="D20" s="388">
        <v>1000000</v>
      </c>
      <c r="E20" s="388">
        <v>152000</v>
      </c>
      <c r="F20" s="388">
        <f>E20+D20</f>
        <v>1152000</v>
      </c>
      <c r="G20" s="394">
        <f>D20</f>
        <v>1000000</v>
      </c>
      <c r="H20" s="388">
        <v>105182</v>
      </c>
      <c r="I20" s="388">
        <f>H20+G20</f>
        <v>1105182</v>
      </c>
      <c r="J20" s="394">
        <f>D20-G20</f>
        <v>0</v>
      </c>
      <c r="K20" s="394">
        <f>E20-H20</f>
        <v>46818</v>
      </c>
      <c r="L20" s="394">
        <f>K20+J20</f>
        <v>46818</v>
      </c>
    </row>
    <row r="21" spans="2:12" x14ac:dyDescent="0.35">
      <c r="B21" s="533"/>
      <c r="C21" s="411" t="s">
        <v>455</v>
      </c>
      <c r="D21" s="388">
        <f>70174*14.5</f>
        <v>1017523</v>
      </c>
      <c r="E21" s="388">
        <f>2410*14.5</f>
        <v>34945</v>
      </c>
      <c r="F21" s="388">
        <f>E21+D21</f>
        <v>1052468</v>
      </c>
      <c r="G21" s="388">
        <f>I21-H21</f>
        <v>776430.39999999991</v>
      </c>
      <c r="H21" s="388">
        <f>H22-H20</f>
        <v>15348</v>
      </c>
      <c r="I21" s="388">
        <f>I22-I20</f>
        <v>791778.39999999991</v>
      </c>
      <c r="J21" s="394">
        <f t="shared" ref="J21" si="2">D21-G21</f>
        <v>241092.60000000009</v>
      </c>
      <c r="K21" s="394">
        <f t="shared" ref="K21" si="3">E21-H21</f>
        <v>19597</v>
      </c>
      <c r="L21" s="394">
        <f>K21+J21</f>
        <v>260689.60000000009</v>
      </c>
    </row>
    <row r="22" spans="2:12" x14ac:dyDescent="0.35">
      <c r="B22" s="532"/>
      <c r="C22" s="387" t="s">
        <v>167</v>
      </c>
      <c r="D22" s="394">
        <f>D21+D20</f>
        <v>2017523</v>
      </c>
      <c r="E22" s="394">
        <f>E21+E20</f>
        <v>186945</v>
      </c>
      <c r="F22" s="388">
        <f t="shared" ref="F22" si="4">E22+D22</f>
        <v>2204468</v>
      </c>
      <c r="G22" s="394">
        <v>1776430.4</v>
      </c>
      <c r="H22" s="394">
        <v>120530</v>
      </c>
      <c r="I22" s="395">
        <f>H22+G22</f>
        <v>1896960.4</v>
      </c>
      <c r="J22" s="394">
        <f>J21+J20</f>
        <v>241092.60000000009</v>
      </c>
      <c r="K22" s="394">
        <f>K21+K20</f>
        <v>66415</v>
      </c>
      <c r="L22" s="394">
        <f t="shared" ref="L22" si="5">K22+J22</f>
        <v>307507.60000000009</v>
      </c>
    </row>
    <row r="23" spans="2:12" x14ac:dyDescent="0.35">
      <c r="B23" s="534"/>
      <c r="C23" s="413" t="s">
        <v>471</v>
      </c>
      <c r="D23" s="400"/>
      <c r="E23" s="400"/>
      <c r="F23" s="400"/>
      <c r="G23" s="399"/>
      <c r="H23" s="400"/>
      <c r="I23" s="410">
        <f>I22+I18</f>
        <v>3119424.4</v>
      </c>
      <c r="J23" s="393"/>
      <c r="K23" s="391"/>
      <c r="L23" s="393"/>
    </row>
    <row r="24" spans="2:12" x14ac:dyDescent="0.35">
      <c r="B24" s="557" t="s">
        <v>578</v>
      </c>
      <c r="C24" s="563" t="s">
        <v>469</v>
      </c>
      <c r="D24" s="400"/>
      <c r="E24" s="400"/>
      <c r="F24" s="400"/>
      <c r="G24" s="399"/>
      <c r="H24" s="400"/>
      <c r="I24" s="554">
        <f>CF!M243</f>
        <v>66846.944642000002</v>
      </c>
      <c r="J24" s="527"/>
      <c r="K24" s="409"/>
      <c r="L24" s="408"/>
    </row>
    <row r="25" spans="2:12" x14ac:dyDescent="0.35">
      <c r="B25" s="558"/>
      <c r="C25" s="564"/>
      <c r="D25" s="407"/>
      <c r="E25" s="407"/>
      <c r="F25" s="407"/>
      <c r="G25" s="406"/>
      <c r="H25" s="407"/>
      <c r="I25" s="555"/>
      <c r="J25" s="408"/>
      <c r="K25" s="409"/>
      <c r="L25" s="408"/>
    </row>
    <row r="26" spans="2:12" x14ac:dyDescent="0.35">
      <c r="B26" s="439"/>
      <c r="C26" s="426" t="s">
        <v>470</v>
      </c>
      <c r="D26" s="427"/>
      <c r="E26" s="427"/>
      <c r="F26" s="427"/>
      <c r="G26" s="428"/>
      <c r="H26" s="427"/>
      <c r="I26" s="429">
        <f>I24+I23</f>
        <v>3186271.3446419998</v>
      </c>
      <c r="J26" s="408"/>
      <c r="K26" s="409"/>
      <c r="L26" s="408"/>
    </row>
    <row r="27" spans="2:12" x14ac:dyDescent="0.35">
      <c r="B27" s="530" t="s">
        <v>216</v>
      </c>
      <c r="C27" s="414" t="s">
        <v>480</v>
      </c>
      <c r="D27" s="381"/>
      <c r="E27" s="381"/>
      <c r="F27" s="381"/>
      <c r="G27" s="381"/>
      <c r="H27" s="381"/>
      <c r="I27" s="412"/>
    </row>
    <row r="28" spans="2:12" x14ac:dyDescent="0.35">
      <c r="B28" s="532" t="s">
        <v>579</v>
      </c>
      <c r="C28" s="387" t="s">
        <v>355</v>
      </c>
      <c r="D28" s="381"/>
      <c r="E28" s="381"/>
      <c r="F28" s="381"/>
      <c r="G28" s="381"/>
      <c r="H28" s="381"/>
      <c r="I28" s="388">
        <f>-CF!M195+28213</f>
        <v>1657378.2052859999</v>
      </c>
    </row>
    <row r="29" spans="2:12" x14ac:dyDescent="0.35">
      <c r="B29" s="533" t="s">
        <v>581</v>
      </c>
      <c r="C29" s="411" t="s">
        <v>455</v>
      </c>
      <c r="D29" s="381"/>
      <c r="E29" s="381"/>
      <c r="F29" s="381"/>
      <c r="G29" s="381"/>
      <c r="H29" s="381"/>
      <c r="I29" s="405">
        <f>-CF!M219</f>
        <v>1174157.3357780003</v>
      </c>
      <c r="J29" s="375"/>
    </row>
    <row r="30" spans="2:12" x14ac:dyDescent="0.35">
      <c r="B30" s="532" t="s">
        <v>580</v>
      </c>
      <c r="C30" s="387" t="s">
        <v>13</v>
      </c>
      <c r="D30" s="381"/>
      <c r="E30" s="381"/>
      <c r="F30" s="381"/>
      <c r="G30" s="381"/>
      <c r="H30" s="381"/>
      <c r="I30" s="388">
        <f>-CF!M235-CF!M236-CF!M237+174</f>
        <v>178422.63337299999</v>
      </c>
    </row>
    <row r="31" spans="2:12" x14ac:dyDescent="0.35">
      <c r="B31" s="535" t="s">
        <v>582</v>
      </c>
      <c r="C31" s="399" t="s">
        <v>463</v>
      </c>
      <c r="D31" s="381"/>
      <c r="E31" s="381"/>
      <c r="F31" s="381"/>
      <c r="G31" s="381"/>
      <c r="H31" s="381"/>
      <c r="I31" s="400">
        <f>H22</f>
        <v>120530</v>
      </c>
    </row>
    <row r="32" spans="2:12" x14ac:dyDescent="0.35">
      <c r="B32" s="528"/>
      <c r="C32" s="430" t="s">
        <v>167</v>
      </c>
      <c r="D32" s="431"/>
      <c r="E32" s="431"/>
      <c r="F32" s="431"/>
      <c r="G32" s="431"/>
      <c r="H32" s="431"/>
      <c r="I32" s="415">
        <f>SUM(I28:I31)</f>
        <v>3130488.1744370004</v>
      </c>
    </row>
    <row r="33" spans="2:12" x14ac:dyDescent="0.35">
      <c r="B33" s="529">
        <v>3</v>
      </c>
      <c r="C33" s="432" t="s">
        <v>472</v>
      </c>
      <c r="D33" s="433"/>
      <c r="E33" s="433"/>
      <c r="F33" s="434"/>
      <c r="G33" s="433"/>
      <c r="H33" s="433"/>
      <c r="I33" s="433">
        <f>I26-I32</f>
        <v>55783.170204999391</v>
      </c>
    </row>
    <row r="34" spans="2:12" x14ac:dyDescent="0.35">
      <c r="I34" s="374">
        <f>CF!M248</f>
        <v>119416.55092099996</v>
      </c>
      <c r="J34">
        <f>55783</f>
        <v>55783</v>
      </c>
      <c r="K34" s="374">
        <f>J34-I33</f>
        <v>-0.17020499939098954</v>
      </c>
    </row>
    <row r="35" spans="2:12" s="424" customFormat="1" x14ac:dyDescent="0.35">
      <c r="D35" s="425"/>
      <c r="E35" s="425"/>
      <c r="G35" s="425"/>
      <c r="H35" s="425"/>
      <c r="I35" s="425">
        <f>I33-I34</f>
        <v>-63633.380716000567</v>
      </c>
      <c r="K35" s="425"/>
      <c r="L35" s="425"/>
    </row>
    <row r="38" spans="2:12" x14ac:dyDescent="0.35">
      <c r="C38" t="str">
        <f>C6</f>
        <v>Nilai Investasi</v>
      </c>
      <c r="F38" s="374">
        <f>D11</f>
        <v>3444910.7175000003</v>
      </c>
    </row>
    <row r="39" spans="2:12" x14ac:dyDescent="0.35">
      <c r="C39" t="s">
        <v>473</v>
      </c>
      <c r="F39" s="374">
        <f>E11</f>
        <v>3293850.9141550004</v>
      </c>
      <c r="G39" s="374">
        <f>F38-F39</f>
        <v>151059.80334499991</v>
      </c>
    </row>
    <row r="40" spans="2:12" x14ac:dyDescent="0.35">
      <c r="C40" t="s">
        <v>364</v>
      </c>
      <c r="F40" s="374">
        <f>I26</f>
        <v>3186271.3446419998</v>
      </c>
    </row>
    <row r="41" spans="2:12" x14ac:dyDescent="0.35">
      <c r="C41" t="str">
        <f>C27</f>
        <v>Realisasi pengeluaran</v>
      </c>
      <c r="F41" s="374">
        <f>I32</f>
        <v>3130488.1744370004</v>
      </c>
      <c r="G41" s="374">
        <f>F39-F41</f>
        <v>163362.73971799994</v>
      </c>
    </row>
    <row r="42" spans="2:12" x14ac:dyDescent="0.35">
      <c r="C42" t="s">
        <v>472</v>
      </c>
      <c r="F42" s="374">
        <f>F40-F41</f>
        <v>55783.170204999391</v>
      </c>
    </row>
    <row r="43" spans="2:12" x14ac:dyDescent="0.35">
      <c r="F43" s="374"/>
    </row>
    <row r="44" spans="2:12" x14ac:dyDescent="0.35">
      <c r="C44" t="str">
        <f>C39</f>
        <v>Nilai Kontrak</v>
      </c>
      <c r="F44" s="420">
        <f>F39</f>
        <v>3293850.9141550004</v>
      </c>
      <c r="G44" s="374">
        <f>E56+F45</f>
        <v>3321305.9953110004</v>
      </c>
      <c r="H44" s="374">
        <f>F44-G44</f>
        <v>-27455.081156000029</v>
      </c>
    </row>
    <row r="45" spans="2:12" x14ac:dyDescent="0.35">
      <c r="C45" t="str">
        <f>C41</f>
        <v>Realisasi pengeluaran</v>
      </c>
      <c r="F45" s="374">
        <f>F41</f>
        <v>3130488.1744370004</v>
      </c>
    </row>
    <row r="46" spans="2:12" x14ac:dyDescent="0.35">
      <c r="C46" t="s">
        <v>474</v>
      </c>
      <c r="F46" s="374">
        <f>F44-F45</f>
        <v>163362.73971799994</v>
      </c>
    </row>
    <row r="47" spans="2:12" x14ac:dyDescent="0.35">
      <c r="F47" s="375">
        <f>E56-F46</f>
        <v>27455.081156000029</v>
      </c>
    </row>
    <row r="48" spans="2:12" x14ac:dyDescent="0.35">
      <c r="C48" t="s">
        <v>481</v>
      </c>
    </row>
    <row r="49" spans="3:6" x14ac:dyDescent="0.35">
      <c r="C49" t="s">
        <v>482</v>
      </c>
      <c r="E49" s="374">
        <f>-RAB!J51/1000000</f>
        <v>79849.408374000006</v>
      </c>
    </row>
    <row r="50" spans="3:6" x14ac:dyDescent="0.35">
      <c r="C50" t="s">
        <v>483</v>
      </c>
      <c r="E50" s="374">
        <v>52640</v>
      </c>
    </row>
    <row r="51" spans="3:6" x14ac:dyDescent="0.35">
      <c r="C51" t="str">
        <f>RAB!B61</f>
        <v>Ship To Shore (STS) Crane</v>
      </c>
      <c r="E51" s="374">
        <f>RAB!L61/1000000</f>
        <v>25603.05</v>
      </c>
    </row>
    <row r="52" spans="3:6" x14ac:dyDescent="0.35">
      <c r="C52" t="str">
        <f>RAB!B62</f>
        <v>Automatic Rubber Tyred Gantry (ARTG) Crane</v>
      </c>
      <c r="E52" s="374">
        <f>RAB!L62/1000000</f>
        <v>20797.5</v>
      </c>
      <c r="F52" s="375">
        <f>E52+E51+E54</f>
        <v>53341.162500000006</v>
      </c>
    </row>
    <row r="53" spans="3:6" x14ac:dyDescent="0.35">
      <c r="C53" t="str">
        <f>RAB!B63</f>
        <v>Terminal Tractor</v>
      </c>
      <c r="E53" s="374">
        <f>RAB!L63/1000000</f>
        <v>2168.25</v>
      </c>
    </row>
    <row r="54" spans="3:6" x14ac:dyDescent="0.35">
      <c r="C54" t="str">
        <f>RAB!B64</f>
        <v>Terminal Operating System (TOS)</v>
      </c>
      <c r="E54" s="374">
        <f>RAB!L64/1000000</f>
        <v>6940.6125000000002</v>
      </c>
    </row>
    <row r="55" spans="3:6" x14ac:dyDescent="0.35">
      <c r="C55" t="s">
        <v>484</v>
      </c>
      <c r="E55" s="374">
        <v>2819</v>
      </c>
    </row>
    <row r="56" spans="3:6" x14ac:dyDescent="0.35">
      <c r="C56" s="377" t="s">
        <v>167</v>
      </c>
      <c r="D56" s="382"/>
      <c r="E56" s="382">
        <f>SUM(E49:E55)</f>
        <v>190817.82087399997</v>
      </c>
      <c r="F56" s="375"/>
    </row>
  </sheetData>
  <mergeCells count="17">
    <mergeCell ref="C24:C25"/>
    <mergeCell ref="I24:I25"/>
    <mergeCell ref="B15:B16"/>
    <mergeCell ref="B24:B25"/>
    <mergeCell ref="F3:F5"/>
    <mergeCell ref="D14:L14"/>
    <mergeCell ref="D15:E15"/>
    <mergeCell ref="F15:F16"/>
    <mergeCell ref="G15:H15"/>
    <mergeCell ref="I15:I16"/>
    <mergeCell ref="J15:K15"/>
    <mergeCell ref="L15:L16"/>
    <mergeCell ref="D3:D5"/>
    <mergeCell ref="E3:E5"/>
    <mergeCell ref="C3:C5"/>
    <mergeCell ref="C14:C16"/>
    <mergeCell ref="G3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ABE3-0485-41FF-B713-4B8BB9DE440E}">
  <dimension ref="B1:V267"/>
  <sheetViews>
    <sheetView showGridLines="0" topLeftCell="A222" workbookViewId="0">
      <selection activeCell="Q237" sqref="Q237:U255"/>
    </sheetView>
  </sheetViews>
  <sheetFormatPr defaultColWidth="9.08984375" defaultRowHeight="11.5" x14ac:dyDescent="0.25"/>
  <cols>
    <col min="1" max="1" width="4.6328125" style="249" customWidth="1"/>
    <col min="2" max="2" width="41.81640625" style="249" customWidth="1"/>
    <col min="3" max="5" width="9.08984375" style="249" hidden="1" customWidth="1"/>
    <col min="6" max="8" width="10.08984375" style="249" hidden="1" customWidth="1"/>
    <col min="9" max="9" width="11.08984375" style="249" hidden="1" customWidth="1"/>
    <col min="10" max="10" width="14.08984375" style="249" hidden="1" customWidth="1"/>
    <col min="11" max="11" width="0.7265625" style="249" hidden="1" customWidth="1"/>
    <col min="12" max="12" width="12.6328125" style="249" hidden="1" customWidth="1"/>
    <col min="13" max="13" width="13.08984375" style="249" customWidth="1"/>
    <col min="14" max="14" width="12.6328125" style="249" customWidth="1"/>
    <col min="15" max="15" width="14.6328125" style="249" customWidth="1"/>
    <col min="16" max="16" width="21.1796875" style="262" bestFit="1" customWidth="1"/>
    <col min="17" max="17" width="17.7265625" style="249" bestFit="1" customWidth="1"/>
    <col min="18" max="18" width="11.6328125" style="249" bestFit="1" customWidth="1"/>
    <col min="19" max="19" width="4.453125" style="249" hidden="1" customWidth="1"/>
    <col min="20" max="20" width="13.81640625" style="249" customWidth="1"/>
    <col min="21" max="21" width="11.6328125" style="249" customWidth="1"/>
    <col min="22" max="16384" width="9.08984375" style="249"/>
  </cols>
  <sheetData>
    <row r="1" spans="2:17" ht="12" thickBot="1" x14ac:dyDescent="0.3"/>
    <row r="2" spans="2:17" ht="45.75" hidden="1" customHeight="1" x14ac:dyDescent="0.25">
      <c r="B2" s="263" t="s">
        <v>21</v>
      </c>
      <c r="C2" s="263" t="s">
        <v>47</v>
      </c>
      <c r="D2" s="263" t="s">
        <v>48</v>
      </c>
      <c r="E2" s="263" t="s">
        <v>49</v>
      </c>
      <c r="F2" s="263" t="s">
        <v>50</v>
      </c>
      <c r="G2" s="263" t="s">
        <v>51</v>
      </c>
      <c r="H2" s="263" t="s">
        <v>52</v>
      </c>
      <c r="I2" s="263" t="s">
        <v>53</v>
      </c>
      <c r="J2" s="263" t="s">
        <v>54</v>
      </c>
      <c r="K2" s="263"/>
      <c r="L2" s="263"/>
      <c r="M2" s="263"/>
      <c r="N2" s="263"/>
      <c r="O2" s="263" t="s">
        <v>55</v>
      </c>
    </row>
    <row r="3" spans="2:17" hidden="1" x14ac:dyDescent="0.25">
      <c r="B3" s="264" t="s">
        <v>56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</row>
    <row r="4" spans="2:17" hidden="1" x14ac:dyDescent="0.25">
      <c r="B4" s="265" t="s">
        <v>57</v>
      </c>
      <c r="C4" s="266"/>
      <c r="D4" s="266"/>
      <c r="E4" s="266"/>
      <c r="F4" s="266"/>
      <c r="G4" s="266"/>
      <c r="H4" s="266"/>
      <c r="I4" s="266"/>
      <c r="J4" s="267"/>
      <c r="K4" s="267"/>
      <c r="L4" s="267"/>
      <c r="M4" s="267"/>
      <c r="N4" s="267"/>
      <c r="O4" s="267"/>
    </row>
    <row r="5" spans="2:17" hidden="1" x14ac:dyDescent="0.25">
      <c r="B5" s="265" t="s">
        <v>58</v>
      </c>
      <c r="C5" s="266">
        <v>126000000000</v>
      </c>
      <c r="D5" s="266">
        <v>0</v>
      </c>
      <c r="E5" s="266">
        <v>133000000000</v>
      </c>
      <c r="F5" s="266">
        <v>0</v>
      </c>
      <c r="G5" s="268">
        <v>177500000000</v>
      </c>
      <c r="H5" s="266">
        <v>0</v>
      </c>
      <c r="I5" s="266">
        <v>234424000000</v>
      </c>
      <c r="J5" s="268">
        <v>184800000000</v>
      </c>
      <c r="K5" s="268"/>
      <c r="L5" s="268"/>
      <c r="M5" s="268"/>
      <c r="N5" s="268"/>
      <c r="O5" s="268">
        <f>+SUM(C5:J5)</f>
        <v>855724000000</v>
      </c>
    </row>
    <row r="6" spans="2:17" hidden="1" x14ac:dyDescent="0.25">
      <c r="B6" s="265" t="s">
        <v>59</v>
      </c>
      <c r="C6" s="266">
        <v>2250000000</v>
      </c>
      <c r="D6" s="266">
        <v>24750000000</v>
      </c>
      <c r="E6" s="266">
        <v>28500000000</v>
      </c>
      <c r="F6" s="266">
        <v>0</v>
      </c>
      <c r="G6" s="268">
        <v>16607000000</v>
      </c>
      <c r="H6" s="266">
        <v>21429000000</v>
      </c>
      <c r="I6" s="266">
        <v>0</v>
      </c>
      <c r="J6" s="268">
        <v>89834000000</v>
      </c>
      <c r="K6" s="268"/>
      <c r="L6" s="268"/>
      <c r="M6" s="268"/>
      <c r="N6" s="268"/>
      <c r="O6" s="268">
        <f t="shared" ref="O6:O7" si="0">+SUM(C6:J6)</f>
        <v>183370000000</v>
      </c>
    </row>
    <row r="7" spans="2:17" hidden="1" x14ac:dyDescent="0.25">
      <c r="B7" s="265" t="s">
        <v>60</v>
      </c>
      <c r="C7" s="266">
        <v>27000000000</v>
      </c>
      <c r="D7" s="266">
        <v>0</v>
      </c>
      <c r="E7" s="266">
        <v>28500000000</v>
      </c>
      <c r="F7" s="266">
        <v>0</v>
      </c>
      <c r="G7" s="268">
        <v>16607000000</v>
      </c>
      <c r="H7" s="266">
        <v>21429000000</v>
      </c>
      <c r="I7" s="266">
        <v>50234000000</v>
      </c>
      <c r="J7" s="268">
        <v>39600000000</v>
      </c>
      <c r="K7" s="268"/>
      <c r="L7" s="268"/>
      <c r="M7" s="268"/>
      <c r="N7" s="268"/>
      <c r="O7" s="268">
        <f t="shared" si="0"/>
        <v>183370000000</v>
      </c>
    </row>
    <row r="8" spans="2:17" hidden="1" x14ac:dyDescent="0.25">
      <c r="B8" s="269" t="s">
        <v>61</v>
      </c>
      <c r="C8" s="270">
        <f>+SUM(C5:C7)</f>
        <v>155250000000</v>
      </c>
      <c r="D8" s="270">
        <f>+SUM(D5:D7)</f>
        <v>24750000000</v>
      </c>
      <c r="E8" s="270">
        <f>+SUM(E5:E7)</f>
        <v>190000000000</v>
      </c>
      <c r="F8" s="270">
        <f t="shared" ref="F8:O8" si="1">+SUM(F5:F7)</f>
        <v>0</v>
      </c>
      <c r="G8" s="271">
        <f t="shared" si="1"/>
        <v>210714000000</v>
      </c>
      <c r="H8" s="270">
        <f t="shared" si="1"/>
        <v>42858000000</v>
      </c>
      <c r="I8" s="270">
        <f t="shared" si="1"/>
        <v>284658000000</v>
      </c>
      <c r="J8" s="271">
        <f t="shared" si="1"/>
        <v>314234000000</v>
      </c>
      <c r="K8" s="271"/>
      <c r="L8" s="271"/>
      <c r="M8" s="271"/>
      <c r="N8" s="271"/>
      <c r="O8" s="271">
        <f t="shared" si="1"/>
        <v>1222464000000</v>
      </c>
    </row>
    <row r="9" spans="2:17" hidden="1" x14ac:dyDescent="0.25">
      <c r="B9" s="265" t="s">
        <v>62</v>
      </c>
      <c r="C9" s="266">
        <v>0</v>
      </c>
      <c r="D9" s="266"/>
      <c r="E9" s="266">
        <v>0</v>
      </c>
      <c r="F9" s="266">
        <v>0</v>
      </c>
      <c r="G9" s="268">
        <v>257000000000</v>
      </c>
      <c r="H9" s="266">
        <v>360000000000</v>
      </c>
      <c r="I9" s="266">
        <v>670801129700</v>
      </c>
      <c r="J9" s="268">
        <f>523969544296-93893280</f>
        <v>523875651016</v>
      </c>
      <c r="K9" s="268"/>
      <c r="L9" s="268"/>
      <c r="M9" s="268"/>
      <c r="N9" s="268"/>
      <c r="O9" s="268">
        <f>+SUM(C9:J9)</f>
        <v>1811676780716</v>
      </c>
    </row>
    <row r="10" spans="2:17" hidden="1" x14ac:dyDescent="0.25">
      <c r="B10" s="265" t="s">
        <v>63</v>
      </c>
      <c r="C10" s="266">
        <v>174968502</v>
      </c>
      <c r="D10" s="268">
        <v>13470893733</v>
      </c>
      <c r="E10" s="266">
        <v>12141069858</v>
      </c>
      <c r="F10" s="266">
        <v>10263508383</v>
      </c>
      <c r="G10" s="268">
        <f>5764155538</f>
        <v>5764155538</v>
      </c>
      <c r="H10" s="266">
        <v>2117943924</v>
      </c>
      <c r="I10" s="266">
        <v>10488688940</v>
      </c>
      <c r="J10" s="268">
        <v>12353249764</v>
      </c>
      <c r="K10" s="268"/>
      <c r="L10" s="268"/>
      <c r="M10" s="268"/>
      <c r="N10" s="268"/>
      <c r="O10" s="268">
        <f t="shared" ref="O10:O11" si="2">+SUM(C10:J10)</f>
        <v>66774478642</v>
      </c>
    </row>
    <row r="11" spans="2:17" hidden="1" x14ac:dyDescent="0.25">
      <c r="B11" s="265" t="s">
        <v>64</v>
      </c>
      <c r="C11" s="266"/>
      <c r="D11" s="266"/>
      <c r="E11" s="266">
        <v>0</v>
      </c>
      <c r="F11" s="266">
        <v>0</v>
      </c>
      <c r="G11" s="268">
        <v>21059649748</v>
      </c>
      <c r="H11" s="266">
        <v>0</v>
      </c>
      <c r="I11" s="266">
        <v>47080941058</v>
      </c>
      <c r="J11" s="268">
        <v>0</v>
      </c>
      <c r="K11" s="268"/>
      <c r="L11" s="268"/>
      <c r="M11" s="268"/>
      <c r="N11" s="268"/>
      <c r="O11" s="268">
        <f t="shared" si="2"/>
        <v>68140590806</v>
      </c>
    </row>
    <row r="12" spans="2:17" hidden="1" x14ac:dyDescent="0.25">
      <c r="B12" s="269" t="s">
        <v>65</v>
      </c>
      <c r="C12" s="270">
        <f>+SUM(C8:C11)</f>
        <v>155424968502</v>
      </c>
      <c r="D12" s="270">
        <f>+SUM(D8:D11)</f>
        <v>38220893733</v>
      </c>
      <c r="E12" s="270">
        <f>+SUM(E8:E11)</f>
        <v>202141069858</v>
      </c>
      <c r="F12" s="270">
        <f t="shared" ref="F12:O12" si="3">+SUM(F8:F11)</f>
        <v>10263508383</v>
      </c>
      <c r="G12" s="271">
        <f t="shared" si="3"/>
        <v>494537805286</v>
      </c>
      <c r="H12" s="270">
        <f t="shared" si="3"/>
        <v>404975943924</v>
      </c>
      <c r="I12" s="270">
        <f t="shared" si="3"/>
        <v>1013028759698</v>
      </c>
      <c r="J12" s="271">
        <f t="shared" si="3"/>
        <v>850462900780</v>
      </c>
      <c r="K12" s="271"/>
      <c r="L12" s="271"/>
      <c r="M12" s="271"/>
      <c r="N12" s="271"/>
      <c r="O12" s="271">
        <f t="shared" si="3"/>
        <v>3169055850164</v>
      </c>
    </row>
    <row r="13" spans="2:17" hidden="1" x14ac:dyDescent="0.25">
      <c r="B13" s="265"/>
      <c r="C13" s="266"/>
      <c r="D13" s="266"/>
      <c r="E13" s="266"/>
      <c r="F13" s="266"/>
      <c r="G13" s="268"/>
      <c r="H13" s="266"/>
      <c r="I13" s="266"/>
      <c r="J13" s="268"/>
      <c r="K13" s="268"/>
      <c r="L13" s="268"/>
      <c r="M13" s="268"/>
      <c r="N13" s="268"/>
      <c r="O13" s="268"/>
    </row>
    <row r="14" spans="2:17" hidden="1" x14ac:dyDescent="0.25">
      <c r="B14" s="264" t="s">
        <v>66</v>
      </c>
      <c r="C14" s="266"/>
      <c r="D14" s="266"/>
      <c r="E14" s="266"/>
      <c r="F14" s="266"/>
      <c r="G14" s="268"/>
      <c r="H14" s="266"/>
      <c r="I14" s="266"/>
      <c r="J14" s="268"/>
      <c r="K14" s="268"/>
      <c r="L14" s="268"/>
      <c r="M14" s="268"/>
      <c r="N14" s="268"/>
      <c r="O14" s="268"/>
      <c r="Q14" s="250"/>
    </row>
    <row r="15" spans="2:17" hidden="1" x14ac:dyDescent="0.25">
      <c r="B15" s="269" t="s">
        <v>67</v>
      </c>
      <c r="C15" s="266"/>
      <c r="D15" s="266"/>
      <c r="E15" s="266"/>
      <c r="F15" s="266"/>
      <c r="G15" s="268"/>
      <c r="H15" s="266"/>
      <c r="I15" s="266"/>
      <c r="J15" s="268"/>
      <c r="K15" s="268"/>
      <c r="L15" s="268"/>
      <c r="M15" s="268"/>
      <c r="N15" s="268"/>
      <c r="O15" s="268"/>
    </row>
    <row r="16" spans="2:17" hidden="1" x14ac:dyDescent="0.25">
      <c r="B16" s="265" t="s">
        <v>68</v>
      </c>
      <c r="C16" s="266"/>
      <c r="D16" s="266">
        <v>63882880236</v>
      </c>
      <c r="E16" s="266">
        <v>0</v>
      </c>
      <c r="F16" s="266">
        <f>63882880236+78320167260+3035-8611343350</f>
        <v>133591707181</v>
      </c>
      <c r="G16" s="268">
        <f>427684176660-47024099645</f>
        <v>380660077015</v>
      </c>
      <c r="H16" s="266">
        <f>371204428890-40814123437</f>
        <v>330390305453</v>
      </c>
      <c r="I16" s="266">
        <f>436427797220-31316197075</f>
        <v>405111600145</v>
      </c>
      <c r="J16" s="268">
        <v>20457382430</v>
      </c>
      <c r="K16" s="268"/>
      <c r="L16" s="268"/>
      <c r="M16" s="268"/>
      <c r="N16" s="268"/>
      <c r="O16" s="268">
        <f t="shared" ref="O16:O32" si="4">+SUM(C16:J16)</f>
        <v>1334093952460</v>
      </c>
      <c r="Q16" s="272"/>
    </row>
    <row r="17" spans="2:17" hidden="1" x14ac:dyDescent="0.25">
      <c r="B17" s="265" t="s">
        <v>69</v>
      </c>
      <c r="C17" s="266"/>
      <c r="D17" s="266">
        <f>130200000</f>
        <v>130200000</v>
      </c>
      <c r="E17" s="266">
        <v>0</v>
      </c>
      <c r="F17" s="266">
        <f>125045455+17737500+53212500</f>
        <v>195995455</v>
      </c>
      <c r="G17" s="268">
        <v>120000000</v>
      </c>
      <c r="H17" s="266">
        <v>184800000</v>
      </c>
      <c r="I17" s="266">
        <f>I128</f>
        <v>559475000</v>
      </c>
      <c r="J17" s="268">
        <v>0</v>
      </c>
      <c r="K17" s="268"/>
      <c r="L17" s="268"/>
      <c r="M17" s="268"/>
      <c r="N17" s="268"/>
      <c r="O17" s="268">
        <f t="shared" si="4"/>
        <v>1190470455</v>
      </c>
      <c r="P17" s="273"/>
      <c r="Q17" s="272"/>
    </row>
    <row r="18" spans="2:17" hidden="1" x14ac:dyDescent="0.25">
      <c r="B18" s="265" t="s">
        <v>70</v>
      </c>
      <c r="C18" s="266"/>
      <c r="D18" s="266">
        <v>0</v>
      </c>
      <c r="E18" s="266">
        <v>0</v>
      </c>
      <c r="F18" s="266">
        <v>3551474231</v>
      </c>
      <c r="G18" s="268">
        <v>3490653495</v>
      </c>
      <c r="H18" s="266">
        <v>7893106587</v>
      </c>
      <c r="I18" s="266">
        <f>I127+I142</f>
        <v>3264597242</v>
      </c>
      <c r="J18" s="268">
        <f>J156+J157</f>
        <v>4288683996</v>
      </c>
      <c r="K18" s="268"/>
      <c r="L18" s="268"/>
      <c r="M18" s="268"/>
      <c r="N18" s="268"/>
      <c r="O18" s="268">
        <f t="shared" si="4"/>
        <v>22488515551</v>
      </c>
    </row>
    <row r="19" spans="2:17" hidden="1" x14ac:dyDescent="0.25">
      <c r="B19" s="265" t="s">
        <v>71</v>
      </c>
      <c r="C19" s="266"/>
      <c r="D19" s="266">
        <v>132500000</v>
      </c>
      <c r="E19" s="266">
        <v>0</v>
      </c>
      <c r="F19" s="266">
        <v>0</v>
      </c>
      <c r="G19" s="268">
        <v>90750000</v>
      </c>
      <c r="H19" s="266">
        <v>0</v>
      </c>
      <c r="I19" s="266">
        <f>I120+I129</f>
        <v>298154000</v>
      </c>
      <c r="J19" s="268"/>
      <c r="K19" s="268"/>
      <c r="L19" s="268"/>
      <c r="M19" s="268"/>
      <c r="N19" s="268"/>
      <c r="O19" s="268">
        <f t="shared" si="4"/>
        <v>521404000</v>
      </c>
    </row>
    <row r="20" spans="2:17" hidden="1" x14ac:dyDescent="0.25">
      <c r="B20" s="265" t="s">
        <v>72</v>
      </c>
      <c r="C20" s="266"/>
      <c r="D20" s="266">
        <v>0</v>
      </c>
      <c r="E20" s="266">
        <v>0</v>
      </c>
      <c r="F20" s="266">
        <v>0</v>
      </c>
      <c r="G20" s="268">
        <v>0</v>
      </c>
      <c r="H20" s="266">
        <v>0</v>
      </c>
      <c r="I20" s="266">
        <f>I121+I135</f>
        <v>262955000</v>
      </c>
      <c r="J20" s="268"/>
      <c r="K20" s="268"/>
      <c r="L20" s="268"/>
      <c r="M20" s="268"/>
      <c r="N20" s="268"/>
      <c r="O20" s="268">
        <f t="shared" si="4"/>
        <v>262955000</v>
      </c>
    </row>
    <row r="21" spans="2:17" hidden="1" x14ac:dyDescent="0.25">
      <c r="B21" s="265" t="s">
        <v>73</v>
      </c>
      <c r="C21" s="266"/>
      <c r="D21" s="266">
        <v>0</v>
      </c>
      <c r="E21" s="266">
        <v>0</v>
      </c>
      <c r="F21" s="266">
        <f>407675000+366907500+40767500</f>
        <v>815350000</v>
      </c>
      <c r="G21" s="268">
        <v>0</v>
      </c>
      <c r="H21" s="268">
        <v>745250000</v>
      </c>
      <c r="I21" s="266">
        <v>0</v>
      </c>
      <c r="J21" s="268"/>
      <c r="K21" s="268"/>
      <c r="L21" s="268"/>
      <c r="M21" s="268"/>
      <c r="N21" s="268"/>
      <c r="O21" s="268">
        <f t="shared" si="4"/>
        <v>1560600000</v>
      </c>
    </row>
    <row r="22" spans="2:17" hidden="1" x14ac:dyDescent="0.25">
      <c r="B22" s="265" t="s">
        <v>74</v>
      </c>
      <c r="C22" s="266">
        <v>0</v>
      </c>
      <c r="D22" s="266">
        <v>0</v>
      </c>
      <c r="E22" s="266">
        <v>0</v>
      </c>
      <c r="F22" s="266">
        <v>0</v>
      </c>
      <c r="G22" s="268">
        <v>0</v>
      </c>
      <c r="H22" s="268">
        <v>991540000</v>
      </c>
      <c r="I22" s="266">
        <v>0</v>
      </c>
      <c r="J22" s="268"/>
      <c r="K22" s="268"/>
      <c r="L22" s="268"/>
      <c r="M22" s="268"/>
      <c r="N22" s="268"/>
      <c r="O22" s="268">
        <f t="shared" si="4"/>
        <v>991540000</v>
      </c>
    </row>
    <row r="23" spans="2:17" ht="23" hidden="1" x14ac:dyDescent="0.25">
      <c r="B23" s="274" t="s">
        <v>75</v>
      </c>
      <c r="C23" s="266">
        <v>1687287454</v>
      </c>
      <c r="D23" s="266">
        <v>24000000</v>
      </c>
      <c r="E23" s="266">
        <v>0</v>
      </c>
      <c r="F23" s="266">
        <v>100000000</v>
      </c>
      <c r="G23" s="268">
        <v>3750000</v>
      </c>
      <c r="H23" s="268">
        <v>79472932</v>
      </c>
      <c r="I23" s="266">
        <v>143030000</v>
      </c>
      <c r="J23" s="268">
        <v>23067000</v>
      </c>
      <c r="K23" s="268"/>
      <c r="L23" s="268"/>
      <c r="M23" s="268"/>
      <c r="N23" s="268"/>
      <c r="O23" s="268">
        <f t="shared" si="4"/>
        <v>2060607386</v>
      </c>
    </row>
    <row r="24" spans="2:17" ht="23" hidden="1" x14ac:dyDescent="0.25">
      <c r="B24" s="274" t="s">
        <v>76</v>
      </c>
      <c r="C24" s="266">
        <v>0</v>
      </c>
      <c r="D24" s="266">
        <f>73500000+75000000+250000000</f>
        <v>398500000</v>
      </c>
      <c r="E24" s="266">
        <f>40000000+40000000+100000000</f>
        <v>180000000</v>
      </c>
      <c r="F24" s="266">
        <f>125000000+82500000+24000000</f>
        <v>231500000</v>
      </c>
      <c r="G24" s="268">
        <v>125000000</v>
      </c>
      <c r="H24" s="266">
        <v>0</v>
      </c>
      <c r="I24" s="266">
        <f>I118+I119+I122+I123+I126</f>
        <v>709800000</v>
      </c>
      <c r="J24" s="268"/>
      <c r="K24" s="268"/>
      <c r="L24" s="268"/>
      <c r="M24" s="268"/>
      <c r="N24" s="268"/>
      <c r="O24" s="268">
        <f t="shared" si="4"/>
        <v>1644800000</v>
      </c>
    </row>
    <row r="25" spans="2:17" hidden="1" x14ac:dyDescent="0.25">
      <c r="B25" s="265" t="s">
        <v>77</v>
      </c>
      <c r="C25" s="266"/>
      <c r="D25" s="266">
        <v>0</v>
      </c>
      <c r="E25" s="266">
        <v>0</v>
      </c>
      <c r="F25" s="266">
        <v>0</v>
      </c>
      <c r="G25" s="268">
        <v>0</v>
      </c>
      <c r="H25" s="266">
        <v>0</v>
      </c>
      <c r="I25" s="266">
        <f>I132+I138+I139</f>
        <v>269995011000</v>
      </c>
      <c r="J25" s="268">
        <f>J149+J152</f>
        <v>209295820800</v>
      </c>
      <c r="K25" s="268"/>
      <c r="L25" s="268"/>
      <c r="M25" s="268"/>
      <c r="N25" s="268"/>
      <c r="O25" s="268">
        <f t="shared" si="4"/>
        <v>479290831800</v>
      </c>
    </row>
    <row r="26" spans="2:17" hidden="1" x14ac:dyDescent="0.25">
      <c r="B26" s="265" t="s">
        <v>78</v>
      </c>
      <c r="C26" s="266"/>
      <c r="D26" s="266">
        <v>0</v>
      </c>
      <c r="E26" s="266">
        <v>0</v>
      </c>
      <c r="F26" s="266">
        <v>0</v>
      </c>
      <c r="G26" s="268">
        <v>0</v>
      </c>
      <c r="H26" s="266">
        <v>0</v>
      </c>
      <c r="I26" s="266">
        <f>I131+I140</f>
        <v>140534700000</v>
      </c>
      <c r="J26" s="268">
        <f>J153+J154+J162+J151</f>
        <v>254637554100</v>
      </c>
      <c r="K26" s="268"/>
      <c r="L26" s="268"/>
      <c r="M26" s="268"/>
      <c r="N26" s="268"/>
      <c r="O26" s="268">
        <f t="shared" si="4"/>
        <v>395172254100</v>
      </c>
    </row>
    <row r="27" spans="2:17" hidden="1" x14ac:dyDescent="0.25">
      <c r="B27" s="265" t="s">
        <v>79</v>
      </c>
      <c r="C27" s="266"/>
      <c r="D27" s="266">
        <v>0</v>
      </c>
      <c r="E27" s="266">
        <v>0</v>
      </c>
      <c r="F27" s="266">
        <v>0</v>
      </c>
      <c r="G27" s="268">
        <v>0</v>
      </c>
      <c r="H27" s="266">
        <v>0</v>
      </c>
      <c r="I27" s="266">
        <f>I136</f>
        <v>39571224000</v>
      </c>
      <c r="J27" s="268"/>
      <c r="K27" s="268"/>
      <c r="L27" s="268"/>
      <c r="M27" s="268"/>
      <c r="N27" s="268"/>
      <c r="O27" s="268">
        <f t="shared" si="4"/>
        <v>39571224000</v>
      </c>
      <c r="P27" s="262">
        <f>P25-P26</f>
        <v>0</v>
      </c>
    </row>
    <row r="28" spans="2:17" hidden="1" x14ac:dyDescent="0.25">
      <c r="B28" s="265" t="s">
        <v>80</v>
      </c>
      <c r="C28" s="266"/>
      <c r="D28" s="266">
        <v>0</v>
      </c>
      <c r="E28" s="266">
        <v>0</v>
      </c>
      <c r="F28" s="266">
        <v>0</v>
      </c>
      <c r="G28" s="268">
        <v>0</v>
      </c>
      <c r="H28" s="266">
        <v>0</v>
      </c>
      <c r="I28" s="266">
        <v>0</v>
      </c>
      <c r="J28" s="268">
        <f>J159+J160</f>
        <v>126859384300</v>
      </c>
      <c r="K28" s="268"/>
      <c r="L28" s="268"/>
      <c r="M28" s="268"/>
      <c r="N28" s="268"/>
      <c r="O28" s="268">
        <f t="shared" si="4"/>
        <v>126859384300</v>
      </c>
    </row>
    <row r="29" spans="2:17" hidden="1" x14ac:dyDescent="0.25">
      <c r="B29" s="265" t="s">
        <v>81</v>
      </c>
      <c r="C29" s="266"/>
      <c r="D29" s="266">
        <v>0</v>
      </c>
      <c r="E29" s="266">
        <v>0</v>
      </c>
      <c r="F29" s="266">
        <v>0</v>
      </c>
      <c r="G29" s="268">
        <v>0</v>
      </c>
      <c r="H29" s="266">
        <v>0</v>
      </c>
      <c r="I29" s="266">
        <v>0</v>
      </c>
      <c r="J29" s="268">
        <f>J158+J155</f>
        <v>5286527125</v>
      </c>
      <c r="K29" s="268"/>
      <c r="L29" s="268"/>
      <c r="M29" s="268"/>
      <c r="N29" s="268"/>
      <c r="O29" s="268">
        <f t="shared" si="4"/>
        <v>5286527125</v>
      </c>
    </row>
    <row r="30" spans="2:17" hidden="1" x14ac:dyDescent="0.25">
      <c r="B30" s="265" t="s">
        <v>82</v>
      </c>
      <c r="C30" s="266"/>
      <c r="D30" s="266">
        <v>0</v>
      </c>
      <c r="E30" s="266">
        <v>0</v>
      </c>
      <c r="F30" s="266">
        <v>0</v>
      </c>
      <c r="G30" s="268">
        <v>0</v>
      </c>
      <c r="H30" s="266">
        <v>0</v>
      </c>
      <c r="I30" s="266">
        <v>0</v>
      </c>
      <c r="J30" s="268">
        <v>131987900</v>
      </c>
      <c r="K30" s="268"/>
      <c r="L30" s="268"/>
      <c r="M30" s="268"/>
      <c r="N30" s="268"/>
      <c r="O30" s="268">
        <f t="shared" si="4"/>
        <v>131987900</v>
      </c>
    </row>
    <row r="31" spans="2:17" hidden="1" x14ac:dyDescent="0.25">
      <c r="B31" s="265" t="s">
        <v>83</v>
      </c>
      <c r="C31" s="266"/>
      <c r="D31" s="266">
        <v>0</v>
      </c>
      <c r="E31" s="266">
        <v>0</v>
      </c>
      <c r="F31" s="266">
        <v>0</v>
      </c>
      <c r="G31" s="268">
        <v>0</v>
      </c>
      <c r="H31" s="266">
        <v>0</v>
      </c>
      <c r="I31" s="266">
        <v>0</v>
      </c>
      <c r="J31" s="268">
        <f>J164</f>
        <v>8885280000</v>
      </c>
      <c r="K31" s="268"/>
      <c r="L31" s="268"/>
      <c r="M31" s="268"/>
      <c r="N31" s="268"/>
      <c r="O31" s="268">
        <f t="shared" si="4"/>
        <v>8885280000</v>
      </c>
    </row>
    <row r="32" spans="2:17" hidden="1" x14ac:dyDescent="0.25">
      <c r="B32" s="265" t="s">
        <v>84</v>
      </c>
      <c r="C32" s="266"/>
      <c r="D32" s="266">
        <v>0</v>
      </c>
      <c r="E32" s="266">
        <v>0</v>
      </c>
      <c r="F32" s="266">
        <v>0</v>
      </c>
      <c r="G32" s="268">
        <v>593941385</v>
      </c>
      <c r="H32" s="266">
        <v>19560129178</v>
      </c>
      <c r="I32" s="266">
        <f>27793063023+750000000+100000000</f>
        <v>28643063023</v>
      </c>
      <c r="J32" s="268">
        <f>38476485575+750000000+100000000</f>
        <v>39326485575</v>
      </c>
      <c r="K32" s="268"/>
      <c r="L32" s="268"/>
      <c r="M32" s="268"/>
      <c r="N32" s="268"/>
      <c r="O32" s="268">
        <f t="shared" si="4"/>
        <v>88123619161</v>
      </c>
    </row>
    <row r="33" spans="2:18" hidden="1" x14ac:dyDescent="0.25">
      <c r="B33" s="269" t="s">
        <v>85</v>
      </c>
      <c r="C33" s="270">
        <f>+SUM(C23:C32)</f>
        <v>1687287454</v>
      </c>
      <c r="D33" s="270">
        <f t="shared" ref="D33:J33" si="5">+SUM(D16:D32)</f>
        <v>64568080236</v>
      </c>
      <c r="E33" s="270">
        <f t="shared" si="5"/>
        <v>180000000</v>
      </c>
      <c r="F33" s="270">
        <f t="shared" si="5"/>
        <v>138486026867</v>
      </c>
      <c r="G33" s="271">
        <f t="shared" si="5"/>
        <v>385084171895</v>
      </c>
      <c r="H33" s="270">
        <f t="shared" si="5"/>
        <v>359844604150</v>
      </c>
      <c r="I33" s="270">
        <f t="shared" si="5"/>
        <v>889093609410</v>
      </c>
      <c r="J33" s="271">
        <f t="shared" si="5"/>
        <v>669192173226</v>
      </c>
      <c r="K33" s="271"/>
      <c r="L33" s="271"/>
      <c r="M33" s="271"/>
      <c r="N33" s="271"/>
      <c r="O33" s="271">
        <f t="shared" ref="O33" si="6">+SUM(O16:O32)</f>
        <v>2508135953238</v>
      </c>
    </row>
    <row r="34" spans="2:18" hidden="1" x14ac:dyDescent="0.25">
      <c r="B34" s="265" t="s">
        <v>86</v>
      </c>
      <c r="C34" s="266">
        <f>40000000-1656890-25975460</f>
        <v>12367650</v>
      </c>
      <c r="D34" s="266">
        <v>10142057775</v>
      </c>
      <c r="E34" s="266">
        <f>8431374181-216102268-461850+616146281+8791541894+576704000+2052971550</f>
        <v>20252173788</v>
      </c>
      <c r="F34" s="266">
        <f>9315864966+361508926+737550000+844757560+125000000-2777645+2042932386</f>
        <v>13424836193</v>
      </c>
      <c r="G34" s="268">
        <f>9885568988-1300760+25000000+538261664+1017550000+1066740435</f>
        <v>12531820327</v>
      </c>
      <c r="H34" s="266">
        <f>15827619981-6516822+1297298087+816575000+1581831500+85964+30000</f>
        <v>19516923710</v>
      </c>
      <c r="I34" s="266">
        <f>27727476796-129488189-27826076+822781400+1025737500+6264328+1645523888+300</f>
        <v>31070469947</v>
      </c>
      <c r="J34" s="268">
        <f>15270774698-23400000-7718844+409843048+378000000+5813716+135012540+488096236+8962466840</f>
        <v>25618888234</v>
      </c>
      <c r="K34" s="268"/>
      <c r="L34" s="268"/>
      <c r="M34" s="268"/>
      <c r="N34" s="268"/>
      <c r="O34" s="268">
        <f t="shared" ref="O34:O38" si="7">+SUM(C34:J34)</f>
        <v>132569537624</v>
      </c>
    </row>
    <row r="35" spans="2:18" hidden="1" x14ac:dyDescent="0.25">
      <c r="B35" s="265" t="s">
        <v>87</v>
      </c>
      <c r="C35" s="266">
        <v>0</v>
      </c>
      <c r="D35" s="266">
        <f>6704994251+5178045290</f>
        <v>11883039541</v>
      </c>
      <c r="E35" s="266">
        <f>232111423+2859296276</f>
        <v>3091407699</v>
      </c>
      <c r="F35" s="266">
        <f>15435321326+2885548253</f>
        <v>18320869579</v>
      </c>
      <c r="G35" s="268">
        <f>40389078893+1147367142-27979338660+47024099645</f>
        <v>60581207020</v>
      </c>
      <c r="H35" s="266">
        <f>31209319759+5183851225-4906169067-20012404710+40814123437</f>
        <v>52288720644</v>
      </c>
      <c r="I35" s="266">
        <f>168271316324+12533982651-57466242975+47080941058-28551351220+31316197075-I36</f>
        <v>139184842913</v>
      </c>
      <c r="J35" s="268">
        <f>44390298386+2020805534-1079731854-1338333430-J36</f>
        <v>9678347430</v>
      </c>
      <c r="K35" s="268"/>
      <c r="L35" s="268"/>
      <c r="M35" s="268"/>
      <c r="N35" s="268"/>
      <c r="O35" s="268">
        <f t="shared" ref="O35" si="8">+SUM(C35:J35)</f>
        <v>295028434826</v>
      </c>
    </row>
    <row r="36" spans="2:18" hidden="1" x14ac:dyDescent="0.25">
      <c r="B36" s="265" t="s">
        <v>88</v>
      </c>
      <c r="C36" s="266">
        <v>0</v>
      </c>
      <c r="D36" s="266">
        <v>0</v>
      </c>
      <c r="E36" s="266">
        <v>0</v>
      </c>
      <c r="F36" s="266">
        <v>0</v>
      </c>
      <c r="G36" s="266">
        <v>0</v>
      </c>
      <c r="H36" s="266">
        <v>0</v>
      </c>
      <c r="I36" s="266">
        <f>12766249852+21233750148</f>
        <v>34000000000</v>
      </c>
      <c r="J36" s="268">
        <v>34314691206</v>
      </c>
      <c r="K36" s="268"/>
      <c r="L36" s="268"/>
      <c r="M36" s="268"/>
      <c r="N36" s="268"/>
      <c r="O36" s="268">
        <f>+SUM(C36:J36)</f>
        <v>68314691206</v>
      </c>
    </row>
    <row r="37" spans="2:18" hidden="1" x14ac:dyDescent="0.25">
      <c r="B37" s="265" t="s">
        <v>89</v>
      </c>
      <c r="C37" s="266">
        <v>0</v>
      </c>
      <c r="D37" s="266">
        <v>29705265</v>
      </c>
      <c r="E37" s="266">
        <v>8799226</v>
      </c>
      <c r="F37" s="266">
        <v>15885747</v>
      </c>
      <c r="G37" s="268">
        <v>174672481</v>
      </c>
      <c r="H37" s="266">
        <v>72378042</v>
      </c>
      <c r="I37" s="266">
        <v>2827776121</v>
      </c>
      <c r="J37" s="268">
        <f>6992530455</f>
        <v>6992530455</v>
      </c>
      <c r="K37" s="268"/>
      <c r="L37" s="268"/>
      <c r="M37" s="268"/>
      <c r="N37" s="268"/>
      <c r="O37" s="268">
        <f t="shared" si="7"/>
        <v>10121747337</v>
      </c>
    </row>
    <row r="38" spans="2:18" hidden="1" x14ac:dyDescent="0.25">
      <c r="B38" s="265" t="s">
        <v>90</v>
      </c>
      <c r="C38" s="266">
        <v>0</v>
      </c>
      <c r="D38" s="266">
        <v>0</v>
      </c>
      <c r="E38" s="266">
        <v>0</v>
      </c>
      <c r="F38" s="266">
        <v>0</v>
      </c>
      <c r="G38" s="266">
        <v>0</v>
      </c>
      <c r="H38" s="266">
        <v>0</v>
      </c>
      <c r="I38" s="266"/>
      <c r="J38" s="268">
        <v>21387648412</v>
      </c>
      <c r="K38" s="268"/>
      <c r="L38" s="268"/>
      <c r="M38" s="268"/>
      <c r="N38" s="268"/>
      <c r="O38" s="268">
        <f t="shared" si="7"/>
        <v>21387648412</v>
      </c>
    </row>
    <row r="39" spans="2:18" hidden="1" x14ac:dyDescent="0.25">
      <c r="B39" s="269" t="s">
        <v>91</v>
      </c>
      <c r="C39" s="275">
        <f t="shared" ref="C39:O39" si="9">+SUM(C33:C38)</f>
        <v>1699655104</v>
      </c>
      <c r="D39" s="275">
        <f t="shared" si="9"/>
        <v>86622882817</v>
      </c>
      <c r="E39" s="275">
        <f t="shared" si="9"/>
        <v>23532380713</v>
      </c>
      <c r="F39" s="275">
        <f t="shared" si="9"/>
        <v>170247618386</v>
      </c>
      <c r="G39" s="275">
        <f t="shared" si="9"/>
        <v>458371871723</v>
      </c>
      <c r="H39" s="275">
        <f t="shared" si="9"/>
        <v>431722626546</v>
      </c>
      <c r="I39" s="275">
        <f t="shared" si="9"/>
        <v>1096176698391</v>
      </c>
      <c r="J39" s="275">
        <f t="shared" si="9"/>
        <v>767184278963</v>
      </c>
      <c r="K39" s="275"/>
      <c r="L39" s="275"/>
      <c r="M39" s="275"/>
      <c r="N39" s="275"/>
      <c r="O39" s="275">
        <f t="shared" si="9"/>
        <v>3035558012643</v>
      </c>
    </row>
    <row r="40" spans="2:18" hidden="1" x14ac:dyDescent="0.25">
      <c r="B40" s="269" t="s">
        <v>92</v>
      </c>
      <c r="C40" s="275">
        <v>0</v>
      </c>
      <c r="D40" s="276">
        <f>+C41</f>
        <v>153725313398</v>
      </c>
      <c r="E40" s="276">
        <f>+D41</f>
        <v>105323324314</v>
      </c>
      <c r="F40" s="276">
        <f>+E41</f>
        <v>283932013459</v>
      </c>
      <c r="G40" s="276">
        <f>+F41</f>
        <v>123947903456</v>
      </c>
      <c r="H40" s="276">
        <f t="shared" ref="H40:J40" si="10">+G41</f>
        <v>160113837019</v>
      </c>
      <c r="I40" s="276">
        <f t="shared" si="10"/>
        <v>133367154397</v>
      </c>
      <c r="J40" s="276">
        <f t="shared" si="10"/>
        <v>50219215704</v>
      </c>
      <c r="K40" s="276"/>
      <c r="L40" s="276"/>
      <c r="M40" s="276"/>
      <c r="N40" s="276"/>
      <c r="O40" s="276">
        <f>+J41</f>
        <v>133497837521</v>
      </c>
    </row>
    <row r="41" spans="2:18" hidden="1" x14ac:dyDescent="0.25">
      <c r="B41" s="277" t="s">
        <v>93</v>
      </c>
      <c r="C41" s="278">
        <f t="shared" ref="C41:J41" si="11">+C12+C40-C39</f>
        <v>153725313398</v>
      </c>
      <c r="D41" s="278">
        <f t="shared" si="11"/>
        <v>105323324314</v>
      </c>
      <c r="E41" s="278">
        <f t="shared" si="11"/>
        <v>283932013459</v>
      </c>
      <c r="F41" s="278">
        <f t="shared" si="11"/>
        <v>123947903456</v>
      </c>
      <c r="G41" s="278">
        <f t="shared" si="11"/>
        <v>160113837019</v>
      </c>
      <c r="H41" s="278">
        <f t="shared" si="11"/>
        <v>133367154397</v>
      </c>
      <c r="I41" s="278">
        <f t="shared" si="11"/>
        <v>50219215704</v>
      </c>
      <c r="J41" s="278">
        <f t="shared" si="11"/>
        <v>133497837521</v>
      </c>
      <c r="K41" s="278"/>
      <c r="L41" s="278"/>
      <c r="M41" s="278"/>
      <c r="N41" s="278"/>
      <c r="O41" s="278">
        <v>133497837521</v>
      </c>
      <c r="Q41" s="279"/>
      <c r="R41" s="279"/>
    </row>
    <row r="42" spans="2:18" hidden="1" x14ac:dyDescent="0.25">
      <c r="B42" s="252" t="s">
        <v>94</v>
      </c>
      <c r="C42" s="280">
        <v>153725313398</v>
      </c>
      <c r="D42" s="280">
        <v>105323324314</v>
      </c>
      <c r="E42" s="280">
        <v>283932013459</v>
      </c>
      <c r="F42" s="280">
        <v>123947903456</v>
      </c>
      <c r="G42" s="280">
        <v>160113837019</v>
      </c>
      <c r="H42" s="280">
        <v>133367154397</v>
      </c>
      <c r="I42" s="280">
        <v>50219215704</v>
      </c>
      <c r="J42" s="280">
        <v>133497837521</v>
      </c>
      <c r="K42" s="280"/>
      <c r="L42" s="280"/>
      <c r="M42" s="280"/>
      <c r="N42" s="280"/>
      <c r="O42" s="280">
        <v>133497837521</v>
      </c>
      <c r="Q42" s="279"/>
      <c r="R42" s="279"/>
    </row>
    <row r="43" spans="2:18" hidden="1" x14ac:dyDescent="0.25">
      <c r="B43" s="281" t="s">
        <v>95</v>
      </c>
      <c r="C43" s="282">
        <f t="shared" ref="C43:O43" si="12">+C41-C42</f>
        <v>0</v>
      </c>
      <c r="D43" s="282">
        <f t="shared" si="12"/>
        <v>0</v>
      </c>
      <c r="E43" s="283">
        <f t="shared" si="12"/>
        <v>0</v>
      </c>
      <c r="F43" s="283">
        <f t="shared" si="12"/>
        <v>0</v>
      </c>
      <c r="G43" s="283">
        <f t="shared" si="12"/>
        <v>0</v>
      </c>
      <c r="H43" s="283">
        <f t="shared" si="12"/>
        <v>0</v>
      </c>
      <c r="I43" s="283">
        <f t="shared" si="12"/>
        <v>0</v>
      </c>
      <c r="J43" s="283">
        <f t="shared" si="12"/>
        <v>0</v>
      </c>
      <c r="K43" s="283"/>
      <c r="L43" s="283"/>
      <c r="M43" s="283"/>
      <c r="N43" s="283"/>
      <c r="O43" s="283">
        <f t="shared" si="12"/>
        <v>0</v>
      </c>
      <c r="Q43" s="279"/>
      <c r="R43" s="279"/>
    </row>
    <row r="44" spans="2:18" s="289" customFormat="1" ht="12" thickBot="1" x14ac:dyDescent="0.3">
      <c r="B44" s="284"/>
      <c r="C44" s="285"/>
      <c r="D44" s="285"/>
      <c r="E44" s="286"/>
      <c r="F44" s="286"/>
      <c r="G44" s="286"/>
      <c r="H44" s="286"/>
      <c r="I44" s="286"/>
      <c r="J44" s="286"/>
      <c r="K44" s="286"/>
      <c r="L44" s="286"/>
      <c r="M44" s="286"/>
      <c r="N44" s="287" t="s">
        <v>353</v>
      </c>
      <c r="O44" s="286"/>
      <c r="P44" s="288"/>
      <c r="Q44" s="285"/>
      <c r="R44" s="285"/>
    </row>
    <row r="45" spans="2:18" s="252" customFormat="1" x14ac:dyDescent="0.25">
      <c r="B45" s="565" t="s">
        <v>349</v>
      </c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290"/>
      <c r="Q45" s="291"/>
      <c r="R45" s="291"/>
    </row>
    <row r="46" spans="2:18" s="252" customFormat="1" x14ac:dyDescent="0.25">
      <c r="B46" s="565" t="s">
        <v>350</v>
      </c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290"/>
      <c r="Q46" s="291"/>
      <c r="R46" s="291"/>
    </row>
    <row r="47" spans="2:18" s="252" customFormat="1" x14ac:dyDescent="0.25">
      <c r="B47" s="565" t="s">
        <v>351</v>
      </c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290"/>
      <c r="Q47" s="291"/>
      <c r="R47" s="291"/>
    </row>
    <row r="48" spans="2:18" x14ac:dyDescent="0.25"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Q48" s="279"/>
      <c r="R48" s="279"/>
    </row>
    <row r="49" spans="2:17" ht="30" customHeight="1" x14ac:dyDescent="0.25">
      <c r="B49" s="566" t="s">
        <v>21</v>
      </c>
      <c r="C49" s="572" t="s">
        <v>96</v>
      </c>
      <c r="D49" s="573"/>
      <c r="E49" s="573"/>
      <c r="F49" s="573"/>
      <c r="G49" s="573"/>
      <c r="H49" s="573"/>
      <c r="I49" s="573"/>
      <c r="J49" s="573"/>
      <c r="K49" s="573"/>
      <c r="L49" s="574"/>
      <c r="M49" s="575" t="s">
        <v>338</v>
      </c>
      <c r="N49" s="570" t="s">
        <v>172</v>
      </c>
      <c r="O49" s="568" t="s">
        <v>55</v>
      </c>
    </row>
    <row r="50" spans="2:17" ht="28.15" customHeight="1" thickBot="1" x14ac:dyDescent="0.3">
      <c r="B50" s="567"/>
      <c r="C50" s="292">
        <v>2013</v>
      </c>
      <c r="D50" s="292">
        <v>2014</v>
      </c>
      <c r="E50" s="292">
        <v>2015</v>
      </c>
      <c r="F50" s="292">
        <v>2016</v>
      </c>
      <c r="G50" s="292">
        <v>2017</v>
      </c>
      <c r="H50" s="292">
        <v>2018</v>
      </c>
      <c r="I50" s="292">
        <v>2019</v>
      </c>
      <c r="J50" s="292" t="s">
        <v>173</v>
      </c>
      <c r="K50" s="293" t="s">
        <v>169</v>
      </c>
      <c r="L50" s="293" t="s">
        <v>335</v>
      </c>
      <c r="M50" s="576"/>
      <c r="N50" s="571"/>
      <c r="O50" s="569"/>
    </row>
    <row r="51" spans="2:17" x14ac:dyDescent="0.25">
      <c r="B51" s="294" t="s">
        <v>67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49"/>
    </row>
    <row r="52" spans="2:17" x14ac:dyDescent="0.25">
      <c r="B52" s="296" t="s">
        <v>68</v>
      </c>
      <c r="C52" s="297">
        <f t="shared" ref="C52:C57" si="13">C16/1000000</f>
        <v>0</v>
      </c>
      <c r="D52" s="298">
        <f>-D16/1000000</f>
        <v>-63882.880235999997</v>
      </c>
      <c r="E52" s="298">
        <f t="shared" ref="E52:E57" si="14">E16/1000000</f>
        <v>0</v>
      </c>
      <c r="F52" s="298">
        <f>-F16/1000000</f>
        <v>-133591.70718100001</v>
      </c>
      <c r="G52" s="298">
        <f>-G16/1000000</f>
        <v>-380660.07701499999</v>
      </c>
      <c r="H52" s="298">
        <f>-H16/1000000</f>
        <v>-330390.30545300001</v>
      </c>
      <c r="I52" s="298">
        <f>-I16/1000000</f>
        <v>-405111.60014499997</v>
      </c>
      <c r="J52" s="298">
        <f>-J16/1000000</f>
        <v>-20457.382430000001</v>
      </c>
      <c r="K52" s="298">
        <v>0</v>
      </c>
      <c r="L52" s="298">
        <f>-K52+J52</f>
        <v>-20457.382430000001</v>
      </c>
      <c r="M52" s="298">
        <f t="shared" ref="M52:M76" si="15">L52+I52+H52+G52+F52+E52+D52+C52</f>
        <v>-1334093.9524599998</v>
      </c>
      <c r="N52" s="298">
        <v>-79581.094889999993</v>
      </c>
      <c r="O52" s="299">
        <f t="shared" ref="O52:O76" si="16">N52+M52</f>
        <v>-1413675.0473499999</v>
      </c>
      <c r="P52" s="249"/>
      <c r="Q52" s="272"/>
    </row>
    <row r="53" spans="2:17" x14ac:dyDescent="0.25">
      <c r="B53" s="296" t="s">
        <v>69</v>
      </c>
      <c r="C53" s="299">
        <f t="shared" si="13"/>
        <v>0</v>
      </c>
      <c r="D53" s="298">
        <f>-D17/1000000</f>
        <v>-130.19999999999999</v>
      </c>
      <c r="E53" s="298">
        <f t="shared" si="14"/>
        <v>0</v>
      </c>
      <c r="F53" s="298">
        <f t="shared" ref="F53:I54" si="17">-F17/1000000</f>
        <v>-195.99545499999999</v>
      </c>
      <c r="G53" s="298">
        <f t="shared" si="17"/>
        <v>-120</v>
      </c>
      <c r="H53" s="298">
        <f t="shared" si="17"/>
        <v>-184.8</v>
      </c>
      <c r="I53" s="298">
        <f t="shared" si="17"/>
        <v>-559.47500000000002</v>
      </c>
      <c r="J53" s="298">
        <f>J17/1000000</f>
        <v>0</v>
      </c>
      <c r="K53" s="298">
        <v>0</v>
      </c>
      <c r="L53" s="298">
        <f t="shared" ref="L53:L76" si="18">K53+J53</f>
        <v>0</v>
      </c>
      <c r="M53" s="298">
        <f t="shared" si="15"/>
        <v>-1190.4704550000001</v>
      </c>
      <c r="N53" s="299">
        <v>0</v>
      </c>
      <c r="O53" s="299">
        <f t="shared" si="16"/>
        <v>-1190.4704550000001</v>
      </c>
      <c r="P53" s="249"/>
      <c r="Q53" s="272"/>
    </row>
    <row r="54" spans="2:17" x14ac:dyDescent="0.25">
      <c r="B54" s="296" t="s">
        <v>70</v>
      </c>
      <c r="C54" s="297">
        <f t="shared" si="13"/>
        <v>0</v>
      </c>
      <c r="D54" s="298">
        <f>D18/1000000</f>
        <v>0</v>
      </c>
      <c r="E54" s="298">
        <f t="shared" si="14"/>
        <v>0</v>
      </c>
      <c r="F54" s="298">
        <f t="shared" si="17"/>
        <v>-3551.4742310000001</v>
      </c>
      <c r="G54" s="298">
        <f t="shared" si="17"/>
        <v>-3490.653495</v>
      </c>
      <c r="H54" s="298">
        <f t="shared" si="17"/>
        <v>-7893.1065870000002</v>
      </c>
      <c r="I54" s="298">
        <f t="shared" si="17"/>
        <v>-3264.5972419999998</v>
      </c>
      <c r="J54" s="298">
        <f>-J18/1000000</f>
        <v>-4288.6839959999998</v>
      </c>
      <c r="K54" s="298">
        <v>0</v>
      </c>
      <c r="L54" s="298">
        <f>-K54+J54</f>
        <v>-4288.6839959999998</v>
      </c>
      <c r="M54" s="298">
        <f t="shared" si="15"/>
        <v>-22488.515551</v>
      </c>
      <c r="N54" s="299">
        <v>0</v>
      </c>
      <c r="O54" s="299">
        <f t="shared" si="16"/>
        <v>-22488.515551</v>
      </c>
      <c r="P54" s="249"/>
    </row>
    <row r="55" spans="2:17" x14ac:dyDescent="0.25">
      <c r="B55" s="296" t="s">
        <v>71</v>
      </c>
      <c r="C55" s="299">
        <f t="shared" si="13"/>
        <v>0</v>
      </c>
      <c r="D55" s="298">
        <f>-D19/1000000</f>
        <v>-132.5</v>
      </c>
      <c r="E55" s="298">
        <f t="shared" si="14"/>
        <v>0</v>
      </c>
      <c r="F55" s="298">
        <f>F19/1000000</f>
        <v>0</v>
      </c>
      <c r="G55" s="298">
        <f>-G19/1000000</f>
        <v>-90.75</v>
      </c>
      <c r="H55" s="298">
        <f>H19/1000000</f>
        <v>0</v>
      </c>
      <c r="I55" s="298">
        <f>-I19/1000000</f>
        <v>-298.154</v>
      </c>
      <c r="J55" s="298">
        <f>J19/1000000</f>
        <v>0</v>
      </c>
      <c r="K55" s="298">
        <v>0</v>
      </c>
      <c r="L55" s="298">
        <f t="shared" si="18"/>
        <v>0</v>
      </c>
      <c r="M55" s="298">
        <f t="shared" si="15"/>
        <v>-521.404</v>
      </c>
      <c r="N55" s="299">
        <v>0</v>
      </c>
      <c r="O55" s="299">
        <f t="shared" si="16"/>
        <v>-521.404</v>
      </c>
      <c r="P55" s="249"/>
    </row>
    <row r="56" spans="2:17" x14ac:dyDescent="0.25">
      <c r="B56" s="296" t="s">
        <v>72</v>
      </c>
      <c r="C56" s="297">
        <f t="shared" si="13"/>
        <v>0</v>
      </c>
      <c r="D56" s="298">
        <f>D20/1000000</f>
        <v>0</v>
      </c>
      <c r="E56" s="298">
        <f t="shared" si="14"/>
        <v>0</v>
      </c>
      <c r="F56" s="298">
        <f>F20/1000000</f>
        <v>0</v>
      </c>
      <c r="G56" s="298">
        <f>G20/1000000</f>
        <v>0</v>
      </c>
      <c r="H56" s="298">
        <f>H20/1000000</f>
        <v>0</v>
      </c>
      <c r="I56" s="298">
        <f>-I20/1000000</f>
        <v>-262.95499999999998</v>
      </c>
      <c r="J56" s="298">
        <f>J20/1000000</f>
        <v>0</v>
      </c>
      <c r="K56" s="298">
        <v>0</v>
      </c>
      <c r="L56" s="298">
        <f t="shared" si="18"/>
        <v>0</v>
      </c>
      <c r="M56" s="298">
        <f t="shared" si="15"/>
        <v>-262.95499999999998</v>
      </c>
      <c r="N56" s="299">
        <v>0</v>
      </c>
      <c r="O56" s="299">
        <f t="shared" si="16"/>
        <v>-262.95499999999998</v>
      </c>
      <c r="P56" s="249"/>
    </row>
    <row r="57" spans="2:17" x14ac:dyDescent="0.25">
      <c r="B57" s="296" t="s">
        <v>73</v>
      </c>
      <c r="C57" s="299">
        <f t="shared" si="13"/>
        <v>0</v>
      </c>
      <c r="D57" s="298">
        <f>D21/1000000</f>
        <v>0</v>
      </c>
      <c r="E57" s="298">
        <f t="shared" si="14"/>
        <v>0</v>
      </c>
      <c r="F57" s="298">
        <f>-F21/1000000</f>
        <v>-815.35</v>
      </c>
      <c r="G57" s="298">
        <f>G21/1000000</f>
        <v>0</v>
      </c>
      <c r="H57" s="298">
        <f>-H21/1000000</f>
        <v>-745.25</v>
      </c>
      <c r="I57" s="298">
        <f>I21/1000000</f>
        <v>0</v>
      </c>
      <c r="J57" s="298">
        <f>J21/1000000</f>
        <v>0</v>
      </c>
      <c r="K57" s="298">
        <v>0</v>
      </c>
      <c r="L57" s="298">
        <f t="shared" si="18"/>
        <v>0</v>
      </c>
      <c r="M57" s="298">
        <f t="shared" si="15"/>
        <v>-1560.6</v>
      </c>
      <c r="N57" s="299">
        <v>0</v>
      </c>
      <c r="O57" s="299">
        <f t="shared" si="16"/>
        <v>-1560.6</v>
      </c>
      <c r="P57" s="249"/>
    </row>
    <row r="58" spans="2:17" x14ac:dyDescent="0.25">
      <c r="B58" s="296" t="s">
        <v>336</v>
      </c>
      <c r="C58" s="300">
        <v>0</v>
      </c>
      <c r="D58" s="298">
        <v>0</v>
      </c>
      <c r="E58" s="298">
        <v>0</v>
      </c>
      <c r="F58" s="298">
        <v>0</v>
      </c>
      <c r="G58" s="298">
        <v>0</v>
      </c>
      <c r="H58" s="298">
        <v>0</v>
      </c>
      <c r="I58" s="298">
        <v>0</v>
      </c>
      <c r="J58" s="298">
        <v>0</v>
      </c>
      <c r="K58" s="298">
        <v>0</v>
      </c>
      <c r="L58" s="298">
        <f t="shared" si="18"/>
        <v>0</v>
      </c>
      <c r="M58" s="298">
        <f t="shared" si="15"/>
        <v>0</v>
      </c>
      <c r="N58" s="298">
        <v>-4931</v>
      </c>
      <c r="O58" s="299">
        <f t="shared" si="16"/>
        <v>-4931</v>
      </c>
      <c r="P58" s="249"/>
    </row>
    <row r="59" spans="2:17" x14ac:dyDescent="0.25">
      <c r="B59" s="296" t="s">
        <v>74</v>
      </c>
      <c r="C59" s="297">
        <f>C22/1000000</f>
        <v>0</v>
      </c>
      <c r="D59" s="298">
        <f>D22/1000000</f>
        <v>0</v>
      </c>
      <c r="E59" s="298">
        <f>E22/1000000</f>
        <v>0</v>
      </c>
      <c r="F59" s="298">
        <f>F22/1000000</f>
        <v>0</v>
      </c>
      <c r="G59" s="298">
        <f>G22/1000000</f>
        <v>0</v>
      </c>
      <c r="H59" s="298">
        <f>-H22/1000000</f>
        <v>-991.54</v>
      </c>
      <c r="I59" s="298">
        <f>I22/1000000</f>
        <v>0</v>
      </c>
      <c r="J59" s="298">
        <f>J22/1000000</f>
        <v>0</v>
      </c>
      <c r="K59" s="298">
        <v>0</v>
      </c>
      <c r="L59" s="298">
        <f t="shared" si="18"/>
        <v>0</v>
      </c>
      <c r="M59" s="298">
        <f t="shared" si="15"/>
        <v>-991.54</v>
      </c>
      <c r="N59" s="299">
        <v>0</v>
      </c>
      <c r="O59" s="299">
        <f t="shared" si="16"/>
        <v>-991.54</v>
      </c>
      <c r="P59" s="249"/>
    </row>
    <row r="60" spans="2:17" ht="23" x14ac:dyDescent="0.25">
      <c r="B60" s="301" t="s">
        <v>75</v>
      </c>
      <c r="C60" s="298">
        <f>-C23/1000000</f>
        <v>-1687.287454</v>
      </c>
      <c r="D60" s="298">
        <f>-D23/1000000</f>
        <v>-24</v>
      </c>
      <c r="E60" s="298">
        <f>E23/1000000</f>
        <v>0</v>
      </c>
      <c r="F60" s="298">
        <f>-F23/1000000</f>
        <v>-100</v>
      </c>
      <c r="G60" s="298">
        <f>-G23/1000000</f>
        <v>-3.75</v>
      </c>
      <c r="H60" s="298">
        <f>-H23/1000000</f>
        <v>-79.472932</v>
      </c>
      <c r="I60" s="298">
        <f>-I23/1000000</f>
        <v>-143.03</v>
      </c>
      <c r="J60" s="298">
        <f>-J23/1000000</f>
        <v>-23.067</v>
      </c>
      <c r="K60" s="298">
        <f>-'cf 2020 &amp; 2021'!R70</f>
        <v>-115.33499999999999</v>
      </c>
      <c r="L60" s="298">
        <f t="shared" si="18"/>
        <v>-138.40199999999999</v>
      </c>
      <c r="M60" s="298">
        <f t="shared" si="15"/>
        <v>-2175.9423860000002</v>
      </c>
      <c r="N60" s="299">
        <v>0</v>
      </c>
      <c r="O60" s="299">
        <f t="shared" si="16"/>
        <v>-2175.9423860000002</v>
      </c>
      <c r="P60" s="249"/>
    </row>
    <row r="61" spans="2:17" ht="23" x14ac:dyDescent="0.25">
      <c r="B61" s="301" t="s">
        <v>76</v>
      </c>
      <c r="C61" s="297">
        <f t="shared" ref="C61:C69" si="19">C24/1000000</f>
        <v>0</v>
      </c>
      <c r="D61" s="298">
        <f>-D24/1000000</f>
        <v>-398.5</v>
      </c>
      <c r="E61" s="298">
        <f>-E24/1000000</f>
        <v>-180</v>
      </c>
      <c r="F61" s="298">
        <f>-F24/1000000</f>
        <v>-231.5</v>
      </c>
      <c r="G61" s="298">
        <f>-G24/1000000</f>
        <v>-125</v>
      </c>
      <c r="H61" s="298">
        <f t="shared" ref="H61:H68" si="20">H24/1000000</f>
        <v>0</v>
      </c>
      <c r="I61" s="298">
        <f>-I24/1000000</f>
        <v>-709.8</v>
      </c>
      <c r="J61" s="298">
        <f>J24/1000000</f>
        <v>0</v>
      </c>
      <c r="K61" s="298">
        <v>0</v>
      </c>
      <c r="L61" s="298">
        <f t="shared" si="18"/>
        <v>0</v>
      </c>
      <c r="M61" s="298">
        <f t="shared" si="15"/>
        <v>-1644.8</v>
      </c>
      <c r="N61" s="299">
        <v>0</v>
      </c>
      <c r="O61" s="299">
        <f t="shared" si="16"/>
        <v>-1644.8</v>
      </c>
      <c r="P61" s="249"/>
    </row>
    <row r="62" spans="2:17" x14ac:dyDescent="0.25">
      <c r="B62" s="296" t="s">
        <v>77</v>
      </c>
      <c r="C62" s="302">
        <f t="shared" si="19"/>
        <v>0</v>
      </c>
      <c r="D62" s="298">
        <f t="shared" ref="D62:G68" si="21">D25/1000000</f>
        <v>0</v>
      </c>
      <c r="E62" s="298">
        <f t="shared" si="21"/>
        <v>0</v>
      </c>
      <c r="F62" s="298">
        <f t="shared" si="21"/>
        <v>0</v>
      </c>
      <c r="G62" s="298">
        <f t="shared" si="21"/>
        <v>0</v>
      </c>
      <c r="H62" s="298">
        <f t="shared" si="20"/>
        <v>0</v>
      </c>
      <c r="I62" s="298">
        <f>-I25/1000000</f>
        <v>-269995.011</v>
      </c>
      <c r="J62" s="298">
        <f t="shared" ref="J62:J69" si="22">-J25/1000000</f>
        <v>-209295.82079999999</v>
      </c>
      <c r="K62" s="298">
        <v>0</v>
      </c>
      <c r="L62" s="298">
        <f t="shared" si="18"/>
        <v>-209295.82079999999</v>
      </c>
      <c r="M62" s="298">
        <f t="shared" si="15"/>
        <v>-479290.83179999999</v>
      </c>
      <c r="N62" s="298">
        <v>-25157</v>
      </c>
      <c r="O62" s="299">
        <f t="shared" si="16"/>
        <v>-504447.83179999999</v>
      </c>
      <c r="P62" s="249"/>
    </row>
    <row r="63" spans="2:17" x14ac:dyDescent="0.25">
      <c r="B63" s="296" t="s">
        <v>78</v>
      </c>
      <c r="C63" s="302">
        <f t="shared" si="19"/>
        <v>0</v>
      </c>
      <c r="D63" s="298">
        <f t="shared" si="21"/>
        <v>0</v>
      </c>
      <c r="E63" s="298">
        <f t="shared" si="21"/>
        <v>0</v>
      </c>
      <c r="F63" s="298">
        <f t="shared" si="21"/>
        <v>0</v>
      </c>
      <c r="G63" s="298">
        <f t="shared" si="21"/>
        <v>0</v>
      </c>
      <c r="H63" s="298">
        <f t="shared" si="20"/>
        <v>0</v>
      </c>
      <c r="I63" s="298">
        <f>-I26/1000000</f>
        <v>-140534.70000000001</v>
      </c>
      <c r="J63" s="298">
        <f t="shared" si="22"/>
        <v>-254637.55410000001</v>
      </c>
      <c r="K63" s="298">
        <v>0</v>
      </c>
      <c r="L63" s="298">
        <f t="shared" si="18"/>
        <v>-254637.55410000001</v>
      </c>
      <c r="M63" s="298">
        <f t="shared" si="15"/>
        <v>-395172.25410000002</v>
      </c>
      <c r="N63" s="299">
        <v>0</v>
      </c>
      <c r="O63" s="299">
        <f t="shared" si="16"/>
        <v>-395172.25410000002</v>
      </c>
      <c r="P63" s="249"/>
    </row>
    <row r="64" spans="2:17" x14ac:dyDescent="0.25">
      <c r="B64" s="296" t="s">
        <v>79</v>
      </c>
      <c r="C64" s="302">
        <f t="shared" si="19"/>
        <v>0</v>
      </c>
      <c r="D64" s="298">
        <f t="shared" si="21"/>
        <v>0</v>
      </c>
      <c r="E64" s="298">
        <f t="shared" si="21"/>
        <v>0</v>
      </c>
      <c r="F64" s="298">
        <f t="shared" si="21"/>
        <v>0</v>
      </c>
      <c r="G64" s="298">
        <f t="shared" si="21"/>
        <v>0</v>
      </c>
      <c r="H64" s="298">
        <f t="shared" si="20"/>
        <v>0</v>
      </c>
      <c r="I64" s="298">
        <f>-I27/1000000</f>
        <v>-39571.224000000002</v>
      </c>
      <c r="J64" s="298">
        <f t="shared" si="22"/>
        <v>0</v>
      </c>
      <c r="K64" s="298">
        <v>0</v>
      </c>
      <c r="L64" s="298">
        <f t="shared" si="18"/>
        <v>0</v>
      </c>
      <c r="M64" s="298">
        <f t="shared" si="15"/>
        <v>-39571.224000000002</v>
      </c>
      <c r="N64" s="299">
        <v>0</v>
      </c>
      <c r="O64" s="299">
        <f t="shared" si="16"/>
        <v>-39571.224000000002</v>
      </c>
      <c r="P64" s="249"/>
    </row>
    <row r="65" spans="2:16" x14ac:dyDescent="0.25">
      <c r="B65" s="296" t="s">
        <v>80</v>
      </c>
      <c r="C65" s="302">
        <f t="shared" si="19"/>
        <v>0</v>
      </c>
      <c r="D65" s="298">
        <f t="shared" si="21"/>
        <v>0</v>
      </c>
      <c r="E65" s="298">
        <f t="shared" si="21"/>
        <v>0</v>
      </c>
      <c r="F65" s="298">
        <f t="shared" si="21"/>
        <v>0</v>
      </c>
      <c r="G65" s="298">
        <f t="shared" si="21"/>
        <v>0</v>
      </c>
      <c r="H65" s="298">
        <f t="shared" si="20"/>
        <v>0</v>
      </c>
      <c r="I65" s="298">
        <f>I28/1000000</f>
        <v>0</v>
      </c>
      <c r="J65" s="298">
        <f t="shared" si="22"/>
        <v>-126859.38430000001</v>
      </c>
      <c r="K65" s="298">
        <v>0</v>
      </c>
      <c r="L65" s="298">
        <f t="shared" si="18"/>
        <v>-126859.38430000001</v>
      </c>
      <c r="M65" s="298">
        <f t="shared" si="15"/>
        <v>-126859.38430000001</v>
      </c>
      <c r="N65" s="299">
        <v>0</v>
      </c>
      <c r="O65" s="299">
        <f t="shared" si="16"/>
        <v>-126859.38430000001</v>
      </c>
      <c r="P65" s="249"/>
    </row>
    <row r="66" spans="2:16" x14ac:dyDescent="0.25">
      <c r="B66" s="296" t="s">
        <v>81</v>
      </c>
      <c r="C66" s="297">
        <f t="shared" si="19"/>
        <v>0</v>
      </c>
      <c r="D66" s="298">
        <f t="shared" si="21"/>
        <v>0</v>
      </c>
      <c r="E66" s="298">
        <f t="shared" si="21"/>
        <v>0</v>
      </c>
      <c r="F66" s="298">
        <f t="shared" si="21"/>
        <v>0</v>
      </c>
      <c r="G66" s="298">
        <f t="shared" si="21"/>
        <v>0</v>
      </c>
      <c r="H66" s="298">
        <f t="shared" si="20"/>
        <v>0</v>
      </c>
      <c r="I66" s="298">
        <f>I29/1000000</f>
        <v>0</v>
      </c>
      <c r="J66" s="298">
        <f t="shared" si="22"/>
        <v>-5286.5271249999996</v>
      </c>
      <c r="K66" s="298">
        <v>0</v>
      </c>
      <c r="L66" s="298">
        <f t="shared" si="18"/>
        <v>-5286.5271249999996</v>
      </c>
      <c r="M66" s="298">
        <f t="shared" si="15"/>
        <v>-5286.5271249999996</v>
      </c>
      <c r="N66" s="298">
        <v>-2818.7879370000001</v>
      </c>
      <c r="O66" s="299">
        <f t="shared" si="16"/>
        <v>-8105.3150619999997</v>
      </c>
      <c r="P66" s="249"/>
    </row>
    <row r="67" spans="2:16" x14ac:dyDescent="0.25">
      <c r="B67" s="296" t="s">
        <v>82</v>
      </c>
      <c r="C67" s="303">
        <f t="shared" si="19"/>
        <v>0</v>
      </c>
      <c r="D67" s="298">
        <f t="shared" si="21"/>
        <v>0</v>
      </c>
      <c r="E67" s="298">
        <f t="shared" si="21"/>
        <v>0</v>
      </c>
      <c r="F67" s="298">
        <f t="shared" si="21"/>
        <v>0</v>
      </c>
      <c r="G67" s="298">
        <f t="shared" si="21"/>
        <v>0</v>
      </c>
      <c r="H67" s="298">
        <f t="shared" si="20"/>
        <v>0</v>
      </c>
      <c r="I67" s="298">
        <f>I30/1000000</f>
        <v>0</v>
      </c>
      <c r="J67" s="298">
        <f t="shared" si="22"/>
        <v>-131.9879</v>
      </c>
      <c r="K67" s="298">
        <v>0</v>
      </c>
      <c r="L67" s="298">
        <f t="shared" si="18"/>
        <v>-131.9879</v>
      </c>
      <c r="M67" s="298">
        <f t="shared" si="15"/>
        <v>-131.9879</v>
      </c>
      <c r="N67" s="299">
        <v>0</v>
      </c>
      <c r="O67" s="299">
        <f t="shared" si="16"/>
        <v>-131.9879</v>
      </c>
      <c r="P67" s="249"/>
    </row>
    <row r="68" spans="2:16" x14ac:dyDescent="0.25">
      <c r="B68" s="296" t="s">
        <v>83</v>
      </c>
      <c r="C68" s="299">
        <f t="shared" si="19"/>
        <v>0</v>
      </c>
      <c r="D68" s="298">
        <f t="shared" si="21"/>
        <v>0</v>
      </c>
      <c r="E68" s="298">
        <f t="shared" si="21"/>
        <v>0</v>
      </c>
      <c r="F68" s="298">
        <f t="shared" si="21"/>
        <v>0</v>
      </c>
      <c r="G68" s="298">
        <f t="shared" si="21"/>
        <v>0</v>
      </c>
      <c r="H68" s="298">
        <f t="shared" si="20"/>
        <v>0</v>
      </c>
      <c r="I68" s="298">
        <f>I31/1000000</f>
        <v>0</v>
      </c>
      <c r="J68" s="298">
        <f t="shared" si="22"/>
        <v>-8885.2800000000007</v>
      </c>
      <c r="K68" s="298">
        <v>0</v>
      </c>
      <c r="L68" s="298">
        <f t="shared" si="18"/>
        <v>-8885.2800000000007</v>
      </c>
      <c r="M68" s="298">
        <f t="shared" si="15"/>
        <v>-8885.2800000000007</v>
      </c>
      <c r="N68" s="299">
        <v>0</v>
      </c>
      <c r="O68" s="299">
        <f t="shared" si="16"/>
        <v>-8885.2800000000007</v>
      </c>
      <c r="P68" s="249"/>
    </row>
    <row r="69" spans="2:16" x14ac:dyDescent="0.25">
      <c r="B69" s="296" t="s">
        <v>84</v>
      </c>
      <c r="C69" s="303">
        <f t="shared" si="19"/>
        <v>0</v>
      </c>
      <c r="D69" s="298">
        <f>D32/1000000</f>
        <v>0</v>
      </c>
      <c r="E69" s="298">
        <f>E32/1000000</f>
        <v>0</v>
      </c>
      <c r="F69" s="298">
        <f>F32/1000000</f>
        <v>0</v>
      </c>
      <c r="G69" s="298">
        <f>-G32/1000000</f>
        <v>-593.94138499999997</v>
      </c>
      <c r="H69" s="298">
        <f>-H32/1000000</f>
        <v>-19560.129177999999</v>
      </c>
      <c r="I69" s="298">
        <f>-I32/1000000</f>
        <v>-28643.063022999999</v>
      </c>
      <c r="J69" s="298">
        <f t="shared" si="22"/>
        <v>-39326.485574999999</v>
      </c>
      <c r="K69" s="298">
        <v>0</v>
      </c>
      <c r="L69" s="298">
        <f t="shared" si="18"/>
        <v>-39326.485574999999</v>
      </c>
      <c r="M69" s="298">
        <f t="shared" si="15"/>
        <v>-88123.619160999995</v>
      </c>
      <c r="N69" s="299">
        <v>0</v>
      </c>
      <c r="O69" s="299">
        <f t="shared" si="16"/>
        <v>-88123.619160999995</v>
      </c>
      <c r="P69" s="249"/>
    </row>
    <row r="70" spans="2:16" x14ac:dyDescent="0.25">
      <c r="B70" s="304" t="s">
        <v>339</v>
      </c>
      <c r="C70" s="305">
        <f>SUM(C52:C69)</f>
        <v>-1687.287454</v>
      </c>
      <c r="D70" s="305">
        <f t="shared" ref="D70:O70" si="23">SUM(D52:D69)</f>
        <v>-64568.080235999994</v>
      </c>
      <c r="E70" s="305">
        <f t="shared" si="23"/>
        <v>-180</v>
      </c>
      <c r="F70" s="305">
        <f t="shared" si="23"/>
        <v>-138486.02686700001</v>
      </c>
      <c r="G70" s="305">
        <f t="shared" si="23"/>
        <v>-385084.17189499998</v>
      </c>
      <c r="H70" s="305">
        <f t="shared" si="23"/>
        <v>-359844.60414999997</v>
      </c>
      <c r="I70" s="305">
        <f t="shared" si="23"/>
        <v>-889093.60940999992</v>
      </c>
      <c r="J70" s="305">
        <f t="shared" si="23"/>
        <v>-669192.17322600004</v>
      </c>
      <c r="K70" s="305">
        <f t="shared" si="23"/>
        <v>-115.33499999999999</v>
      </c>
      <c r="L70" s="305">
        <f t="shared" si="23"/>
        <v>-669307.50822600001</v>
      </c>
      <c r="M70" s="305">
        <f t="shared" si="23"/>
        <v>-2508251.2882379997</v>
      </c>
      <c r="N70" s="305">
        <f t="shared" si="23"/>
        <v>-112487.88282699999</v>
      </c>
      <c r="O70" s="305">
        <f t="shared" si="23"/>
        <v>-2620739.1710649999</v>
      </c>
      <c r="P70" s="249"/>
    </row>
    <row r="71" spans="2:16" x14ac:dyDescent="0.25">
      <c r="B71" s="296" t="s">
        <v>86</v>
      </c>
      <c r="C71" s="298">
        <f t="shared" ref="C71:J71" si="24">-C34/1000000</f>
        <v>-12.367649999999999</v>
      </c>
      <c r="D71" s="298">
        <f t="shared" si="24"/>
        <v>-10142.057774999999</v>
      </c>
      <c r="E71" s="298">
        <f t="shared" si="24"/>
        <v>-20252.173788</v>
      </c>
      <c r="F71" s="298">
        <f t="shared" si="24"/>
        <v>-13424.836192999999</v>
      </c>
      <c r="G71" s="298">
        <f t="shared" si="24"/>
        <v>-12531.820326999999</v>
      </c>
      <c r="H71" s="298">
        <f t="shared" si="24"/>
        <v>-19516.923709999999</v>
      </c>
      <c r="I71" s="298">
        <f t="shared" si="24"/>
        <v>-31070.469947000001</v>
      </c>
      <c r="J71" s="298">
        <f t="shared" si="24"/>
        <v>-25618.888233999998</v>
      </c>
      <c r="K71" s="298">
        <v>-3448</v>
      </c>
      <c r="L71" s="298">
        <f t="shared" si="18"/>
        <v>-29066.888233999998</v>
      </c>
      <c r="M71" s="298">
        <f t="shared" si="15"/>
        <v>-136017.53762399999</v>
      </c>
      <c r="N71" s="298">
        <v>-4441</v>
      </c>
      <c r="O71" s="298">
        <f t="shared" si="16"/>
        <v>-140458.53762399999</v>
      </c>
      <c r="P71" s="249"/>
    </row>
    <row r="72" spans="2:16" x14ac:dyDescent="0.25">
      <c r="B72" s="296" t="s">
        <v>87</v>
      </c>
      <c r="C72" s="299">
        <f>C35/1000000</f>
        <v>0</v>
      </c>
      <c r="D72" s="298">
        <f t="shared" ref="D72:J72" si="25">-D35/1000000</f>
        <v>-11883.039541</v>
      </c>
      <c r="E72" s="298">
        <f t="shared" si="25"/>
        <v>-3091.4076989999999</v>
      </c>
      <c r="F72" s="298">
        <f t="shared" si="25"/>
        <v>-18320.869578999998</v>
      </c>
      <c r="G72" s="298">
        <f t="shared" si="25"/>
        <v>-60581.207020000002</v>
      </c>
      <c r="H72" s="298">
        <f t="shared" si="25"/>
        <v>-52288.720644000001</v>
      </c>
      <c r="I72" s="298">
        <f t="shared" si="25"/>
        <v>-139184.842913</v>
      </c>
      <c r="J72" s="298">
        <f t="shared" si="25"/>
        <v>-9678.3474299999998</v>
      </c>
      <c r="K72" s="298">
        <f>-'cf 2020 &amp; 2021'!R49</f>
        <v>-42.817999999999998</v>
      </c>
      <c r="L72" s="298">
        <f t="shared" si="18"/>
        <v>-9721.1654299999991</v>
      </c>
      <c r="M72" s="298">
        <f t="shared" si="15"/>
        <v>-295071.25282599998</v>
      </c>
      <c r="N72" s="298">
        <f>-'cf 2020 &amp; 2021'!T49</f>
        <v>-50</v>
      </c>
      <c r="O72" s="298">
        <f t="shared" si="16"/>
        <v>-295121.25282599998</v>
      </c>
      <c r="P72" s="250"/>
    </row>
    <row r="73" spans="2:16" s="253" customFormat="1" x14ac:dyDescent="0.25">
      <c r="B73" s="306" t="s">
        <v>88</v>
      </c>
      <c r="C73" s="307">
        <f>C36/1000000</f>
        <v>0</v>
      </c>
      <c r="D73" s="298">
        <f>D36/1000000</f>
        <v>0</v>
      </c>
      <c r="E73" s="298">
        <f>E36/1000000</f>
        <v>0</v>
      </c>
      <c r="F73" s="298">
        <f>F36/1000000</f>
        <v>0</v>
      </c>
      <c r="G73" s="298">
        <f>G36/1000000</f>
        <v>0</v>
      </c>
      <c r="H73" s="298">
        <f>H36/1000000</f>
        <v>0</v>
      </c>
      <c r="I73" s="298">
        <f>-I36/1000000</f>
        <v>-34000</v>
      </c>
      <c r="J73" s="298">
        <f>-J36/1000000</f>
        <v>-34314.691206000003</v>
      </c>
      <c r="K73" s="298">
        <v>0</v>
      </c>
      <c r="L73" s="298">
        <f t="shared" si="18"/>
        <v>-34314.691206000003</v>
      </c>
      <c r="M73" s="298">
        <f t="shared" si="15"/>
        <v>-68314.691206000003</v>
      </c>
      <c r="N73" s="298">
        <v>0</v>
      </c>
      <c r="O73" s="298">
        <f t="shared" si="16"/>
        <v>-68314.691206000003</v>
      </c>
    </row>
    <row r="74" spans="2:16" x14ac:dyDescent="0.25">
      <c r="B74" s="296" t="s">
        <v>89</v>
      </c>
      <c r="C74" s="299">
        <f>C37/1000000</f>
        <v>0</v>
      </c>
      <c r="D74" s="298">
        <f>-D37/1000000</f>
        <v>-29.705265000000001</v>
      </c>
      <c r="E74" s="298">
        <f>-E37/1000000</f>
        <v>-8.7992260000000009</v>
      </c>
      <c r="F74" s="298">
        <f>-F37/1000000</f>
        <v>-15.885747</v>
      </c>
      <c r="G74" s="298">
        <f>-G37/1000000</f>
        <v>-174.672481</v>
      </c>
      <c r="H74" s="298">
        <f>-H37/1000000</f>
        <v>-72.378041999999994</v>
      </c>
      <c r="I74" s="298">
        <f>-I37/1000000</f>
        <v>-2827.7761209999999</v>
      </c>
      <c r="J74" s="298">
        <f>-J37/1000000</f>
        <v>-6992.5304550000001</v>
      </c>
      <c r="K74" s="298">
        <v>0</v>
      </c>
      <c r="L74" s="298">
        <f t="shared" si="18"/>
        <v>-6992.5304550000001</v>
      </c>
      <c r="M74" s="298">
        <f t="shared" si="15"/>
        <v>-10121.747336999999</v>
      </c>
      <c r="N74" s="298">
        <v>0</v>
      </c>
      <c r="O74" s="298">
        <f t="shared" si="16"/>
        <v>-10121.747336999999</v>
      </c>
      <c r="P74" s="249"/>
    </row>
    <row r="75" spans="2:16" x14ac:dyDescent="0.25">
      <c r="B75" s="296" t="s">
        <v>90</v>
      </c>
      <c r="C75" s="299">
        <f>C38/1000000</f>
        <v>0</v>
      </c>
      <c r="D75" s="298">
        <f t="shared" ref="D75:I75" si="26">D38/1000000</f>
        <v>0</v>
      </c>
      <c r="E75" s="298">
        <f t="shared" si="26"/>
        <v>0</v>
      </c>
      <c r="F75" s="298">
        <f t="shared" si="26"/>
        <v>0</v>
      </c>
      <c r="G75" s="298">
        <f t="shared" si="26"/>
        <v>0</v>
      </c>
      <c r="H75" s="298">
        <f t="shared" si="26"/>
        <v>0</v>
      </c>
      <c r="I75" s="298">
        <f t="shared" si="26"/>
        <v>0</v>
      </c>
      <c r="J75" s="298">
        <f>-J38/1000000</f>
        <v>-21387.648411999999</v>
      </c>
      <c r="K75" s="298">
        <f>-'cf 2020 &amp; 2021'!R86</f>
        <v>-10721.7</v>
      </c>
      <c r="L75" s="298">
        <f t="shared" si="18"/>
        <v>-32109.348411999999</v>
      </c>
      <c r="M75" s="298">
        <f t="shared" si="15"/>
        <v>-32109.348411999999</v>
      </c>
      <c r="N75" s="298">
        <f>-'cf 2020 &amp; 2021'!T86</f>
        <v>-11187</v>
      </c>
      <c r="O75" s="298">
        <f t="shared" si="16"/>
        <v>-43296.348411999999</v>
      </c>
      <c r="P75" s="249"/>
    </row>
    <row r="76" spans="2:16" x14ac:dyDescent="0.25">
      <c r="B76" s="296" t="s">
        <v>170</v>
      </c>
      <c r="C76" s="299">
        <v>0</v>
      </c>
      <c r="D76" s="298">
        <v>0</v>
      </c>
      <c r="E76" s="298">
        <v>0</v>
      </c>
      <c r="F76" s="298">
        <v>0</v>
      </c>
      <c r="G76" s="298">
        <v>0</v>
      </c>
      <c r="H76" s="298">
        <v>0</v>
      </c>
      <c r="I76" s="298">
        <v>0</v>
      </c>
      <c r="J76" s="298">
        <v>0</v>
      </c>
      <c r="K76" s="298">
        <v>0</v>
      </c>
      <c r="L76" s="298">
        <f t="shared" si="18"/>
        <v>0</v>
      </c>
      <c r="M76" s="298">
        <f t="shared" si="15"/>
        <v>0</v>
      </c>
      <c r="N76" s="298">
        <f>-'cf 2020 &amp; 2021'!T85</f>
        <v>-4298.7125999999998</v>
      </c>
      <c r="O76" s="298">
        <f t="shared" si="16"/>
        <v>-4298.7125999999998</v>
      </c>
      <c r="P76" s="249"/>
    </row>
    <row r="77" spans="2:16" x14ac:dyDescent="0.25">
      <c r="B77" s="304" t="s">
        <v>97</v>
      </c>
      <c r="C77" s="305">
        <f>SUM(C71:C75)</f>
        <v>-12.367649999999999</v>
      </c>
      <c r="D77" s="305">
        <f t="shared" ref="D77:J77" si="27">SUM(D71:D75)</f>
        <v>-22054.802581</v>
      </c>
      <c r="E77" s="305">
        <f t="shared" si="27"/>
        <v>-23352.380712999999</v>
      </c>
      <c r="F77" s="305">
        <f t="shared" si="27"/>
        <v>-31761.591518999998</v>
      </c>
      <c r="G77" s="305">
        <f t="shared" si="27"/>
        <v>-73287.699827999997</v>
      </c>
      <c r="H77" s="305">
        <f t="shared" si="27"/>
        <v>-71878.022396</v>
      </c>
      <c r="I77" s="305">
        <f t="shared" si="27"/>
        <v>-207083.08898100001</v>
      </c>
      <c r="J77" s="305">
        <f t="shared" si="27"/>
        <v>-97992.105736999991</v>
      </c>
      <c r="K77" s="305">
        <f>SUM(K71:K76)</f>
        <v>-14212.518</v>
      </c>
      <c r="L77" s="305">
        <f>SUM(L71:L76)</f>
        <v>-112204.62373699999</v>
      </c>
      <c r="M77" s="305">
        <f>SUM(M71:M76)</f>
        <v>-541634.57740499999</v>
      </c>
      <c r="N77" s="305">
        <f t="shared" ref="N77:O77" si="28">SUM(N71:N76)</f>
        <v>-19976.712599999999</v>
      </c>
      <c r="O77" s="305">
        <f t="shared" si="28"/>
        <v>-561611.29000499996</v>
      </c>
      <c r="P77" s="249"/>
    </row>
    <row r="78" spans="2:16" s="252" customFormat="1" x14ac:dyDescent="0.25">
      <c r="B78" s="308" t="s">
        <v>91</v>
      </c>
      <c r="C78" s="309">
        <f>C77+C70</f>
        <v>-1699.6551039999999</v>
      </c>
      <c r="D78" s="309">
        <f>D77+D70</f>
        <v>-86622.882816999991</v>
      </c>
      <c r="E78" s="309">
        <f t="shared" ref="E78:J78" si="29">E77+E70</f>
        <v>-23532.380712999999</v>
      </c>
      <c r="F78" s="309">
        <f t="shared" si="29"/>
        <v>-170247.61838600002</v>
      </c>
      <c r="G78" s="309">
        <f t="shared" si="29"/>
        <v>-458371.87172299996</v>
      </c>
      <c r="H78" s="309">
        <f t="shared" si="29"/>
        <v>-431722.62654599996</v>
      </c>
      <c r="I78" s="309">
        <f t="shared" si="29"/>
        <v>-1096176.6983909998</v>
      </c>
      <c r="J78" s="309">
        <f t="shared" si="29"/>
        <v>-767184.27896300005</v>
      </c>
      <c r="K78" s="309">
        <f>K77+K70</f>
        <v>-14327.852999999999</v>
      </c>
      <c r="L78" s="309">
        <f>L77+L70</f>
        <v>-781512.13196299993</v>
      </c>
      <c r="M78" s="309">
        <f>M77+M70</f>
        <v>-3049885.8656429998</v>
      </c>
      <c r="N78" s="309">
        <f>N77+N70</f>
        <v>-132464.59542699999</v>
      </c>
      <c r="O78" s="309">
        <f>O77+O70</f>
        <v>-3182350.4610699997</v>
      </c>
    </row>
    <row r="79" spans="2:16" x14ac:dyDescent="0.25">
      <c r="B79" s="310" t="s">
        <v>56</v>
      </c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</row>
    <row r="80" spans="2:16" x14ac:dyDescent="0.25">
      <c r="B80" s="296" t="s">
        <v>340</v>
      </c>
      <c r="C80" s="299"/>
      <c r="D80" s="299"/>
      <c r="E80" s="299"/>
      <c r="F80" s="299"/>
      <c r="G80" s="299"/>
      <c r="H80" s="299"/>
      <c r="I80" s="299"/>
      <c r="J80" s="311"/>
      <c r="K80" s="311"/>
      <c r="L80" s="311"/>
      <c r="M80" s="311"/>
      <c r="N80" s="311"/>
      <c r="O80" s="311"/>
    </row>
    <row r="81" spans="2:18" x14ac:dyDescent="0.25">
      <c r="B81" s="296" t="s">
        <v>337</v>
      </c>
      <c r="C81" s="299">
        <f t="shared" ref="C81:J87" si="30">C5/1000000</f>
        <v>126000</v>
      </c>
      <c r="D81" s="299">
        <f t="shared" si="30"/>
        <v>0</v>
      </c>
      <c r="E81" s="299">
        <f t="shared" si="30"/>
        <v>133000</v>
      </c>
      <c r="F81" s="299">
        <f t="shared" si="30"/>
        <v>0</v>
      </c>
      <c r="G81" s="299">
        <f t="shared" si="30"/>
        <v>177500</v>
      </c>
      <c r="H81" s="299">
        <f t="shared" si="30"/>
        <v>0</v>
      </c>
      <c r="I81" s="299">
        <f t="shared" si="30"/>
        <v>234424</v>
      </c>
      <c r="J81" s="299">
        <f t="shared" si="30"/>
        <v>184800</v>
      </c>
      <c r="K81" s="299">
        <v>0</v>
      </c>
      <c r="L81" s="299">
        <f>K81+J81</f>
        <v>184800</v>
      </c>
      <c r="M81" s="299">
        <f>L81+I81+H81+G81+F81+E81+D81+C81</f>
        <v>855724</v>
      </c>
      <c r="N81" s="299">
        <v>0</v>
      </c>
      <c r="O81" s="299">
        <f>N81+M81</f>
        <v>855724</v>
      </c>
    </row>
    <row r="82" spans="2:18" x14ac:dyDescent="0.25">
      <c r="B82" s="296" t="s">
        <v>59</v>
      </c>
      <c r="C82" s="299">
        <f t="shared" si="30"/>
        <v>2250</v>
      </c>
      <c r="D82" s="299">
        <f t="shared" si="30"/>
        <v>24750</v>
      </c>
      <c r="E82" s="299">
        <f t="shared" si="30"/>
        <v>28500</v>
      </c>
      <c r="F82" s="299">
        <f t="shared" si="30"/>
        <v>0</v>
      </c>
      <c r="G82" s="299">
        <f t="shared" si="30"/>
        <v>16607</v>
      </c>
      <c r="H82" s="299">
        <f t="shared" si="30"/>
        <v>21429</v>
      </c>
      <c r="I82" s="299">
        <f t="shared" si="30"/>
        <v>0</v>
      </c>
      <c r="J82" s="299">
        <f t="shared" si="30"/>
        <v>89834</v>
      </c>
      <c r="K82" s="299">
        <v>0</v>
      </c>
      <c r="L82" s="299">
        <f t="shared" ref="L82:L88" si="31">K82+J82</f>
        <v>89834</v>
      </c>
      <c r="M82" s="299">
        <f t="shared" ref="M82:M87" si="32">L82+I82+H82+G82+F82+E82+D82+C82</f>
        <v>183370</v>
      </c>
      <c r="N82" s="299">
        <v>0</v>
      </c>
      <c r="O82" s="299">
        <f t="shared" ref="O82:O86" si="33">N82+M82</f>
        <v>183370</v>
      </c>
    </row>
    <row r="83" spans="2:18" x14ac:dyDescent="0.25">
      <c r="B83" s="296" t="s">
        <v>60</v>
      </c>
      <c r="C83" s="299">
        <f t="shared" si="30"/>
        <v>27000</v>
      </c>
      <c r="D83" s="299">
        <f t="shared" si="30"/>
        <v>0</v>
      </c>
      <c r="E83" s="299">
        <f t="shared" si="30"/>
        <v>28500</v>
      </c>
      <c r="F83" s="299">
        <f t="shared" si="30"/>
        <v>0</v>
      </c>
      <c r="G83" s="299">
        <f t="shared" si="30"/>
        <v>16607</v>
      </c>
      <c r="H83" s="299">
        <f t="shared" si="30"/>
        <v>21429</v>
      </c>
      <c r="I83" s="299">
        <f t="shared" si="30"/>
        <v>50234</v>
      </c>
      <c r="J83" s="299">
        <f t="shared" si="30"/>
        <v>39600</v>
      </c>
      <c r="K83" s="299">
        <v>0</v>
      </c>
      <c r="L83" s="299">
        <f t="shared" si="31"/>
        <v>39600</v>
      </c>
      <c r="M83" s="299">
        <f t="shared" si="32"/>
        <v>183370</v>
      </c>
      <c r="N83" s="299">
        <v>0</v>
      </c>
      <c r="O83" s="299">
        <f t="shared" si="33"/>
        <v>183370</v>
      </c>
    </row>
    <row r="84" spans="2:18" s="252" customFormat="1" x14ac:dyDescent="0.25">
      <c r="B84" s="312" t="s">
        <v>61</v>
      </c>
      <c r="C84" s="313">
        <f t="shared" si="30"/>
        <v>155250</v>
      </c>
      <c r="D84" s="313">
        <f t="shared" si="30"/>
        <v>24750</v>
      </c>
      <c r="E84" s="313">
        <f t="shared" si="30"/>
        <v>190000</v>
      </c>
      <c r="F84" s="313">
        <f t="shared" si="30"/>
        <v>0</v>
      </c>
      <c r="G84" s="313">
        <f t="shared" si="30"/>
        <v>210714</v>
      </c>
      <c r="H84" s="313">
        <f t="shared" si="30"/>
        <v>42858</v>
      </c>
      <c r="I84" s="313">
        <f t="shared" si="30"/>
        <v>284658</v>
      </c>
      <c r="J84" s="313">
        <f t="shared" si="30"/>
        <v>314234</v>
      </c>
      <c r="K84" s="313">
        <f>SUM(K81:K83)</f>
        <v>0</v>
      </c>
      <c r="L84" s="313">
        <f>SUM(L81:L83)</f>
        <v>314234</v>
      </c>
      <c r="M84" s="313">
        <f t="shared" si="32"/>
        <v>1222464</v>
      </c>
      <c r="N84" s="313">
        <v>0</v>
      </c>
      <c r="O84" s="313">
        <f>C84+D84+E84+F84+G84+H84+I84+L84+N84</f>
        <v>1222464</v>
      </c>
    </row>
    <row r="85" spans="2:18" x14ac:dyDescent="0.25">
      <c r="B85" s="296" t="s">
        <v>62</v>
      </c>
      <c r="C85" s="299">
        <f t="shared" si="30"/>
        <v>0</v>
      </c>
      <c r="D85" s="299">
        <f t="shared" si="30"/>
        <v>0</v>
      </c>
      <c r="E85" s="299">
        <f t="shared" si="30"/>
        <v>0</v>
      </c>
      <c r="F85" s="299">
        <f t="shared" si="30"/>
        <v>0</v>
      </c>
      <c r="G85" s="299">
        <f t="shared" si="30"/>
        <v>257000</v>
      </c>
      <c r="H85" s="299">
        <f t="shared" si="30"/>
        <v>360000</v>
      </c>
      <c r="I85" s="299">
        <f t="shared" si="30"/>
        <v>670801.12970000005</v>
      </c>
      <c r="J85" s="299">
        <f t="shared" si="30"/>
        <v>523875.65101600002</v>
      </c>
      <c r="K85" s="299">
        <v>0</v>
      </c>
      <c r="L85" s="299">
        <f t="shared" si="31"/>
        <v>523875.65101600002</v>
      </c>
      <c r="M85" s="299">
        <f t="shared" si="32"/>
        <v>1811676.7807160001</v>
      </c>
      <c r="N85" s="299">
        <f>'cf 2020 &amp; 2021'!T77</f>
        <v>17610</v>
      </c>
      <c r="O85" s="299">
        <f t="shared" si="33"/>
        <v>1829286.7807160001</v>
      </c>
    </row>
    <row r="86" spans="2:18" x14ac:dyDescent="0.25">
      <c r="B86" s="296" t="s">
        <v>63</v>
      </c>
      <c r="C86" s="299">
        <f t="shared" si="30"/>
        <v>174.968502</v>
      </c>
      <c r="D86" s="299">
        <f t="shared" si="30"/>
        <v>13470.893733000001</v>
      </c>
      <c r="E86" s="299">
        <f t="shared" si="30"/>
        <v>12141.069858000001</v>
      </c>
      <c r="F86" s="299">
        <f t="shared" si="30"/>
        <v>10263.508383</v>
      </c>
      <c r="G86" s="299">
        <f t="shared" si="30"/>
        <v>5764.155538</v>
      </c>
      <c r="H86" s="299">
        <f t="shared" si="30"/>
        <v>2117.9439240000002</v>
      </c>
      <c r="I86" s="299">
        <f t="shared" si="30"/>
        <v>10488.68894</v>
      </c>
      <c r="J86" s="299">
        <f t="shared" si="30"/>
        <v>12353.249764</v>
      </c>
      <c r="K86" s="299">
        <f>'cf 2020 &amp; 2021'!R30+'cf 2020 &amp; 2021'!R33</f>
        <v>246.46600000000001</v>
      </c>
      <c r="L86" s="299">
        <f t="shared" si="31"/>
        <v>12599.715764</v>
      </c>
      <c r="M86" s="299">
        <f t="shared" si="32"/>
        <v>67020.944642000002</v>
      </c>
      <c r="N86" s="299">
        <v>0</v>
      </c>
      <c r="O86" s="299">
        <f t="shared" si="33"/>
        <v>67020.944642000002</v>
      </c>
    </row>
    <row r="87" spans="2:18" s="255" customFormat="1" x14ac:dyDescent="0.25">
      <c r="B87" s="314" t="s">
        <v>64</v>
      </c>
      <c r="C87" s="315">
        <f t="shared" si="30"/>
        <v>0</v>
      </c>
      <c r="D87" s="315">
        <f t="shared" si="30"/>
        <v>0</v>
      </c>
      <c r="E87" s="315">
        <f t="shared" si="30"/>
        <v>0</v>
      </c>
      <c r="F87" s="315">
        <f t="shared" si="30"/>
        <v>0</v>
      </c>
      <c r="G87" s="315">
        <f t="shared" si="30"/>
        <v>21059.649748</v>
      </c>
      <c r="H87" s="315">
        <f t="shared" si="30"/>
        <v>0</v>
      </c>
      <c r="I87" s="315">
        <f t="shared" si="30"/>
        <v>47080.941057999997</v>
      </c>
      <c r="J87" s="316">
        <f t="shared" si="30"/>
        <v>0</v>
      </c>
      <c r="K87" s="315">
        <v>0</v>
      </c>
      <c r="L87" s="316">
        <f t="shared" si="31"/>
        <v>0</v>
      </c>
      <c r="M87" s="316">
        <f t="shared" si="32"/>
        <v>68140.590805999993</v>
      </c>
      <c r="N87" s="315">
        <v>0</v>
      </c>
      <c r="O87" s="315">
        <f>C87+D87+E87+F87+G87+H87+I87+L87+N87</f>
        <v>68140.590805999993</v>
      </c>
      <c r="P87" s="317"/>
    </row>
    <row r="88" spans="2:18" s="321" customFormat="1" ht="12" thickBot="1" x14ac:dyDescent="0.3">
      <c r="B88" s="318" t="s">
        <v>171</v>
      </c>
      <c r="C88" s="319">
        <v>0</v>
      </c>
      <c r="D88" s="319">
        <v>0</v>
      </c>
      <c r="E88" s="319">
        <v>0</v>
      </c>
      <c r="F88" s="319">
        <v>0</v>
      </c>
      <c r="G88" s="319">
        <v>0</v>
      </c>
      <c r="H88" s="319">
        <v>0</v>
      </c>
      <c r="I88" s="319">
        <v>0</v>
      </c>
      <c r="J88" s="319">
        <v>0</v>
      </c>
      <c r="K88" s="319">
        <v>0</v>
      </c>
      <c r="L88" s="320">
        <f t="shared" si="31"/>
        <v>0</v>
      </c>
      <c r="M88" s="320"/>
      <c r="N88" s="319">
        <f>'cf 2020 &amp; 2021'!T80</f>
        <v>20000</v>
      </c>
      <c r="O88" s="319">
        <f>C88+D88+E88+F88+G88+H88+I88+L88+N88</f>
        <v>20000</v>
      </c>
    </row>
    <row r="89" spans="2:18" s="255" customFormat="1" x14ac:dyDescent="0.25">
      <c r="B89" s="322" t="s">
        <v>337</v>
      </c>
      <c r="C89" s="323">
        <v>0</v>
      </c>
      <c r="D89" s="323">
        <v>0</v>
      </c>
      <c r="E89" s="323">
        <v>0</v>
      </c>
      <c r="F89" s="323">
        <v>0</v>
      </c>
      <c r="G89" s="323">
        <v>0</v>
      </c>
      <c r="H89" s="323">
        <v>0</v>
      </c>
      <c r="I89" s="323">
        <v>0</v>
      </c>
      <c r="J89" s="323">
        <v>0</v>
      </c>
      <c r="K89" s="323">
        <v>0</v>
      </c>
      <c r="L89" s="324"/>
      <c r="M89" s="324"/>
      <c r="N89" s="325">
        <f>20000*0.7</f>
        <v>14000</v>
      </c>
      <c r="O89" s="325">
        <f>N89</f>
        <v>14000</v>
      </c>
    </row>
    <row r="90" spans="2:18" s="255" customFormat="1" x14ac:dyDescent="0.25">
      <c r="B90" s="265" t="s">
        <v>59</v>
      </c>
      <c r="C90" s="326">
        <v>0</v>
      </c>
      <c r="D90" s="326">
        <v>0</v>
      </c>
      <c r="E90" s="326">
        <v>0</v>
      </c>
      <c r="F90" s="326">
        <v>0</v>
      </c>
      <c r="G90" s="326">
        <v>0</v>
      </c>
      <c r="H90" s="326">
        <v>0</v>
      </c>
      <c r="I90" s="326">
        <v>0</v>
      </c>
      <c r="J90" s="326">
        <v>0</v>
      </c>
      <c r="K90" s="326">
        <v>0</v>
      </c>
      <c r="L90" s="327"/>
      <c r="M90" s="327"/>
      <c r="N90" s="268">
        <f>20000*0.15</f>
        <v>3000</v>
      </c>
      <c r="O90" s="268">
        <f t="shared" ref="O90:O91" si="34">N90</f>
        <v>3000</v>
      </c>
    </row>
    <row r="91" spans="2:18" s="255" customFormat="1" x14ac:dyDescent="0.25">
      <c r="B91" s="265" t="s">
        <v>60</v>
      </c>
      <c r="C91" s="326">
        <v>0</v>
      </c>
      <c r="D91" s="326">
        <v>0</v>
      </c>
      <c r="E91" s="326">
        <v>0</v>
      </c>
      <c r="F91" s="326">
        <v>0</v>
      </c>
      <c r="G91" s="326">
        <v>0</v>
      </c>
      <c r="H91" s="326">
        <v>0</v>
      </c>
      <c r="I91" s="326">
        <v>0</v>
      </c>
      <c r="J91" s="326">
        <v>0</v>
      </c>
      <c r="K91" s="326">
        <v>0</v>
      </c>
      <c r="L91" s="327"/>
      <c r="M91" s="327"/>
      <c r="N91" s="268">
        <f>20000*0.15</f>
        <v>3000</v>
      </c>
      <c r="O91" s="268">
        <f t="shared" si="34"/>
        <v>3000</v>
      </c>
    </row>
    <row r="92" spans="2:18" s="252" customFormat="1" x14ac:dyDescent="0.25">
      <c r="B92" s="328" t="s">
        <v>65</v>
      </c>
      <c r="C92" s="329">
        <f t="shared" ref="C92:J92" si="35">C12/1000000</f>
        <v>155424.968502</v>
      </c>
      <c r="D92" s="329">
        <f t="shared" si="35"/>
        <v>38220.893732999997</v>
      </c>
      <c r="E92" s="329">
        <f t="shared" si="35"/>
        <v>202141.069858</v>
      </c>
      <c r="F92" s="329">
        <f t="shared" si="35"/>
        <v>10263.508383</v>
      </c>
      <c r="G92" s="329">
        <f t="shared" si="35"/>
        <v>494537.80528600002</v>
      </c>
      <c r="H92" s="329">
        <f t="shared" si="35"/>
        <v>404975.94392400002</v>
      </c>
      <c r="I92" s="329">
        <f t="shared" si="35"/>
        <v>1013028.759698</v>
      </c>
      <c r="J92" s="329">
        <f t="shared" si="35"/>
        <v>850462.90078000003</v>
      </c>
      <c r="K92" s="329">
        <f>SUM(K84:K88)</f>
        <v>246.46600000000001</v>
      </c>
      <c r="L92" s="329">
        <f>SUM(L84:L88)</f>
        <v>850709.36677999992</v>
      </c>
      <c r="M92" s="329">
        <f>SUM(M84:M87)</f>
        <v>3169302.316164</v>
      </c>
      <c r="N92" s="329">
        <f>SUM(N81:N88)</f>
        <v>37610</v>
      </c>
      <c r="O92" s="329">
        <f>SUM(O84:O88)</f>
        <v>3206912.316164</v>
      </c>
      <c r="Q92" s="330"/>
    </row>
    <row r="93" spans="2:18" x14ac:dyDescent="0.25">
      <c r="B93" s="269" t="s">
        <v>92</v>
      </c>
      <c r="C93" s="275">
        <v>0</v>
      </c>
      <c r="D93" s="275">
        <f t="shared" ref="D93:J93" si="36">D40/1000000</f>
        <v>153725.313398</v>
      </c>
      <c r="E93" s="275">
        <f t="shared" si="36"/>
        <v>105323.324314</v>
      </c>
      <c r="F93" s="275">
        <f t="shared" si="36"/>
        <v>283932.01345899998</v>
      </c>
      <c r="G93" s="275">
        <f t="shared" si="36"/>
        <v>123947.903456</v>
      </c>
      <c r="H93" s="275">
        <f t="shared" si="36"/>
        <v>160113.837019</v>
      </c>
      <c r="I93" s="275">
        <f t="shared" si="36"/>
        <v>133367.15439700001</v>
      </c>
      <c r="J93" s="275">
        <f t="shared" si="36"/>
        <v>50219.215704000002</v>
      </c>
      <c r="K93" s="275">
        <f>J94</f>
        <v>133497.83752099998</v>
      </c>
      <c r="L93" s="275">
        <f>J93</f>
        <v>50219.215704000002</v>
      </c>
      <c r="M93" s="275">
        <v>0</v>
      </c>
      <c r="N93" s="275">
        <f>K94</f>
        <v>119416.45052099998</v>
      </c>
      <c r="O93" s="275">
        <v>0</v>
      </c>
      <c r="P93" s="249"/>
    </row>
    <row r="94" spans="2:18" x14ac:dyDescent="0.25">
      <c r="B94" s="277" t="s">
        <v>93</v>
      </c>
      <c r="C94" s="278">
        <f>C78+C92+C93</f>
        <v>153725.313398</v>
      </c>
      <c r="D94" s="278">
        <f>D78+D92+D93</f>
        <v>105323.324314</v>
      </c>
      <c r="E94" s="278">
        <f t="shared" ref="E94:M94" si="37">E78+E92+E93</f>
        <v>283932.01345900004</v>
      </c>
      <c r="F94" s="278">
        <f t="shared" si="37"/>
        <v>123947.90345599997</v>
      </c>
      <c r="G94" s="278">
        <f t="shared" si="37"/>
        <v>160113.83701900006</v>
      </c>
      <c r="H94" s="278">
        <f t="shared" si="37"/>
        <v>133367.15439700006</v>
      </c>
      <c r="I94" s="278">
        <f t="shared" si="37"/>
        <v>50219.215704000235</v>
      </c>
      <c r="J94" s="278">
        <f t="shared" si="37"/>
        <v>133497.83752099998</v>
      </c>
      <c r="K94" s="278">
        <f t="shared" si="37"/>
        <v>119416.45052099998</v>
      </c>
      <c r="L94" s="278">
        <f t="shared" si="37"/>
        <v>119416.45052099999</v>
      </c>
      <c r="M94" s="278">
        <f t="shared" si="37"/>
        <v>119416.4505210002</v>
      </c>
      <c r="N94" s="278">
        <f>N78+N92+N93-1</f>
        <v>24560.855093999984</v>
      </c>
      <c r="O94" s="278">
        <f>O78+O92+O93-1</f>
        <v>24560.855094000231</v>
      </c>
      <c r="P94" s="249"/>
      <c r="Q94" s="279"/>
      <c r="R94" s="279"/>
    </row>
    <row r="95" spans="2:18" hidden="1" x14ac:dyDescent="0.25">
      <c r="B95" s="252" t="s">
        <v>94</v>
      </c>
      <c r="C95" s="266">
        <f t="shared" ref="C95:J95" si="38">C42/1000000</f>
        <v>153725.313398</v>
      </c>
      <c r="D95" s="266">
        <f t="shared" si="38"/>
        <v>105323.324314</v>
      </c>
      <c r="E95" s="266">
        <f t="shared" si="38"/>
        <v>283932.01345899998</v>
      </c>
      <c r="F95" s="266">
        <f t="shared" si="38"/>
        <v>123947.903456</v>
      </c>
      <c r="G95" s="266">
        <f t="shared" si="38"/>
        <v>160113.837019</v>
      </c>
      <c r="H95" s="266">
        <f t="shared" si="38"/>
        <v>133367.15439700001</v>
      </c>
      <c r="I95" s="266">
        <f t="shared" si="38"/>
        <v>50219.215704000002</v>
      </c>
      <c r="J95" s="266">
        <f t="shared" si="38"/>
        <v>133497.83752100001</v>
      </c>
      <c r="K95" s="266"/>
      <c r="L95" s="266"/>
      <c r="M95" s="266"/>
      <c r="N95" s="266"/>
      <c r="O95" s="266">
        <f>O42/1000000</f>
        <v>133497.83752100001</v>
      </c>
      <c r="Q95" s="279"/>
      <c r="R95" s="279"/>
    </row>
    <row r="96" spans="2:18" hidden="1" x14ac:dyDescent="0.25">
      <c r="B96" s="281" t="s">
        <v>95</v>
      </c>
      <c r="C96" s="282">
        <f t="shared" ref="C96:J96" si="39">+C94-C95</f>
        <v>0</v>
      </c>
      <c r="D96" s="282">
        <f t="shared" si="39"/>
        <v>0</v>
      </c>
      <c r="E96" s="282">
        <f t="shared" si="39"/>
        <v>0</v>
      </c>
      <c r="F96" s="282">
        <f t="shared" si="39"/>
        <v>0</v>
      </c>
      <c r="G96" s="282">
        <f t="shared" si="39"/>
        <v>0</v>
      </c>
      <c r="H96" s="282">
        <f t="shared" si="39"/>
        <v>0</v>
      </c>
      <c r="I96" s="282">
        <f t="shared" si="39"/>
        <v>2.3283064365386963E-10</v>
      </c>
      <c r="J96" s="282">
        <f t="shared" si="39"/>
        <v>0</v>
      </c>
      <c r="K96" s="282"/>
      <c r="L96" s="282"/>
      <c r="M96" s="282"/>
      <c r="N96" s="282"/>
      <c r="O96" s="282" t="e">
        <f>+#REF!-O95</f>
        <v>#REF!</v>
      </c>
      <c r="Q96" s="279"/>
      <c r="R96" s="279"/>
    </row>
    <row r="97" spans="2:15" hidden="1" x14ac:dyDescent="0.25">
      <c r="B97" s="249" t="s">
        <v>98</v>
      </c>
      <c r="D97" s="280"/>
      <c r="E97" s="280"/>
      <c r="F97" s="280"/>
      <c r="G97" s="280"/>
      <c r="H97" s="280">
        <v>298100000</v>
      </c>
      <c r="I97" s="280"/>
      <c r="J97" s="280"/>
      <c r="K97" s="280"/>
      <c r="L97" s="280"/>
      <c r="M97" s="280"/>
      <c r="N97" s="280"/>
      <c r="O97" s="279"/>
    </row>
    <row r="98" spans="2:15" hidden="1" x14ac:dyDescent="0.25">
      <c r="B98" s="249" t="s">
        <v>99</v>
      </c>
      <c r="D98" s="280"/>
      <c r="E98" s="280"/>
      <c r="F98" s="280"/>
      <c r="G98" s="280"/>
      <c r="H98" s="331">
        <f>40000000000+43904373940-8832039360</f>
        <v>75072334580</v>
      </c>
      <c r="I98" s="280"/>
      <c r="J98" s="280"/>
      <c r="K98" s="280"/>
      <c r="L98" s="280"/>
      <c r="M98" s="280"/>
      <c r="N98" s="280"/>
      <c r="O98" s="279"/>
    </row>
    <row r="99" spans="2:15" hidden="1" x14ac:dyDescent="0.25">
      <c r="B99" s="249" t="s">
        <v>100</v>
      </c>
      <c r="D99" s="280"/>
      <c r="E99" s="280"/>
      <c r="F99" s="280"/>
      <c r="G99" s="280"/>
      <c r="H99" s="331">
        <v>409887500</v>
      </c>
      <c r="I99" s="280"/>
      <c r="J99" s="280"/>
      <c r="K99" s="280"/>
      <c r="L99" s="280"/>
      <c r="M99" s="280"/>
      <c r="N99" s="280"/>
      <c r="O99" s="279"/>
    </row>
    <row r="100" spans="2:15" hidden="1" x14ac:dyDescent="0.25">
      <c r="B100" s="249" t="s">
        <v>101</v>
      </c>
      <c r="D100" s="280"/>
      <c r="E100" s="280"/>
      <c r="F100" s="280"/>
      <c r="G100" s="280"/>
      <c r="H100" s="331">
        <f>1858513500-195663000</f>
        <v>1662850500</v>
      </c>
      <c r="I100" s="280"/>
      <c r="J100" s="280"/>
      <c r="K100" s="280"/>
      <c r="L100" s="280"/>
      <c r="M100" s="280"/>
      <c r="N100" s="280"/>
      <c r="O100" s="279"/>
    </row>
    <row r="101" spans="2:15" hidden="1" x14ac:dyDescent="0.25">
      <c r="B101" s="249" t="s">
        <v>102</v>
      </c>
      <c r="D101" s="280"/>
      <c r="E101" s="280"/>
      <c r="F101" s="280"/>
      <c r="G101" s="280"/>
      <c r="H101" s="331">
        <v>55000000000</v>
      </c>
      <c r="I101" s="280"/>
      <c r="J101" s="280"/>
      <c r="K101" s="280"/>
      <c r="L101" s="280"/>
      <c r="M101" s="280"/>
      <c r="N101" s="280"/>
      <c r="O101" s="279"/>
    </row>
    <row r="102" spans="2:15" hidden="1" x14ac:dyDescent="0.25">
      <c r="B102" s="249" t="s">
        <v>103</v>
      </c>
      <c r="D102" s="280"/>
      <c r="E102" s="280"/>
      <c r="F102" s="280"/>
      <c r="G102" s="280"/>
      <c r="H102" s="331">
        <v>37262500</v>
      </c>
      <c r="I102" s="280"/>
      <c r="J102" s="280"/>
      <c r="K102" s="280"/>
      <c r="L102" s="280"/>
      <c r="M102" s="280"/>
      <c r="N102" s="280"/>
      <c r="O102" s="279"/>
    </row>
    <row r="103" spans="2:15" hidden="1" x14ac:dyDescent="0.25">
      <c r="B103" s="249" t="s">
        <v>104</v>
      </c>
      <c r="D103" s="280"/>
      <c r="E103" s="280"/>
      <c r="F103" s="280"/>
      <c r="G103" s="280"/>
      <c r="H103" s="331">
        <f>1824285000-192030000</f>
        <v>1632255000</v>
      </c>
      <c r="I103" s="280"/>
      <c r="J103" s="280"/>
      <c r="K103" s="280"/>
      <c r="L103" s="280"/>
      <c r="M103" s="280"/>
      <c r="N103" s="280"/>
      <c r="O103" s="279"/>
    </row>
    <row r="104" spans="2:15" hidden="1" x14ac:dyDescent="0.25">
      <c r="B104" s="249" t="s">
        <v>105</v>
      </c>
      <c r="D104" s="280"/>
      <c r="E104" s="280"/>
      <c r="F104" s="280"/>
      <c r="G104" s="280"/>
      <c r="H104" s="332">
        <v>184800000</v>
      </c>
      <c r="I104" s="280"/>
      <c r="J104" s="280"/>
      <c r="K104" s="280"/>
      <c r="L104" s="280"/>
      <c r="M104" s="280"/>
      <c r="N104" s="280"/>
      <c r="O104" s="279"/>
    </row>
    <row r="105" spans="2:15" hidden="1" x14ac:dyDescent="0.25">
      <c r="B105" s="249" t="s">
        <v>106</v>
      </c>
      <c r="D105" s="280"/>
      <c r="E105" s="280"/>
      <c r="F105" s="280"/>
      <c r="G105" s="280"/>
      <c r="H105" s="332">
        <v>198308000</v>
      </c>
      <c r="I105" s="280"/>
      <c r="J105" s="280"/>
      <c r="K105" s="280"/>
      <c r="L105" s="280"/>
      <c r="M105" s="280"/>
      <c r="N105" s="280"/>
      <c r="O105" s="279"/>
    </row>
    <row r="106" spans="2:15" hidden="1" x14ac:dyDescent="0.25">
      <c r="B106" s="249" t="s">
        <v>107</v>
      </c>
      <c r="D106" s="280"/>
      <c r="E106" s="280"/>
      <c r="F106" s="280"/>
      <c r="G106" s="280"/>
      <c r="H106" s="331">
        <f>9572800451-6797137451</f>
        <v>2775663000</v>
      </c>
      <c r="I106" s="280"/>
      <c r="J106" s="280"/>
      <c r="K106" s="280"/>
      <c r="L106" s="280"/>
      <c r="M106" s="280"/>
      <c r="N106" s="280"/>
      <c r="O106" s="279"/>
    </row>
    <row r="107" spans="2:15" hidden="1" x14ac:dyDescent="0.25">
      <c r="B107" s="249" t="s">
        <v>108</v>
      </c>
      <c r="D107" s="280"/>
      <c r="E107" s="280"/>
      <c r="F107" s="280"/>
      <c r="G107" s="280"/>
      <c r="H107" s="280">
        <v>8204159048</v>
      </c>
      <c r="I107" s="280"/>
      <c r="J107" s="280"/>
      <c r="K107" s="280"/>
      <c r="L107" s="280"/>
      <c r="M107" s="280"/>
      <c r="N107" s="280"/>
      <c r="O107" s="279"/>
    </row>
    <row r="108" spans="2:15" hidden="1" x14ac:dyDescent="0.25">
      <c r="B108" s="249" t="s">
        <v>109</v>
      </c>
      <c r="D108" s="280"/>
      <c r="E108" s="280"/>
      <c r="F108" s="280"/>
      <c r="G108" s="280"/>
      <c r="H108" s="280">
        <v>396616000</v>
      </c>
      <c r="I108" s="280"/>
      <c r="J108" s="280"/>
      <c r="K108" s="280"/>
      <c r="L108" s="280"/>
      <c r="M108" s="280"/>
      <c r="N108" s="280"/>
      <c r="O108" s="279"/>
    </row>
    <row r="109" spans="2:15" hidden="1" x14ac:dyDescent="0.25">
      <c r="B109" s="249" t="s">
        <v>110</v>
      </c>
      <c r="D109" s="280"/>
      <c r="E109" s="280"/>
      <c r="F109" s="280"/>
      <c r="G109" s="280"/>
      <c r="H109" s="331">
        <f>52017841748-5025879148</f>
        <v>46991962600</v>
      </c>
      <c r="I109" s="280"/>
      <c r="J109" s="280"/>
      <c r="K109" s="280"/>
      <c r="L109" s="280"/>
      <c r="M109" s="280"/>
      <c r="N109" s="280"/>
      <c r="O109" s="279"/>
    </row>
    <row r="110" spans="2:15" hidden="1" x14ac:dyDescent="0.25">
      <c r="B110" s="249" t="s">
        <v>111</v>
      </c>
      <c r="D110" s="280"/>
      <c r="E110" s="280"/>
      <c r="F110" s="280"/>
      <c r="G110" s="280"/>
      <c r="H110" s="331">
        <f>1526935000-160730000</f>
        <v>1366205000</v>
      </c>
      <c r="I110" s="280"/>
      <c r="J110" s="280"/>
      <c r="K110" s="280"/>
      <c r="L110" s="280"/>
      <c r="M110" s="280"/>
      <c r="N110" s="280"/>
      <c r="O110" s="279"/>
    </row>
    <row r="111" spans="2:15" hidden="1" x14ac:dyDescent="0.25">
      <c r="B111" s="249" t="s">
        <v>112</v>
      </c>
      <c r="D111" s="280"/>
      <c r="E111" s="280"/>
      <c r="F111" s="280"/>
      <c r="G111" s="280"/>
      <c r="H111" s="331">
        <f>39975229767-4207919767</f>
        <v>35767310000</v>
      </c>
      <c r="I111" s="280"/>
      <c r="J111" s="280"/>
      <c r="K111" s="280"/>
      <c r="L111" s="280"/>
      <c r="M111" s="280"/>
      <c r="N111" s="280"/>
      <c r="O111" s="279"/>
    </row>
    <row r="112" spans="2:15" hidden="1" x14ac:dyDescent="0.25">
      <c r="B112" s="249" t="s">
        <v>113</v>
      </c>
      <c r="D112" s="280"/>
      <c r="E112" s="280"/>
      <c r="F112" s="280"/>
      <c r="G112" s="280"/>
      <c r="H112" s="331">
        <f>1527790000-160820000</f>
        <v>1366970000</v>
      </c>
      <c r="I112" s="280"/>
      <c r="J112" s="280"/>
      <c r="K112" s="280"/>
      <c r="L112" s="280"/>
      <c r="M112" s="280"/>
      <c r="N112" s="280"/>
      <c r="O112" s="279"/>
    </row>
    <row r="113" spans="2:15" hidden="1" x14ac:dyDescent="0.25">
      <c r="B113" s="249" t="s">
        <v>109</v>
      </c>
      <c r="D113" s="280"/>
      <c r="E113" s="280"/>
      <c r="F113" s="280"/>
      <c r="G113" s="280"/>
      <c r="H113" s="280">
        <v>396616000</v>
      </c>
      <c r="I113" s="280"/>
      <c r="J113" s="280"/>
      <c r="K113" s="280"/>
      <c r="L113" s="280"/>
      <c r="M113" s="280"/>
      <c r="N113" s="280"/>
      <c r="O113" s="279"/>
    </row>
    <row r="114" spans="2:15" hidden="1" x14ac:dyDescent="0.25">
      <c r="B114" s="249" t="s">
        <v>114</v>
      </c>
      <c r="D114" s="280"/>
      <c r="E114" s="280"/>
      <c r="F114" s="280"/>
      <c r="G114" s="280"/>
      <c r="H114" s="280">
        <f>37486644827-3945962827</f>
        <v>33540682000</v>
      </c>
      <c r="I114" s="280"/>
      <c r="J114" s="280"/>
      <c r="K114" s="280"/>
      <c r="L114" s="280"/>
      <c r="M114" s="280"/>
      <c r="N114" s="280"/>
      <c r="O114" s="279"/>
    </row>
    <row r="115" spans="2:15" hidden="1" x14ac:dyDescent="0.25"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79"/>
    </row>
    <row r="116" spans="2:15" hidden="1" x14ac:dyDescent="0.25">
      <c r="B116" s="249" t="s">
        <v>115</v>
      </c>
      <c r="D116" s="280"/>
      <c r="E116" s="280"/>
      <c r="F116" s="280"/>
      <c r="G116" s="280"/>
      <c r="H116" s="280">
        <f>40905500-3432568</f>
        <v>37472932</v>
      </c>
      <c r="I116" s="280"/>
      <c r="J116" s="280"/>
      <c r="K116" s="280"/>
      <c r="L116" s="280"/>
      <c r="M116" s="280"/>
      <c r="N116" s="280"/>
      <c r="O116" s="279"/>
    </row>
    <row r="117" spans="2:15" hidden="1" x14ac:dyDescent="0.25">
      <c r="B117" s="249" t="s">
        <v>116</v>
      </c>
      <c r="D117" s="280"/>
      <c r="E117" s="280"/>
      <c r="F117" s="280"/>
      <c r="G117" s="280"/>
      <c r="H117" s="280">
        <v>42000000</v>
      </c>
      <c r="I117" s="280"/>
      <c r="J117" s="280"/>
      <c r="K117" s="280"/>
      <c r="L117" s="280"/>
      <c r="M117" s="280"/>
      <c r="N117" s="280"/>
      <c r="O117" s="279"/>
    </row>
    <row r="118" spans="2:15" hidden="1" x14ac:dyDescent="0.25">
      <c r="B118" s="249" t="s">
        <v>117</v>
      </c>
      <c r="D118" s="280"/>
      <c r="E118" s="280"/>
      <c r="F118" s="280"/>
      <c r="G118" s="280"/>
      <c r="H118" s="280"/>
      <c r="I118" s="280">
        <v>660000000</v>
      </c>
      <c r="J118" s="280"/>
      <c r="K118" s="280"/>
      <c r="L118" s="280"/>
      <c r="M118" s="280"/>
      <c r="N118" s="280"/>
      <c r="O118" s="279"/>
    </row>
    <row r="119" spans="2:15" hidden="1" x14ac:dyDescent="0.25">
      <c r="B119" s="249" t="s">
        <v>118</v>
      </c>
      <c r="D119" s="280"/>
      <c r="E119" s="280"/>
      <c r="F119" s="280"/>
      <c r="G119" s="280"/>
      <c r="H119" s="280"/>
      <c r="I119" s="280">
        <v>10000000</v>
      </c>
      <c r="J119" s="280"/>
      <c r="K119" s="280"/>
      <c r="L119" s="280"/>
      <c r="M119" s="280"/>
      <c r="N119" s="280"/>
      <c r="O119" s="279"/>
    </row>
    <row r="120" spans="2:15" hidden="1" x14ac:dyDescent="0.25">
      <c r="B120" s="249" t="s">
        <v>119</v>
      </c>
      <c r="D120" s="280"/>
      <c r="E120" s="280"/>
      <c r="F120" s="280"/>
      <c r="G120" s="280"/>
      <c r="H120" s="280"/>
      <c r="I120" s="280">
        <v>149077000</v>
      </c>
      <c r="J120" s="280"/>
      <c r="K120" s="280"/>
      <c r="L120" s="280"/>
      <c r="M120" s="280"/>
      <c r="N120" s="280"/>
      <c r="O120" s="279"/>
    </row>
    <row r="121" spans="2:15" hidden="1" x14ac:dyDescent="0.25">
      <c r="B121" s="249" t="s">
        <v>120</v>
      </c>
      <c r="D121" s="280"/>
      <c r="E121" s="280"/>
      <c r="F121" s="280"/>
      <c r="G121" s="280"/>
      <c r="H121" s="280"/>
      <c r="I121" s="280">
        <v>157773000</v>
      </c>
      <c r="J121" s="280"/>
      <c r="K121" s="280"/>
      <c r="L121" s="280"/>
      <c r="M121" s="280"/>
      <c r="N121" s="280"/>
      <c r="O121" s="279"/>
    </row>
    <row r="122" spans="2:15" hidden="1" x14ac:dyDescent="0.25">
      <c r="B122" s="249" t="s">
        <v>121</v>
      </c>
      <c r="D122" s="280"/>
      <c r="E122" s="280"/>
      <c r="F122" s="280"/>
      <c r="G122" s="280"/>
      <c r="H122" s="280"/>
      <c r="I122" s="280">
        <v>12500000</v>
      </c>
      <c r="J122" s="280"/>
      <c r="K122" s="280"/>
      <c r="L122" s="280"/>
      <c r="M122" s="280"/>
      <c r="N122" s="280"/>
      <c r="O122" s="279"/>
    </row>
    <row r="123" spans="2:15" hidden="1" x14ac:dyDescent="0.25">
      <c r="B123" s="249" t="s">
        <v>122</v>
      </c>
      <c r="D123" s="280"/>
      <c r="E123" s="280"/>
      <c r="F123" s="280"/>
      <c r="G123" s="280"/>
      <c r="H123" s="280"/>
      <c r="I123" s="280">
        <v>19800000</v>
      </c>
      <c r="J123" s="280"/>
      <c r="K123" s="280"/>
      <c r="L123" s="280"/>
      <c r="M123" s="280"/>
      <c r="N123" s="280"/>
      <c r="O123" s="279"/>
    </row>
    <row r="124" spans="2:15" hidden="1" x14ac:dyDescent="0.25">
      <c r="B124" s="249" t="s">
        <v>123</v>
      </c>
      <c r="D124" s="280"/>
      <c r="E124" s="280"/>
      <c r="F124" s="280"/>
      <c r="G124" s="280"/>
      <c r="H124" s="280"/>
      <c r="I124" s="286">
        <f>37918299713-3991400713</f>
        <v>33926899000</v>
      </c>
      <c r="J124" s="280"/>
      <c r="K124" s="280"/>
      <c r="L124" s="280"/>
      <c r="M124" s="280"/>
      <c r="N124" s="280"/>
      <c r="O124" s="279"/>
    </row>
    <row r="125" spans="2:15" hidden="1" x14ac:dyDescent="0.25">
      <c r="B125" s="249" t="s">
        <v>124</v>
      </c>
      <c r="D125" s="280"/>
      <c r="E125" s="280"/>
      <c r="F125" s="280"/>
      <c r="G125" s="280"/>
      <c r="H125" s="280"/>
      <c r="I125" s="286">
        <f>38686777391-4072292391</f>
        <v>34614485000</v>
      </c>
      <c r="J125" s="280"/>
      <c r="K125" s="280"/>
      <c r="L125" s="280"/>
      <c r="M125" s="280"/>
      <c r="N125" s="280"/>
      <c r="O125" s="279"/>
    </row>
    <row r="126" spans="2:15" hidden="1" x14ac:dyDescent="0.25">
      <c r="B126" s="249" t="s">
        <v>125</v>
      </c>
      <c r="D126" s="280"/>
      <c r="E126" s="280"/>
      <c r="F126" s="280"/>
      <c r="G126" s="280"/>
      <c r="H126" s="280"/>
      <c r="I126" s="280">
        <v>7500000</v>
      </c>
      <c r="J126" s="280"/>
      <c r="K126" s="280"/>
      <c r="L126" s="280"/>
      <c r="M126" s="280"/>
      <c r="N126" s="280"/>
      <c r="O126" s="279"/>
    </row>
    <row r="127" spans="2:15" hidden="1" x14ac:dyDescent="0.25">
      <c r="B127" s="249" t="s">
        <v>126</v>
      </c>
      <c r="D127" s="280"/>
      <c r="E127" s="280"/>
      <c r="F127" s="280"/>
      <c r="G127" s="280"/>
      <c r="H127" s="280"/>
      <c r="I127" s="280">
        <f>324710000+143329492</f>
        <v>468039492</v>
      </c>
      <c r="J127" s="280"/>
      <c r="K127" s="280"/>
      <c r="L127" s="280"/>
      <c r="M127" s="280"/>
      <c r="N127" s="280"/>
      <c r="O127" s="279"/>
    </row>
    <row r="128" spans="2:15" hidden="1" x14ac:dyDescent="0.25">
      <c r="B128" s="249" t="s">
        <v>127</v>
      </c>
      <c r="D128" s="280"/>
      <c r="E128" s="280"/>
      <c r="F128" s="280"/>
      <c r="G128" s="280"/>
      <c r="H128" s="280"/>
      <c r="I128" s="280">
        <v>559475000</v>
      </c>
      <c r="J128" s="280"/>
      <c r="K128" s="280"/>
      <c r="L128" s="280"/>
      <c r="M128" s="280"/>
      <c r="N128" s="280"/>
      <c r="O128" s="279"/>
    </row>
    <row r="129" spans="2:15" hidden="1" x14ac:dyDescent="0.25">
      <c r="B129" s="249" t="s">
        <v>119</v>
      </c>
      <c r="D129" s="280"/>
      <c r="E129" s="280"/>
      <c r="F129" s="280"/>
      <c r="G129" s="280"/>
      <c r="H129" s="280"/>
      <c r="I129" s="280">
        <v>149077000</v>
      </c>
      <c r="J129" s="280"/>
      <c r="K129" s="280"/>
      <c r="L129" s="280"/>
      <c r="M129" s="280"/>
      <c r="N129" s="280"/>
      <c r="O129" s="279"/>
    </row>
    <row r="130" spans="2:15" hidden="1" x14ac:dyDescent="0.25">
      <c r="B130" s="249" t="s">
        <v>128</v>
      </c>
      <c r="D130" s="280"/>
      <c r="E130" s="280"/>
      <c r="F130" s="280"/>
      <c r="G130" s="280"/>
      <c r="H130" s="280"/>
      <c r="I130" s="280">
        <f>130061304714-23252504714</f>
        <v>106808800000</v>
      </c>
      <c r="J130" s="280"/>
      <c r="K130" s="280"/>
      <c r="L130" s="280"/>
      <c r="M130" s="280"/>
      <c r="N130" s="280"/>
      <c r="O130" s="279"/>
    </row>
    <row r="131" spans="2:15" hidden="1" x14ac:dyDescent="0.25">
      <c r="B131" s="249" t="s">
        <v>129</v>
      </c>
      <c r="D131" s="280"/>
      <c r="E131" s="280"/>
      <c r="F131" s="280"/>
      <c r="G131" s="280"/>
      <c r="H131" s="280"/>
      <c r="I131" s="333">
        <v>61208100000</v>
      </c>
      <c r="J131" s="280"/>
      <c r="K131" s="280"/>
      <c r="L131" s="280"/>
      <c r="M131" s="280"/>
      <c r="N131" s="280"/>
      <c r="O131" s="279"/>
    </row>
    <row r="132" spans="2:15" hidden="1" x14ac:dyDescent="0.25">
      <c r="B132" s="249" t="s">
        <v>130</v>
      </c>
      <c r="D132" s="280"/>
      <c r="E132" s="280"/>
      <c r="F132" s="280"/>
      <c r="G132" s="280"/>
      <c r="H132" s="280"/>
      <c r="I132" s="333">
        <v>74002361400</v>
      </c>
      <c r="J132" s="280"/>
      <c r="K132" s="280"/>
      <c r="L132" s="280"/>
      <c r="M132" s="280"/>
      <c r="N132" s="280"/>
      <c r="O132" s="279"/>
    </row>
    <row r="133" spans="2:15" hidden="1" x14ac:dyDescent="0.25">
      <c r="B133" s="249" t="s">
        <v>131</v>
      </c>
      <c r="D133" s="280"/>
      <c r="E133" s="280"/>
      <c r="F133" s="280"/>
      <c r="G133" s="280"/>
      <c r="H133" s="280"/>
      <c r="I133" s="280">
        <v>140994705000</v>
      </c>
      <c r="J133" s="280"/>
      <c r="K133" s="280"/>
      <c r="L133" s="280"/>
      <c r="M133" s="280"/>
      <c r="N133" s="280"/>
      <c r="O133" s="279"/>
    </row>
    <row r="134" spans="2:15" hidden="1" x14ac:dyDescent="0.25">
      <c r="B134" s="249" t="s">
        <v>132</v>
      </c>
      <c r="D134" s="280"/>
      <c r="E134" s="280"/>
      <c r="F134" s="280"/>
      <c r="G134" s="280"/>
      <c r="H134" s="280"/>
      <c r="I134" s="280">
        <v>750000000</v>
      </c>
      <c r="J134" s="280"/>
      <c r="K134" s="280"/>
      <c r="L134" s="280"/>
      <c r="M134" s="280"/>
      <c r="N134" s="280"/>
      <c r="O134" s="279"/>
    </row>
    <row r="135" spans="2:15" hidden="1" x14ac:dyDescent="0.25">
      <c r="B135" s="249" t="s">
        <v>133</v>
      </c>
      <c r="D135" s="280"/>
      <c r="E135" s="280"/>
      <c r="F135" s="280"/>
      <c r="G135" s="280"/>
      <c r="H135" s="280"/>
      <c r="I135" s="280">
        <v>105182000</v>
      </c>
      <c r="J135" s="280"/>
      <c r="K135" s="280"/>
      <c r="L135" s="280"/>
      <c r="M135" s="280"/>
      <c r="N135" s="280"/>
      <c r="O135" s="279"/>
    </row>
    <row r="136" spans="2:15" hidden="1" x14ac:dyDescent="0.25">
      <c r="B136" s="249" t="s">
        <v>134</v>
      </c>
      <c r="D136" s="280"/>
      <c r="E136" s="280"/>
      <c r="F136" s="280"/>
      <c r="G136" s="280"/>
      <c r="H136" s="280"/>
      <c r="I136" s="333">
        <v>39571224000</v>
      </c>
      <c r="J136" s="280"/>
      <c r="K136" s="280"/>
      <c r="L136" s="280"/>
      <c r="M136" s="280"/>
      <c r="N136" s="280"/>
      <c r="O136" s="279"/>
    </row>
    <row r="137" spans="2:15" hidden="1" x14ac:dyDescent="0.25">
      <c r="B137" s="249" t="s">
        <v>135</v>
      </c>
      <c r="D137" s="280"/>
      <c r="E137" s="280"/>
      <c r="F137" s="280"/>
      <c r="G137" s="280"/>
      <c r="H137" s="280"/>
      <c r="I137" s="280">
        <v>91531557000</v>
      </c>
      <c r="J137" s="280"/>
      <c r="K137" s="280"/>
      <c r="L137" s="280"/>
      <c r="M137" s="280"/>
      <c r="N137" s="280"/>
      <c r="O137" s="279"/>
    </row>
    <row r="138" spans="2:15" hidden="1" x14ac:dyDescent="0.25">
      <c r="B138" s="249" t="s">
        <v>136</v>
      </c>
      <c r="D138" s="280"/>
      <c r="E138" s="280"/>
      <c r="F138" s="280"/>
      <c r="G138" s="280"/>
      <c r="H138" s="280"/>
      <c r="I138" s="333">
        <v>97996324800</v>
      </c>
      <c r="J138" s="280"/>
      <c r="K138" s="280"/>
      <c r="L138" s="280"/>
      <c r="M138" s="280"/>
      <c r="N138" s="280"/>
      <c r="O138" s="279"/>
    </row>
    <row r="139" spans="2:15" hidden="1" x14ac:dyDescent="0.25">
      <c r="B139" s="249" t="s">
        <v>137</v>
      </c>
      <c r="D139" s="280"/>
      <c r="E139" s="280"/>
      <c r="F139" s="280"/>
      <c r="G139" s="280"/>
      <c r="H139" s="280"/>
      <c r="I139" s="333">
        <v>97996324800</v>
      </c>
      <c r="J139" s="280"/>
      <c r="K139" s="280"/>
      <c r="L139" s="280"/>
      <c r="M139" s="280"/>
      <c r="N139" s="280"/>
      <c r="O139" s="279"/>
    </row>
    <row r="140" spans="2:15" hidden="1" x14ac:dyDescent="0.25">
      <c r="B140" s="249" t="s">
        <v>138</v>
      </c>
      <c r="D140" s="280"/>
      <c r="E140" s="280"/>
      <c r="F140" s="280"/>
      <c r="G140" s="280"/>
      <c r="H140" s="280"/>
      <c r="I140" s="333">
        <v>79326600000</v>
      </c>
      <c r="J140" s="280"/>
      <c r="K140" s="280"/>
      <c r="L140" s="280"/>
      <c r="M140" s="280"/>
      <c r="N140" s="280"/>
      <c r="O140" s="279"/>
    </row>
    <row r="141" spans="2:15" hidden="1" x14ac:dyDescent="0.25">
      <c r="B141" s="249" t="s">
        <v>139</v>
      </c>
      <c r="D141" s="280"/>
      <c r="E141" s="280"/>
      <c r="F141" s="280"/>
      <c r="G141" s="280"/>
      <c r="H141" s="280"/>
      <c r="I141" s="280">
        <v>100000000</v>
      </c>
      <c r="J141" s="280"/>
      <c r="K141" s="280"/>
      <c r="L141" s="280"/>
      <c r="M141" s="280"/>
      <c r="N141" s="280"/>
      <c r="O141" s="279"/>
    </row>
    <row r="142" spans="2:15" hidden="1" x14ac:dyDescent="0.25">
      <c r="B142" s="249" t="s">
        <v>140</v>
      </c>
      <c r="D142" s="280"/>
      <c r="E142" s="280"/>
      <c r="F142" s="280"/>
      <c r="G142" s="280"/>
      <c r="H142" s="280"/>
      <c r="I142" s="280">
        <v>2796557750</v>
      </c>
      <c r="J142" s="280"/>
      <c r="K142" s="280"/>
      <c r="L142" s="280"/>
      <c r="M142" s="280"/>
      <c r="N142" s="280"/>
      <c r="O142" s="279"/>
    </row>
    <row r="143" spans="2:15" hidden="1" x14ac:dyDescent="0.25">
      <c r="B143" s="249" t="s">
        <v>141</v>
      </c>
      <c r="D143" s="280"/>
      <c r="E143" s="280"/>
      <c r="F143" s="280"/>
      <c r="G143" s="280"/>
      <c r="H143" s="280"/>
      <c r="I143" s="280">
        <f>1000000+6000000</f>
        <v>7000000</v>
      </c>
      <c r="J143" s="280"/>
      <c r="K143" s="280"/>
      <c r="L143" s="280"/>
      <c r="M143" s="280"/>
      <c r="N143" s="280"/>
      <c r="O143" s="280"/>
    </row>
    <row r="144" spans="2:15" hidden="1" x14ac:dyDescent="0.25">
      <c r="B144" s="249" t="s">
        <v>142</v>
      </c>
      <c r="D144" s="280"/>
      <c r="E144" s="280"/>
      <c r="F144" s="280"/>
      <c r="G144" s="280"/>
      <c r="H144" s="280"/>
      <c r="I144" s="280">
        <v>45925000</v>
      </c>
      <c r="J144" s="280"/>
      <c r="K144" s="280"/>
      <c r="L144" s="280"/>
      <c r="M144" s="280"/>
      <c r="N144" s="280"/>
      <c r="O144" s="280"/>
    </row>
    <row r="145" spans="2:15" hidden="1" x14ac:dyDescent="0.25">
      <c r="B145" s="249" t="s">
        <v>142</v>
      </c>
      <c r="D145" s="280"/>
      <c r="E145" s="280"/>
      <c r="F145" s="280"/>
      <c r="G145" s="280"/>
      <c r="H145" s="280"/>
      <c r="I145" s="280">
        <v>37800000</v>
      </c>
      <c r="J145" s="280"/>
      <c r="K145" s="280"/>
      <c r="L145" s="280"/>
      <c r="M145" s="280"/>
      <c r="N145" s="280"/>
      <c r="O145" s="280"/>
    </row>
    <row r="146" spans="2:15" hidden="1" x14ac:dyDescent="0.25">
      <c r="B146" s="249" t="s">
        <v>143</v>
      </c>
      <c r="D146" s="280"/>
      <c r="E146" s="280"/>
      <c r="F146" s="280"/>
      <c r="G146" s="280"/>
      <c r="H146" s="280"/>
      <c r="I146" s="280">
        <v>48125000</v>
      </c>
      <c r="J146" s="280"/>
      <c r="K146" s="280"/>
      <c r="L146" s="280"/>
      <c r="M146" s="280"/>
      <c r="N146" s="280"/>
      <c r="O146" s="280"/>
    </row>
    <row r="147" spans="2:15" hidden="1" x14ac:dyDescent="0.25">
      <c r="B147" s="249" t="s">
        <v>144</v>
      </c>
      <c r="D147" s="280"/>
      <c r="E147" s="280"/>
      <c r="F147" s="280"/>
      <c r="G147" s="280"/>
      <c r="H147" s="280"/>
      <c r="I147" s="280">
        <v>4180000</v>
      </c>
      <c r="J147" s="280"/>
      <c r="K147" s="280"/>
      <c r="L147" s="280"/>
      <c r="M147" s="280"/>
      <c r="N147" s="280"/>
      <c r="O147" s="280"/>
    </row>
    <row r="148" spans="2:15" hidden="1" x14ac:dyDescent="0.25">
      <c r="B148" s="249" t="s">
        <v>145</v>
      </c>
      <c r="D148" s="280"/>
      <c r="E148" s="280"/>
      <c r="F148" s="280"/>
      <c r="G148" s="280"/>
      <c r="H148" s="280"/>
      <c r="I148" s="280"/>
      <c r="J148" s="280">
        <v>23067000</v>
      </c>
      <c r="K148" s="280"/>
      <c r="L148" s="280"/>
      <c r="M148" s="280"/>
      <c r="N148" s="280"/>
      <c r="O148" s="280">
        <v>23067000</v>
      </c>
    </row>
    <row r="149" spans="2:15" hidden="1" x14ac:dyDescent="0.25">
      <c r="B149" s="249" t="s">
        <v>146</v>
      </c>
      <c r="D149" s="280"/>
      <c r="E149" s="280"/>
      <c r="F149" s="280"/>
      <c r="G149" s="280"/>
      <c r="H149" s="280"/>
      <c r="I149" s="280"/>
      <c r="J149" s="283">
        <v>94830225600</v>
      </c>
      <c r="K149" s="283"/>
      <c r="L149" s="283"/>
      <c r="M149" s="283"/>
      <c r="N149" s="283"/>
      <c r="O149" s="283">
        <v>94830225600</v>
      </c>
    </row>
    <row r="150" spans="2:15" hidden="1" x14ac:dyDescent="0.25">
      <c r="B150" s="249" t="s">
        <v>147</v>
      </c>
      <c r="D150" s="280"/>
      <c r="E150" s="280"/>
      <c r="F150" s="280"/>
      <c r="G150" s="280"/>
      <c r="H150" s="280"/>
      <c r="I150" s="280"/>
      <c r="J150" s="283">
        <v>19119049000</v>
      </c>
      <c r="K150" s="283"/>
      <c r="L150" s="283"/>
      <c r="M150" s="283"/>
      <c r="N150" s="283"/>
      <c r="O150" s="283">
        <v>19119049000</v>
      </c>
    </row>
    <row r="151" spans="2:15" hidden="1" x14ac:dyDescent="0.25">
      <c r="B151" s="249" t="s">
        <v>148</v>
      </c>
      <c r="D151" s="280"/>
      <c r="E151" s="280"/>
      <c r="F151" s="280"/>
      <c r="G151" s="280"/>
      <c r="H151" s="280"/>
      <c r="I151" s="280"/>
      <c r="J151" s="283">
        <v>85728000000</v>
      </c>
      <c r="K151" s="283"/>
      <c r="L151" s="283"/>
      <c r="M151" s="283"/>
      <c r="N151" s="283"/>
      <c r="O151" s="283">
        <v>85728000000</v>
      </c>
    </row>
    <row r="152" spans="2:15" hidden="1" x14ac:dyDescent="0.25">
      <c r="B152" s="249" t="s">
        <v>149</v>
      </c>
      <c r="D152" s="280"/>
      <c r="E152" s="280"/>
      <c r="F152" s="280"/>
      <c r="G152" s="280"/>
      <c r="H152" s="280"/>
      <c r="I152" s="280"/>
      <c r="J152" s="283">
        <v>114465595200</v>
      </c>
      <c r="K152" s="283"/>
      <c r="L152" s="283"/>
      <c r="M152" s="283"/>
      <c r="N152" s="283"/>
      <c r="O152" s="283">
        <v>114465595200</v>
      </c>
    </row>
    <row r="153" spans="2:15" hidden="1" x14ac:dyDescent="0.25">
      <c r="B153" s="249" t="s">
        <v>150</v>
      </c>
      <c r="D153" s="280"/>
      <c r="E153" s="280"/>
      <c r="F153" s="280"/>
      <c r="G153" s="280"/>
      <c r="H153" s="280"/>
      <c r="I153" s="280"/>
      <c r="J153" s="283">
        <v>85316280000</v>
      </c>
      <c r="K153" s="283"/>
      <c r="L153" s="283"/>
      <c r="M153" s="283"/>
      <c r="N153" s="283"/>
      <c r="O153" s="283">
        <v>85316280000</v>
      </c>
    </row>
    <row r="154" spans="2:15" hidden="1" x14ac:dyDescent="0.25">
      <c r="B154" s="249" t="s">
        <v>151</v>
      </c>
      <c r="D154" s="280"/>
      <c r="E154" s="280"/>
      <c r="F154" s="280"/>
      <c r="G154" s="280"/>
      <c r="H154" s="280"/>
      <c r="I154" s="280"/>
      <c r="J154" s="283">
        <v>42147720000</v>
      </c>
      <c r="K154" s="283"/>
      <c r="L154" s="283"/>
      <c r="M154" s="283"/>
      <c r="N154" s="283"/>
      <c r="O154" s="283">
        <v>42147720000</v>
      </c>
    </row>
    <row r="155" spans="2:15" hidden="1" x14ac:dyDescent="0.25">
      <c r="B155" s="249" t="s">
        <v>152</v>
      </c>
      <c r="D155" s="280"/>
      <c r="E155" s="280"/>
      <c r="F155" s="280"/>
      <c r="G155" s="280"/>
      <c r="H155" s="280"/>
      <c r="I155" s="280"/>
      <c r="J155" s="283">
        <v>2198292938</v>
      </c>
      <c r="K155" s="283"/>
      <c r="L155" s="283"/>
      <c r="M155" s="283"/>
      <c r="N155" s="283"/>
      <c r="O155" s="283">
        <v>2198292938</v>
      </c>
    </row>
    <row r="156" spans="2:15" hidden="1" x14ac:dyDescent="0.25">
      <c r="B156" s="249" t="s">
        <v>153</v>
      </c>
      <c r="D156" s="280"/>
      <c r="E156" s="280"/>
      <c r="F156" s="280"/>
      <c r="G156" s="280"/>
      <c r="H156" s="280"/>
      <c r="I156" s="280"/>
      <c r="J156" s="283">
        <v>2590342675</v>
      </c>
      <c r="K156" s="283"/>
      <c r="L156" s="283"/>
      <c r="M156" s="283"/>
      <c r="N156" s="283"/>
      <c r="O156" s="283">
        <v>2590342675</v>
      </c>
    </row>
    <row r="157" spans="2:15" hidden="1" x14ac:dyDescent="0.25">
      <c r="B157" s="249" t="s">
        <v>154</v>
      </c>
      <c r="D157" s="280"/>
      <c r="E157" s="280"/>
      <c r="F157" s="280"/>
      <c r="G157" s="280"/>
      <c r="H157" s="280"/>
      <c r="I157" s="280"/>
      <c r="J157" s="283">
        <v>1698341321</v>
      </c>
      <c r="K157" s="283"/>
      <c r="L157" s="283"/>
      <c r="M157" s="283"/>
      <c r="N157" s="283"/>
      <c r="O157" s="283">
        <v>1698341321</v>
      </c>
    </row>
    <row r="158" spans="2:15" hidden="1" x14ac:dyDescent="0.25">
      <c r="B158" s="249" t="s">
        <v>152</v>
      </c>
      <c r="D158" s="280"/>
      <c r="E158" s="280"/>
      <c r="F158" s="280"/>
      <c r="G158" s="280"/>
      <c r="H158" s="280"/>
      <c r="I158" s="280"/>
      <c r="J158" s="283">
        <v>3088234187</v>
      </c>
      <c r="K158" s="283"/>
      <c r="L158" s="283"/>
      <c r="M158" s="283"/>
      <c r="N158" s="283"/>
      <c r="O158" s="283">
        <v>3088234187</v>
      </c>
    </row>
    <row r="159" spans="2:15" hidden="1" x14ac:dyDescent="0.25">
      <c r="B159" s="249" t="s">
        <v>155</v>
      </c>
      <c r="D159" s="280"/>
      <c r="E159" s="280"/>
      <c r="F159" s="280"/>
      <c r="G159" s="280"/>
      <c r="H159" s="280"/>
      <c r="I159" s="280"/>
      <c r="J159" s="280">
        <v>49511045500</v>
      </c>
      <c r="K159" s="280"/>
      <c r="L159" s="280"/>
      <c r="M159" s="280"/>
      <c r="N159" s="280"/>
      <c r="O159" s="280">
        <v>49511045500</v>
      </c>
    </row>
    <row r="160" spans="2:15" hidden="1" x14ac:dyDescent="0.25">
      <c r="B160" s="249" t="s">
        <v>156</v>
      </c>
      <c r="D160" s="280"/>
      <c r="E160" s="280"/>
      <c r="F160" s="280"/>
      <c r="G160" s="280"/>
      <c r="H160" s="280"/>
      <c r="I160" s="280"/>
      <c r="J160" s="280">
        <v>77348338800</v>
      </c>
      <c r="K160" s="280"/>
      <c r="L160" s="280"/>
      <c r="M160" s="280"/>
      <c r="N160" s="280"/>
      <c r="O160" s="280">
        <v>77348338800</v>
      </c>
    </row>
    <row r="161" spans="2:15" hidden="1" x14ac:dyDescent="0.25">
      <c r="B161" s="249" t="s">
        <v>157</v>
      </c>
      <c r="D161" s="280"/>
      <c r="E161" s="280"/>
      <c r="F161" s="280"/>
      <c r="G161" s="280"/>
      <c r="H161" s="280"/>
      <c r="I161" s="280"/>
      <c r="J161" s="280">
        <v>131987900</v>
      </c>
      <c r="K161" s="280"/>
      <c r="L161" s="280"/>
      <c r="M161" s="280"/>
      <c r="N161" s="280"/>
      <c r="O161" s="280">
        <v>131987900</v>
      </c>
    </row>
    <row r="162" spans="2:15" hidden="1" x14ac:dyDescent="0.25">
      <c r="B162" s="249" t="s">
        <v>158</v>
      </c>
      <c r="D162" s="280"/>
      <c r="E162" s="280"/>
      <c r="F162" s="280"/>
      <c r="G162" s="280"/>
      <c r="H162" s="280"/>
      <c r="I162" s="280"/>
      <c r="J162" s="283">
        <v>41445554100</v>
      </c>
      <c r="K162" s="283"/>
      <c r="L162" s="283"/>
      <c r="M162" s="283"/>
      <c r="N162" s="283"/>
      <c r="O162" s="283">
        <v>41445554100</v>
      </c>
    </row>
    <row r="163" spans="2:15" hidden="1" x14ac:dyDescent="0.25">
      <c r="B163" s="249" t="s">
        <v>132</v>
      </c>
      <c r="D163" s="280"/>
      <c r="E163" s="280"/>
      <c r="F163" s="280"/>
      <c r="G163" s="280"/>
      <c r="H163" s="280"/>
      <c r="I163" s="280"/>
      <c r="J163" s="280">
        <v>750000000</v>
      </c>
      <c r="K163" s="280"/>
      <c r="L163" s="280"/>
      <c r="M163" s="280"/>
      <c r="N163" s="280"/>
      <c r="O163" s="280">
        <v>750000000</v>
      </c>
    </row>
    <row r="164" spans="2:15" hidden="1" x14ac:dyDescent="0.25">
      <c r="B164" s="249" t="s">
        <v>83</v>
      </c>
      <c r="D164" s="280"/>
      <c r="E164" s="280"/>
      <c r="F164" s="280"/>
      <c r="G164" s="280"/>
      <c r="H164" s="280"/>
      <c r="I164" s="280"/>
      <c r="J164" s="280">
        <v>8885280000</v>
      </c>
      <c r="K164" s="280"/>
      <c r="L164" s="280"/>
      <c r="M164" s="280"/>
      <c r="N164" s="280"/>
      <c r="O164" s="280">
        <v>8885280000</v>
      </c>
    </row>
    <row r="165" spans="2:15" hidden="1" x14ac:dyDescent="0.25">
      <c r="B165" s="249" t="s">
        <v>139</v>
      </c>
      <c r="D165" s="280"/>
      <c r="E165" s="280"/>
      <c r="F165" s="280"/>
      <c r="G165" s="280"/>
      <c r="H165" s="280"/>
      <c r="I165" s="280"/>
      <c r="J165" s="280">
        <v>100000000</v>
      </c>
      <c r="K165" s="280"/>
      <c r="L165" s="280"/>
      <c r="M165" s="280"/>
      <c r="N165" s="280"/>
      <c r="O165" s="280">
        <v>100000000</v>
      </c>
    </row>
    <row r="166" spans="2:15" hidden="1" x14ac:dyDescent="0.25">
      <c r="D166" s="279"/>
      <c r="E166" s="279"/>
      <c r="F166" s="279"/>
      <c r="G166" s="279"/>
      <c r="H166" s="279"/>
      <c r="I166" s="279"/>
      <c r="J166" s="280"/>
      <c r="K166" s="280"/>
      <c r="L166" s="280"/>
      <c r="M166" s="280"/>
      <c r="N166" s="280"/>
      <c r="O166" s="280"/>
    </row>
    <row r="167" spans="2:15" hidden="1" x14ac:dyDescent="0.25"/>
    <row r="168" spans="2:15" hidden="1" x14ac:dyDescent="0.25"/>
    <row r="169" spans="2:15" hidden="1" x14ac:dyDescent="0.25"/>
    <row r="170" spans="2:15" hidden="1" x14ac:dyDescent="0.25"/>
    <row r="171" spans="2:15" hidden="1" x14ac:dyDescent="0.25"/>
    <row r="172" spans="2:15" hidden="1" x14ac:dyDescent="0.25"/>
    <row r="174" spans="2:15" hidden="1" x14ac:dyDescent="0.25"/>
    <row r="175" spans="2:15" hidden="1" x14ac:dyDescent="0.25">
      <c r="D175" s="334">
        <f>+SUM(D51:D68)</f>
        <v>-64568.080235999994</v>
      </c>
    </row>
    <row r="176" spans="2:15" hidden="1" x14ac:dyDescent="0.25">
      <c r="D176" s="279">
        <v>587700000</v>
      </c>
    </row>
    <row r="177" spans="2:16" hidden="1" x14ac:dyDescent="0.25">
      <c r="D177" s="334">
        <f>+D84+D85-D176</f>
        <v>-587675250</v>
      </c>
    </row>
    <row r="178" spans="2:16" hidden="1" x14ac:dyDescent="0.25"/>
    <row r="179" spans="2:16" hidden="1" x14ac:dyDescent="0.25">
      <c r="D179" s="279">
        <v>54669494234</v>
      </c>
    </row>
    <row r="180" spans="2:16" hidden="1" x14ac:dyDescent="0.25">
      <c r="D180" s="279">
        <v>402495455</v>
      </c>
    </row>
    <row r="181" spans="2:16" hidden="1" x14ac:dyDescent="0.25"/>
    <row r="182" spans="2:16" hidden="1" x14ac:dyDescent="0.25"/>
    <row r="183" spans="2:16" hidden="1" x14ac:dyDescent="0.25">
      <c r="D183" s="335">
        <v>2042932386</v>
      </c>
    </row>
    <row r="184" spans="2:16" hidden="1" x14ac:dyDescent="0.25"/>
    <row r="188" spans="2:16" ht="30" customHeight="1" x14ac:dyDescent="0.25">
      <c r="B188" s="566" t="s">
        <v>21</v>
      </c>
      <c r="C188" s="572" t="s">
        <v>96</v>
      </c>
      <c r="D188" s="573"/>
      <c r="E188" s="573"/>
      <c r="F188" s="573"/>
      <c r="G188" s="573"/>
      <c r="H188" s="573"/>
      <c r="I188" s="573"/>
      <c r="J188" s="573"/>
      <c r="K188" s="573"/>
      <c r="L188" s="574"/>
      <c r="M188" s="577" t="s">
        <v>380</v>
      </c>
      <c r="N188" s="570" t="s">
        <v>497</v>
      </c>
      <c r="O188" s="575" t="s">
        <v>498</v>
      </c>
    </row>
    <row r="189" spans="2:16" ht="28.15" customHeight="1" thickBot="1" x14ac:dyDescent="0.3">
      <c r="B189" s="567"/>
      <c r="C189" s="292">
        <v>2013</v>
      </c>
      <c r="D189" s="292">
        <v>2014</v>
      </c>
      <c r="E189" s="292">
        <v>2015</v>
      </c>
      <c r="F189" s="292">
        <v>2016</v>
      </c>
      <c r="G189" s="292">
        <v>2017</v>
      </c>
      <c r="H189" s="292">
        <v>2018</v>
      </c>
      <c r="I189" s="292">
        <v>2019</v>
      </c>
      <c r="J189" s="292" t="s">
        <v>173</v>
      </c>
      <c r="K189" s="293" t="s">
        <v>169</v>
      </c>
      <c r="L189" s="293" t="s">
        <v>335</v>
      </c>
      <c r="M189" s="578"/>
      <c r="N189" s="571"/>
      <c r="O189" s="579"/>
    </row>
    <row r="190" spans="2:16" ht="12" thickBot="1" x14ac:dyDescent="0.3">
      <c r="B190" s="336" t="s">
        <v>366</v>
      </c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337"/>
      <c r="P190" s="249"/>
    </row>
    <row r="191" spans="2:16" x14ac:dyDescent="0.25">
      <c r="B191" s="336" t="s">
        <v>363</v>
      </c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5"/>
      <c r="P191" s="249"/>
    </row>
    <row r="192" spans="2:16" x14ac:dyDescent="0.25">
      <c r="B192" s="338" t="s">
        <v>355</v>
      </c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39"/>
      <c r="P192" s="249"/>
    </row>
    <row r="193" spans="2:17" x14ac:dyDescent="0.25">
      <c r="B193" s="296" t="s">
        <v>68</v>
      </c>
      <c r="C193" s="299">
        <f>C52</f>
        <v>0</v>
      </c>
      <c r="D193" s="340">
        <f t="shared" ref="D193:O193" si="40">D52</f>
        <v>-63882.880235999997</v>
      </c>
      <c r="E193" s="340">
        <f t="shared" si="40"/>
        <v>0</v>
      </c>
      <c r="F193" s="340">
        <f t="shared" si="40"/>
        <v>-133591.70718100001</v>
      </c>
      <c r="G193" s="340">
        <f t="shared" si="40"/>
        <v>-380660.07701499999</v>
      </c>
      <c r="H193" s="340">
        <f t="shared" si="40"/>
        <v>-330390.30545300001</v>
      </c>
      <c r="I193" s="340">
        <f t="shared" si="40"/>
        <v>-405111.60014499997</v>
      </c>
      <c r="J193" s="340">
        <f t="shared" si="40"/>
        <v>-20457.382430000001</v>
      </c>
      <c r="K193" s="340">
        <f t="shared" si="40"/>
        <v>0</v>
      </c>
      <c r="L193" s="340">
        <f t="shared" si="40"/>
        <v>-20457.382430000001</v>
      </c>
      <c r="M193" s="340">
        <f t="shared" si="40"/>
        <v>-1334093.9524599998</v>
      </c>
      <c r="N193" s="340">
        <f t="shared" si="40"/>
        <v>-79581.094889999993</v>
      </c>
      <c r="O193" s="340">
        <f t="shared" si="40"/>
        <v>-1413675.0473499999</v>
      </c>
      <c r="P193" s="249"/>
      <c r="Q193" s="272"/>
    </row>
    <row r="194" spans="2:17" x14ac:dyDescent="0.25">
      <c r="B194" s="296" t="s">
        <v>360</v>
      </c>
      <c r="C194" s="299">
        <f t="shared" ref="C194:O194" si="41">C72</f>
        <v>0</v>
      </c>
      <c r="D194" s="340">
        <f t="shared" si="41"/>
        <v>-11883.039541</v>
      </c>
      <c r="E194" s="340">
        <f t="shared" si="41"/>
        <v>-3091.4076989999999</v>
      </c>
      <c r="F194" s="340">
        <f t="shared" si="41"/>
        <v>-18320.869578999998</v>
      </c>
      <c r="G194" s="340">
        <f t="shared" si="41"/>
        <v>-60581.207020000002</v>
      </c>
      <c r="H194" s="340">
        <f t="shared" si="41"/>
        <v>-52288.720644000001</v>
      </c>
      <c r="I194" s="340">
        <f t="shared" si="41"/>
        <v>-139184.842913</v>
      </c>
      <c r="J194" s="340">
        <f t="shared" si="41"/>
        <v>-9678.3474299999998</v>
      </c>
      <c r="K194" s="340">
        <f t="shared" si="41"/>
        <v>-42.817999999999998</v>
      </c>
      <c r="L194" s="340">
        <f t="shared" si="41"/>
        <v>-9721.1654299999991</v>
      </c>
      <c r="M194" s="340">
        <f t="shared" si="41"/>
        <v>-295071.25282599998</v>
      </c>
      <c r="N194" s="340">
        <f t="shared" si="41"/>
        <v>-50</v>
      </c>
      <c r="O194" s="340">
        <f t="shared" si="41"/>
        <v>-295121.25282599998</v>
      </c>
      <c r="P194" s="249"/>
      <c r="Q194" s="272"/>
    </row>
    <row r="195" spans="2:17" s="252" customFormat="1" x14ac:dyDescent="0.25">
      <c r="B195" s="421" t="s">
        <v>362</v>
      </c>
      <c r="C195" s="422">
        <f t="shared" ref="C195:O195" si="42">C194+C193</f>
        <v>0</v>
      </c>
      <c r="D195" s="422">
        <f t="shared" si="42"/>
        <v>-75765.919777000003</v>
      </c>
      <c r="E195" s="422">
        <f t="shared" si="42"/>
        <v>-3091.4076989999999</v>
      </c>
      <c r="F195" s="422">
        <f t="shared" si="42"/>
        <v>-151912.57676</v>
      </c>
      <c r="G195" s="422">
        <f t="shared" si="42"/>
        <v>-441241.28403500002</v>
      </c>
      <c r="H195" s="422">
        <f t="shared" si="42"/>
        <v>-382679.02609699999</v>
      </c>
      <c r="I195" s="422">
        <f t="shared" si="42"/>
        <v>-544296.44305799995</v>
      </c>
      <c r="J195" s="422">
        <f t="shared" si="42"/>
        <v>-30135.729859999999</v>
      </c>
      <c r="K195" s="422">
        <f t="shared" si="42"/>
        <v>-42.817999999999998</v>
      </c>
      <c r="L195" s="422">
        <f t="shared" si="42"/>
        <v>-30178.547859999999</v>
      </c>
      <c r="M195" s="422">
        <f t="shared" si="42"/>
        <v>-1629165.2052859999</v>
      </c>
      <c r="N195" s="422">
        <f t="shared" si="42"/>
        <v>-79631.094889999993</v>
      </c>
      <c r="O195" s="422">
        <f t="shared" si="42"/>
        <v>-1708796.3001759998</v>
      </c>
      <c r="Q195" s="423"/>
    </row>
    <row r="196" spans="2:17" x14ac:dyDescent="0.25">
      <c r="B196" s="338" t="s">
        <v>355</v>
      </c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39"/>
      <c r="N196" s="339"/>
      <c r="O196" s="339"/>
      <c r="P196" s="249"/>
    </row>
    <row r="197" spans="2:17" x14ac:dyDescent="0.25">
      <c r="B197" s="296" t="s">
        <v>356</v>
      </c>
      <c r="C197" s="299">
        <f t="shared" ref="C197:O197" si="43">+C62+C63+C64+C65</f>
        <v>0</v>
      </c>
      <c r="D197" s="340">
        <f t="shared" si="43"/>
        <v>0</v>
      </c>
      <c r="E197" s="340">
        <f t="shared" si="43"/>
        <v>0</v>
      </c>
      <c r="F197" s="340">
        <f t="shared" si="43"/>
        <v>0</v>
      </c>
      <c r="G197" s="340">
        <f t="shared" si="43"/>
        <v>0</v>
      </c>
      <c r="H197" s="340">
        <f t="shared" si="43"/>
        <v>0</v>
      </c>
      <c r="I197" s="340">
        <f t="shared" si="43"/>
        <v>-450100.935</v>
      </c>
      <c r="J197" s="340">
        <f t="shared" si="43"/>
        <v>-590792.75919999997</v>
      </c>
      <c r="K197" s="340">
        <f t="shared" si="43"/>
        <v>0</v>
      </c>
      <c r="L197" s="340">
        <f t="shared" si="43"/>
        <v>-590792.75919999997</v>
      </c>
      <c r="M197" s="340">
        <f t="shared" si="43"/>
        <v>-1040893.6942000001</v>
      </c>
      <c r="N197" s="340">
        <f t="shared" si="43"/>
        <v>-25157</v>
      </c>
      <c r="O197" s="340">
        <f t="shared" si="43"/>
        <v>-1066050.6942</v>
      </c>
      <c r="P197" s="249"/>
      <c r="Q197" s="272"/>
    </row>
    <row r="198" spans="2:17" x14ac:dyDescent="0.25">
      <c r="B198" s="296" t="s">
        <v>357</v>
      </c>
      <c r="C198" s="299">
        <f t="shared" ref="C198:O198" si="44">C56+C59+C61+C66+C54</f>
        <v>0</v>
      </c>
      <c r="D198" s="340">
        <f t="shared" si="44"/>
        <v>-398.5</v>
      </c>
      <c r="E198" s="340">
        <f t="shared" si="44"/>
        <v>-180</v>
      </c>
      <c r="F198" s="340">
        <f t="shared" si="44"/>
        <v>-3782.9742310000001</v>
      </c>
      <c r="G198" s="340">
        <f t="shared" si="44"/>
        <v>-3615.653495</v>
      </c>
      <c r="H198" s="340">
        <f t="shared" si="44"/>
        <v>-8884.6465869999993</v>
      </c>
      <c r="I198" s="340">
        <f t="shared" si="44"/>
        <v>-4237.3522419999999</v>
      </c>
      <c r="J198" s="340">
        <f t="shared" si="44"/>
        <v>-9575.2111210000003</v>
      </c>
      <c r="K198" s="340">
        <f t="shared" si="44"/>
        <v>0</v>
      </c>
      <c r="L198" s="340">
        <f t="shared" si="44"/>
        <v>-9575.2111210000003</v>
      </c>
      <c r="M198" s="340">
        <f t="shared" si="44"/>
        <v>-30674.337675999999</v>
      </c>
      <c r="N198" s="340">
        <f t="shared" si="44"/>
        <v>-2818.7879370000001</v>
      </c>
      <c r="O198" s="340">
        <f t="shared" si="44"/>
        <v>-33493.125612999997</v>
      </c>
      <c r="P198" s="249"/>
      <c r="Q198" s="272"/>
    </row>
    <row r="199" spans="2:17" x14ac:dyDescent="0.25">
      <c r="B199" s="296" t="s">
        <v>358</v>
      </c>
      <c r="C199" s="299">
        <f t="shared" ref="C199:O199" si="45">C58</f>
        <v>0</v>
      </c>
      <c r="D199" s="340">
        <f t="shared" si="45"/>
        <v>0</v>
      </c>
      <c r="E199" s="340">
        <f t="shared" si="45"/>
        <v>0</v>
      </c>
      <c r="F199" s="340">
        <f t="shared" si="45"/>
        <v>0</v>
      </c>
      <c r="G199" s="340">
        <f t="shared" si="45"/>
        <v>0</v>
      </c>
      <c r="H199" s="340">
        <f t="shared" si="45"/>
        <v>0</v>
      </c>
      <c r="I199" s="340">
        <f t="shared" si="45"/>
        <v>0</v>
      </c>
      <c r="J199" s="340">
        <f t="shared" si="45"/>
        <v>0</v>
      </c>
      <c r="K199" s="340">
        <f t="shared" si="45"/>
        <v>0</v>
      </c>
      <c r="L199" s="340">
        <f t="shared" si="45"/>
        <v>0</v>
      </c>
      <c r="M199" s="340">
        <f t="shared" si="45"/>
        <v>0</v>
      </c>
      <c r="N199" s="340">
        <f t="shared" si="45"/>
        <v>-4931</v>
      </c>
      <c r="O199" s="340">
        <f t="shared" si="45"/>
        <v>-4931</v>
      </c>
      <c r="P199" s="249"/>
      <c r="Q199" s="272"/>
    </row>
    <row r="200" spans="2:17" x14ac:dyDescent="0.25">
      <c r="B200" s="296" t="s">
        <v>359</v>
      </c>
      <c r="C200" s="299">
        <f t="shared" ref="C200:O200" si="46">C69+C67</f>
        <v>0</v>
      </c>
      <c r="D200" s="340">
        <f t="shared" si="46"/>
        <v>0</v>
      </c>
      <c r="E200" s="340">
        <f t="shared" si="46"/>
        <v>0</v>
      </c>
      <c r="F200" s="340">
        <f t="shared" si="46"/>
        <v>0</v>
      </c>
      <c r="G200" s="340">
        <f t="shared" si="46"/>
        <v>-593.94138499999997</v>
      </c>
      <c r="H200" s="340">
        <f t="shared" si="46"/>
        <v>-19560.129177999999</v>
      </c>
      <c r="I200" s="340">
        <f t="shared" si="46"/>
        <v>-28643.063022999999</v>
      </c>
      <c r="J200" s="340">
        <f t="shared" si="46"/>
        <v>-39458.473474999999</v>
      </c>
      <c r="K200" s="340">
        <f t="shared" si="46"/>
        <v>0</v>
      </c>
      <c r="L200" s="340">
        <f t="shared" si="46"/>
        <v>-39458.473474999999</v>
      </c>
      <c r="M200" s="438">
        <f t="shared" si="46"/>
        <v>-88255.607060999988</v>
      </c>
      <c r="N200" s="340">
        <f t="shared" si="46"/>
        <v>0</v>
      </c>
      <c r="O200" s="340">
        <f t="shared" si="46"/>
        <v>-88255.607060999988</v>
      </c>
      <c r="P200" s="249"/>
      <c r="Q200" s="272"/>
    </row>
    <row r="201" spans="2:17" x14ac:dyDescent="0.25">
      <c r="B201" s="296" t="s">
        <v>361</v>
      </c>
      <c r="C201" s="340">
        <f t="shared" ref="C201:O201" si="47">C68+C60+C57+C55+C53</f>
        <v>-1687.287454</v>
      </c>
      <c r="D201" s="340">
        <f t="shared" si="47"/>
        <v>-286.7</v>
      </c>
      <c r="E201" s="340">
        <f t="shared" si="47"/>
        <v>0</v>
      </c>
      <c r="F201" s="340">
        <f t="shared" si="47"/>
        <v>-1111.3454550000001</v>
      </c>
      <c r="G201" s="340">
        <f t="shared" si="47"/>
        <v>-214.5</v>
      </c>
      <c r="H201" s="340">
        <f t="shared" si="47"/>
        <v>-1009.5229320000001</v>
      </c>
      <c r="I201" s="340">
        <f t="shared" si="47"/>
        <v>-1000.659</v>
      </c>
      <c r="J201" s="340">
        <f t="shared" si="47"/>
        <v>-8908.3469999999998</v>
      </c>
      <c r="K201" s="340">
        <f t="shared" si="47"/>
        <v>-115.33499999999999</v>
      </c>
      <c r="L201" s="340">
        <f t="shared" si="47"/>
        <v>-9023.6820000000007</v>
      </c>
      <c r="M201" s="340">
        <f t="shared" si="47"/>
        <v>-14333.696841000003</v>
      </c>
      <c r="N201" s="340">
        <f t="shared" si="47"/>
        <v>0</v>
      </c>
      <c r="O201" s="340">
        <f t="shared" si="47"/>
        <v>-14333.696841000003</v>
      </c>
      <c r="P201" s="249"/>
      <c r="Q201" s="272"/>
    </row>
    <row r="202" spans="2:17" hidden="1" x14ac:dyDescent="0.25">
      <c r="B202" s="249" t="s">
        <v>159</v>
      </c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</row>
    <row r="203" spans="2:17" hidden="1" x14ac:dyDescent="0.25">
      <c r="B203" s="249" t="s">
        <v>160</v>
      </c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</row>
    <row r="204" spans="2:17" ht="12" hidden="1" thickBot="1" x14ac:dyDescent="0.3">
      <c r="B204" s="341" t="s">
        <v>3</v>
      </c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</row>
    <row r="205" spans="2:17" ht="12" hidden="1" thickBot="1" x14ac:dyDescent="0.3">
      <c r="B205" s="341" t="s">
        <v>4</v>
      </c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</row>
    <row r="206" spans="2:17" ht="12" hidden="1" thickBot="1" x14ac:dyDescent="0.3">
      <c r="B206" s="341" t="s">
        <v>11</v>
      </c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</row>
    <row r="207" spans="2:17" ht="12" hidden="1" thickBot="1" x14ac:dyDescent="0.3">
      <c r="B207" s="341" t="s">
        <v>5</v>
      </c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</row>
    <row r="208" spans="2:17" hidden="1" x14ac:dyDescent="0.25">
      <c r="B208" s="249" t="s">
        <v>161</v>
      </c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</row>
    <row r="209" spans="2:17" hidden="1" x14ac:dyDescent="0.25">
      <c r="B209" s="249" t="s">
        <v>162</v>
      </c>
      <c r="C209" s="340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40"/>
      <c r="P209" s="262">
        <v>79851</v>
      </c>
    </row>
    <row r="210" spans="2:17" hidden="1" x14ac:dyDescent="0.25">
      <c r="B210" s="249" t="s">
        <v>163</v>
      </c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262">
        <v>52640</v>
      </c>
    </row>
    <row r="211" spans="2:17" hidden="1" x14ac:dyDescent="0.25">
      <c r="B211" s="249" t="s">
        <v>164</v>
      </c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</row>
    <row r="212" spans="2:17" hidden="1" x14ac:dyDescent="0.25"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</row>
    <row r="213" spans="2:17" hidden="1" x14ac:dyDescent="0.25"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</row>
    <row r="214" spans="2:17" hidden="1" x14ac:dyDescent="0.25"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</row>
    <row r="215" spans="2:17" hidden="1" x14ac:dyDescent="0.25"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</row>
    <row r="216" spans="2:17" hidden="1" x14ac:dyDescent="0.25"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40"/>
    </row>
    <row r="217" spans="2:17" hidden="1" x14ac:dyDescent="0.25">
      <c r="B217" s="249" t="s">
        <v>165</v>
      </c>
      <c r="C217" s="340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40"/>
    </row>
    <row r="218" spans="2:17" hidden="1" x14ac:dyDescent="0.25">
      <c r="B218" s="249" t="s">
        <v>166</v>
      </c>
      <c r="C218" s="340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</row>
    <row r="219" spans="2:17" ht="12" thickBot="1" x14ac:dyDescent="0.3">
      <c r="B219" s="342" t="s">
        <v>362</v>
      </c>
      <c r="C219" s="343">
        <f t="shared" ref="C219:O219" si="48">SUM(C197:C218)</f>
        <v>-1687.287454</v>
      </c>
      <c r="D219" s="343">
        <f t="shared" si="48"/>
        <v>-685.2</v>
      </c>
      <c r="E219" s="343">
        <f t="shared" si="48"/>
        <v>-180</v>
      </c>
      <c r="F219" s="343">
        <f t="shared" si="48"/>
        <v>-4894.3196860000007</v>
      </c>
      <c r="G219" s="343">
        <f t="shared" si="48"/>
        <v>-4424.0948799999996</v>
      </c>
      <c r="H219" s="343">
        <f t="shared" si="48"/>
        <v>-29454.298696999998</v>
      </c>
      <c r="I219" s="343">
        <f t="shared" si="48"/>
        <v>-483982.009265</v>
      </c>
      <c r="J219" s="343">
        <f t="shared" si="48"/>
        <v>-648734.79079599993</v>
      </c>
      <c r="K219" s="343">
        <f t="shared" si="48"/>
        <v>-115.33499999999999</v>
      </c>
      <c r="L219" s="343">
        <f t="shared" si="48"/>
        <v>-648850.12579600001</v>
      </c>
      <c r="M219" s="343">
        <f t="shared" si="48"/>
        <v>-1174157.3357780003</v>
      </c>
      <c r="N219" s="343">
        <f t="shared" si="48"/>
        <v>-32906.787937000001</v>
      </c>
      <c r="O219" s="343">
        <f t="shared" si="48"/>
        <v>-1207064.1237150002</v>
      </c>
      <c r="P219" s="249"/>
      <c r="Q219" s="272"/>
    </row>
    <row r="220" spans="2:17" s="257" customFormat="1" ht="12" thickBot="1" x14ac:dyDescent="0.3">
      <c r="B220" s="344" t="s">
        <v>368</v>
      </c>
      <c r="C220" s="345">
        <f t="shared" ref="C220:O220" si="49">C219+C195</f>
        <v>-1687.287454</v>
      </c>
      <c r="D220" s="345">
        <f t="shared" si="49"/>
        <v>-76451.119777</v>
      </c>
      <c r="E220" s="345">
        <f t="shared" si="49"/>
        <v>-3271.4076989999999</v>
      </c>
      <c r="F220" s="345">
        <f t="shared" si="49"/>
        <v>-156806.896446</v>
      </c>
      <c r="G220" s="345">
        <f t="shared" si="49"/>
        <v>-445665.37891500001</v>
      </c>
      <c r="H220" s="345">
        <f t="shared" si="49"/>
        <v>-412133.32479400001</v>
      </c>
      <c r="I220" s="345">
        <f t="shared" si="49"/>
        <v>-1028278.4523229999</v>
      </c>
      <c r="J220" s="345">
        <f t="shared" si="49"/>
        <v>-678870.52065599989</v>
      </c>
      <c r="K220" s="345">
        <f t="shared" si="49"/>
        <v>-158.15299999999999</v>
      </c>
      <c r="L220" s="345">
        <f t="shared" si="49"/>
        <v>-679028.67365600006</v>
      </c>
      <c r="M220" s="345">
        <f t="shared" si="49"/>
        <v>-2803322.5410640002</v>
      </c>
      <c r="N220" s="345">
        <f t="shared" si="49"/>
        <v>-112537.88282699999</v>
      </c>
      <c r="O220" s="345">
        <f t="shared" si="49"/>
        <v>-2915860.423891</v>
      </c>
      <c r="Q220" s="346"/>
    </row>
    <row r="221" spans="2:17" x14ac:dyDescent="0.25">
      <c r="B221" s="336" t="s">
        <v>367</v>
      </c>
      <c r="C221" s="295"/>
      <c r="D221" s="295"/>
      <c r="E221" s="295"/>
      <c r="F221" s="295"/>
      <c r="G221" s="295"/>
      <c r="H221" s="295"/>
      <c r="I221" s="295"/>
      <c r="J221" s="295"/>
      <c r="K221" s="295"/>
      <c r="L221" s="295"/>
      <c r="M221" s="295"/>
      <c r="N221" s="295"/>
      <c r="O221" s="295"/>
      <c r="P221" s="249"/>
    </row>
    <row r="222" spans="2:17" x14ac:dyDescent="0.25">
      <c r="B222" s="347" t="s">
        <v>365</v>
      </c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</row>
    <row r="223" spans="2:17" x14ac:dyDescent="0.25">
      <c r="B223" s="296" t="s">
        <v>340</v>
      </c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</row>
    <row r="224" spans="2:17" x14ac:dyDescent="0.25">
      <c r="B224" s="296" t="s">
        <v>337</v>
      </c>
      <c r="C224" s="299">
        <f t="shared" ref="C224:M224" si="50">C81</f>
        <v>126000</v>
      </c>
      <c r="D224" s="299">
        <f t="shared" si="50"/>
        <v>0</v>
      </c>
      <c r="E224" s="299">
        <f t="shared" si="50"/>
        <v>133000</v>
      </c>
      <c r="F224" s="299">
        <f t="shared" si="50"/>
        <v>0</v>
      </c>
      <c r="G224" s="299">
        <f t="shared" si="50"/>
        <v>177500</v>
      </c>
      <c r="H224" s="299">
        <f t="shared" si="50"/>
        <v>0</v>
      </c>
      <c r="I224" s="299">
        <f t="shared" si="50"/>
        <v>234424</v>
      </c>
      <c r="J224" s="299">
        <f t="shared" si="50"/>
        <v>184800</v>
      </c>
      <c r="K224" s="299">
        <f t="shared" si="50"/>
        <v>0</v>
      </c>
      <c r="L224" s="299">
        <f t="shared" si="50"/>
        <v>184800</v>
      </c>
      <c r="M224" s="299">
        <f t="shared" si="50"/>
        <v>855724</v>
      </c>
      <c r="N224" s="299">
        <v>0</v>
      </c>
      <c r="O224" s="299">
        <f>N224+M224</f>
        <v>855724</v>
      </c>
    </row>
    <row r="225" spans="2:21" x14ac:dyDescent="0.25">
      <c r="B225" s="296" t="s">
        <v>59</v>
      </c>
      <c r="C225" s="299">
        <f t="shared" ref="C225:M225" si="51">C82</f>
        <v>2250</v>
      </c>
      <c r="D225" s="299">
        <f t="shared" si="51"/>
        <v>24750</v>
      </c>
      <c r="E225" s="299">
        <f t="shared" si="51"/>
        <v>28500</v>
      </c>
      <c r="F225" s="299">
        <f t="shared" si="51"/>
        <v>0</v>
      </c>
      <c r="G225" s="299">
        <f t="shared" si="51"/>
        <v>16607</v>
      </c>
      <c r="H225" s="299">
        <f t="shared" si="51"/>
        <v>21429</v>
      </c>
      <c r="I225" s="299">
        <f t="shared" si="51"/>
        <v>0</v>
      </c>
      <c r="J225" s="299">
        <f t="shared" si="51"/>
        <v>89834</v>
      </c>
      <c r="K225" s="299">
        <f t="shared" si="51"/>
        <v>0</v>
      </c>
      <c r="L225" s="299">
        <f t="shared" si="51"/>
        <v>89834</v>
      </c>
      <c r="M225" s="299">
        <f t="shared" si="51"/>
        <v>183370</v>
      </c>
      <c r="N225" s="299">
        <v>0</v>
      </c>
      <c r="O225" s="299">
        <f t="shared" ref="O225:O226" si="52">N225+M225</f>
        <v>183370</v>
      </c>
    </row>
    <row r="226" spans="2:21" x14ac:dyDescent="0.25">
      <c r="B226" s="296" t="s">
        <v>60</v>
      </c>
      <c r="C226" s="299">
        <f t="shared" ref="C226:M226" si="53">C83</f>
        <v>27000</v>
      </c>
      <c r="D226" s="299">
        <f t="shared" si="53"/>
        <v>0</v>
      </c>
      <c r="E226" s="299">
        <f t="shared" si="53"/>
        <v>28500</v>
      </c>
      <c r="F226" s="299">
        <f t="shared" si="53"/>
        <v>0</v>
      </c>
      <c r="G226" s="299">
        <f t="shared" si="53"/>
        <v>16607</v>
      </c>
      <c r="H226" s="299">
        <f t="shared" si="53"/>
        <v>21429</v>
      </c>
      <c r="I226" s="299">
        <f t="shared" si="53"/>
        <v>50234</v>
      </c>
      <c r="J226" s="299">
        <f t="shared" si="53"/>
        <v>39600</v>
      </c>
      <c r="K226" s="299">
        <f t="shared" si="53"/>
        <v>0</v>
      </c>
      <c r="L226" s="299">
        <f t="shared" si="53"/>
        <v>39600</v>
      </c>
      <c r="M226" s="299">
        <f t="shared" si="53"/>
        <v>183370</v>
      </c>
      <c r="N226" s="299">
        <v>0</v>
      </c>
      <c r="O226" s="299">
        <f t="shared" si="52"/>
        <v>183370</v>
      </c>
    </row>
    <row r="227" spans="2:21" s="252" customFormat="1" x14ac:dyDescent="0.25">
      <c r="B227" s="296" t="s">
        <v>61</v>
      </c>
      <c r="C227" s="299">
        <f>SUM(C224:C226)</f>
        <v>155250</v>
      </c>
      <c r="D227" s="299">
        <f t="shared" ref="D227:O227" si="54">SUM(D224:D226)</f>
        <v>24750</v>
      </c>
      <c r="E227" s="299">
        <f t="shared" si="54"/>
        <v>190000</v>
      </c>
      <c r="F227" s="299">
        <f t="shared" si="54"/>
        <v>0</v>
      </c>
      <c r="G227" s="299">
        <f t="shared" si="54"/>
        <v>210714</v>
      </c>
      <c r="H227" s="299">
        <f t="shared" si="54"/>
        <v>42858</v>
      </c>
      <c r="I227" s="299">
        <f t="shared" si="54"/>
        <v>284658</v>
      </c>
      <c r="J227" s="299">
        <f t="shared" si="54"/>
        <v>314234</v>
      </c>
      <c r="K227" s="299">
        <f t="shared" si="54"/>
        <v>0</v>
      </c>
      <c r="L227" s="299">
        <f t="shared" si="54"/>
        <v>314234</v>
      </c>
      <c r="M227" s="299">
        <f t="shared" si="54"/>
        <v>1222464</v>
      </c>
      <c r="N227" s="299">
        <v>0</v>
      </c>
      <c r="O227" s="299">
        <f t="shared" si="54"/>
        <v>1222464</v>
      </c>
    </row>
    <row r="228" spans="2:21" s="252" customFormat="1" x14ac:dyDescent="0.25">
      <c r="B228" s="312" t="s">
        <v>487</v>
      </c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>
        <v>0</v>
      </c>
      <c r="N228" s="313">
        <v>20000</v>
      </c>
      <c r="O228" s="313">
        <f>M228+N228</f>
        <v>20000</v>
      </c>
    </row>
    <row r="229" spans="2:21" x14ac:dyDescent="0.25">
      <c r="B229" s="296" t="s">
        <v>499</v>
      </c>
      <c r="C229" s="299">
        <f t="shared" ref="C229:O229" si="55">C85</f>
        <v>0</v>
      </c>
      <c r="D229" s="299">
        <f t="shared" si="55"/>
        <v>0</v>
      </c>
      <c r="E229" s="299">
        <f t="shared" si="55"/>
        <v>0</v>
      </c>
      <c r="F229" s="299">
        <f t="shared" si="55"/>
        <v>0</v>
      </c>
      <c r="G229" s="299">
        <f t="shared" si="55"/>
        <v>257000</v>
      </c>
      <c r="H229" s="299">
        <f t="shared" si="55"/>
        <v>360000</v>
      </c>
      <c r="I229" s="299">
        <f t="shared" si="55"/>
        <v>670801.12970000005</v>
      </c>
      <c r="J229" s="299">
        <f t="shared" si="55"/>
        <v>523875.65101600002</v>
      </c>
      <c r="K229" s="299">
        <f t="shared" si="55"/>
        <v>0</v>
      </c>
      <c r="L229" s="299">
        <f t="shared" si="55"/>
        <v>523875.65101600002</v>
      </c>
      <c r="M229" s="299">
        <f t="shared" si="55"/>
        <v>1811676.7807160001</v>
      </c>
      <c r="N229" s="299">
        <f t="shared" si="55"/>
        <v>17610</v>
      </c>
      <c r="O229" s="299">
        <f t="shared" si="55"/>
        <v>1829286.7807160001</v>
      </c>
    </row>
    <row r="230" spans="2:21" ht="12" thickBot="1" x14ac:dyDescent="0.3">
      <c r="B230" s="296" t="s">
        <v>499</v>
      </c>
      <c r="C230" s="456"/>
      <c r="D230" s="456"/>
      <c r="E230" s="456"/>
      <c r="F230" s="456"/>
      <c r="G230" s="456"/>
      <c r="H230" s="456"/>
      <c r="I230" s="456"/>
      <c r="J230" s="456"/>
      <c r="K230" s="456"/>
      <c r="L230" s="456"/>
      <c r="M230" s="456">
        <f>' Pendanaan'!H22</f>
        <v>120530</v>
      </c>
      <c r="N230" s="456">
        <v>0</v>
      </c>
      <c r="O230" s="299">
        <f>N230+M230</f>
        <v>120530</v>
      </c>
    </row>
    <row r="231" spans="2:21" s="257" customFormat="1" ht="12" thickBot="1" x14ac:dyDescent="0.3">
      <c r="B231" s="349" t="s">
        <v>369</v>
      </c>
      <c r="C231" s="350">
        <f>C229+C227</f>
        <v>155250</v>
      </c>
      <c r="D231" s="350">
        <f t="shared" ref="D231:L231" si="56">D229+D227</f>
        <v>24750</v>
      </c>
      <c r="E231" s="350">
        <f t="shared" si="56"/>
        <v>190000</v>
      </c>
      <c r="F231" s="350">
        <f t="shared" si="56"/>
        <v>0</v>
      </c>
      <c r="G231" s="350">
        <f t="shared" si="56"/>
        <v>467714</v>
      </c>
      <c r="H231" s="350">
        <f t="shared" si="56"/>
        <v>402858</v>
      </c>
      <c r="I231" s="350">
        <f t="shared" si="56"/>
        <v>955459.12970000005</v>
      </c>
      <c r="J231" s="350">
        <f t="shared" si="56"/>
        <v>838109.65101599996</v>
      </c>
      <c r="K231" s="350">
        <f t="shared" si="56"/>
        <v>0</v>
      </c>
      <c r="L231" s="350">
        <f t="shared" si="56"/>
        <v>838109.65101599996</v>
      </c>
      <c r="M231" s="350">
        <f>M230+M229+M227</f>
        <v>3154670.7807160001</v>
      </c>
      <c r="N231" s="350">
        <f>N229+N228</f>
        <v>37610</v>
      </c>
      <c r="O231" s="350">
        <f>O229+O227+O230+O230</f>
        <v>3292810.7807160001</v>
      </c>
      <c r="P231" s="436">
        <f>O229+O228+O227</f>
        <v>3071750.7807160001</v>
      </c>
      <c r="Q231" s="346"/>
    </row>
    <row r="232" spans="2:21" x14ac:dyDescent="0.25">
      <c r="B232" s="351" t="s">
        <v>372</v>
      </c>
      <c r="C232" s="352">
        <f t="shared" ref="C232:I232" si="57">C220+C231</f>
        <v>153562.712546</v>
      </c>
      <c r="D232" s="343">
        <f t="shared" si="57"/>
        <v>-51701.119777</v>
      </c>
      <c r="E232" s="352">
        <f t="shared" si="57"/>
        <v>186728.592301</v>
      </c>
      <c r="F232" s="343">
        <f t="shared" si="57"/>
        <v>-156806.896446</v>
      </c>
      <c r="G232" s="352">
        <f t="shared" si="57"/>
        <v>22048.621084999992</v>
      </c>
      <c r="H232" s="343">
        <f t="shared" si="57"/>
        <v>-9275.3247940000147</v>
      </c>
      <c r="I232" s="343">
        <f t="shared" si="57"/>
        <v>-72819.322622999898</v>
      </c>
      <c r="J232" s="352">
        <f>I233</f>
        <v>71737.262292000087</v>
      </c>
      <c r="K232" s="343">
        <f>K220+K231</f>
        <v>-158.15299999999999</v>
      </c>
      <c r="L232" s="352">
        <f>L231+L220</f>
        <v>159080.9773599999</v>
      </c>
      <c r="M232" s="352">
        <f>M220+M231</f>
        <v>351348.2396519999</v>
      </c>
      <c r="N232" s="343">
        <f>N220+N231</f>
        <v>-74927.882826999994</v>
      </c>
      <c r="O232" s="352">
        <f>O220+O231</f>
        <v>376950.35682500014</v>
      </c>
    </row>
    <row r="233" spans="2:21" x14ac:dyDescent="0.25">
      <c r="B233" s="353" t="s">
        <v>371</v>
      </c>
      <c r="C233" s="354">
        <f>C232</f>
        <v>153562.712546</v>
      </c>
      <c r="D233" s="354">
        <f>C233+D232</f>
        <v>101861.592769</v>
      </c>
      <c r="E233" s="354">
        <f>D233+E232</f>
        <v>288590.18507000001</v>
      </c>
      <c r="F233" s="354">
        <f>E233+F232</f>
        <v>131783.28862400001</v>
      </c>
      <c r="G233" s="354">
        <f>G232+F233</f>
        <v>153831.909709</v>
      </c>
      <c r="H233" s="354">
        <f>H232+G233</f>
        <v>144556.58491499998</v>
      </c>
      <c r="I233" s="354">
        <f>I232+H233</f>
        <v>71737.262292000087</v>
      </c>
      <c r="J233" s="354">
        <f>J232+I233</f>
        <v>143474.52458400017</v>
      </c>
      <c r="K233" s="354">
        <f>K232+J233</f>
        <v>143316.37158400018</v>
      </c>
      <c r="L233" s="354">
        <f>I233+L232</f>
        <v>230818.23965199999</v>
      </c>
      <c r="M233" s="354">
        <f>L233-M232</f>
        <v>-120529.99999999991</v>
      </c>
      <c r="N233" s="354">
        <f>N232+M232</f>
        <v>276420.35682499991</v>
      </c>
      <c r="O233" s="354">
        <f>O232</f>
        <v>376950.35682500014</v>
      </c>
      <c r="P233" s="262">
        <f>O233-N233</f>
        <v>100530.00000000023</v>
      </c>
    </row>
    <row r="234" spans="2:21" x14ac:dyDescent="0.25">
      <c r="B234" s="355" t="s">
        <v>373</v>
      </c>
      <c r="C234" s="356"/>
      <c r="D234" s="356"/>
      <c r="E234" s="356"/>
      <c r="F234" s="356"/>
      <c r="G234" s="356"/>
      <c r="H234" s="356"/>
      <c r="I234" s="356"/>
      <c r="J234" s="356"/>
      <c r="K234" s="356"/>
      <c r="L234" s="356">
        <f>L233-K233</f>
        <v>87501.868067999807</v>
      </c>
      <c r="M234" s="356"/>
      <c r="N234" s="356"/>
      <c r="O234" s="356"/>
      <c r="P234" s="249"/>
    </row>
    <row r="235" spans="2:21" x14ac:dyDescent="0.25">
      <c r="B235" s="357" t="s">
        <v>86</v>
      </c>
      <c r="C235" s="358">
        <f t="shared" ref="C235:O235" si="58">C71</f>
        <v>-12.367649999999999</v>
      </c>
      <c r="D235" s="358">
        <f t="shared" si="58"/>
        <v>-10142.057774999999</v>
      </c>
      <c r="E235" s="358">
        <f t="shared" si="58"/>
        <v>-20252.173788</v>
      </c>
      <c r="F235" s="358">
        <f t="shared" si="58"/>
        <v>-13424.836192999999</v>
      </c>
      <c r="G235" s="358">
        <f t="shared" si="58"/>
        <v>-12531.820326999999</v>
      </c>
      <c r="H235" s="358">
        <f t="shared" si="58"/>
        <v>-19516.923709999999</v>
      </c>
      <c r="I235" s="358">
        <f t="shared" si="58"/>
        <v>-31070.469947000001</v>
      </c>
      <c r="J235" s="358">
        <f t="shared" si="58"/>
        <v>-25618.888233999998</v>
      </c>
      <c r="K235" s="358">
        <f t="shared" si="58"/>
        <v>-3448</v>
      </c>
      <c r="L235" s="358">
        <f t="shared" si="58"/>
        <v>-29066.888233999998</v>
      </c>
      <c r="M235" s="358">
        <f t="shared" si="58"/>
        <v>-136017.53762399999</v>
      </c>
      <c r="N235" s="358">
        <f t="shared" si="58"/>
        <v>-4441</v>
      </c>
      <c r="O235" s="358">
        <f t="shared" si="58"/>
        <v>-140458.53762399999</v>
      </c>
      <c r="P235" s="249"/>
      <c r="Q235" s="249" t="s">
        <v>392</v>
      </c>
      <c r="U235" s="250">
        <f>M232</f>
        <v>351348.2396519999</v>
      </c>
    </row>
    <row r="236" spans="2:21" ht="12" thickBot="1" x14ac:dyDescent="0.3">
      <c r="B236" s="296" t="s">
        <v>89</v>
      </c>
      <c r="C236" s="299">
        <f t="shared" ref="C236:O236" si="59">C74</f>
        <v>0</v>
      </c>
      <c r="D236" s="298">
        <f t="shared" si="59"/>
        <v>-29.705265000000001</v>
      </c>
      <c r="E236" s="298">
        <f t="shared" si="59"/>
        <v>-8.7992260000000009</v>
      </c>
      <c r="F236" s="298">
        <f t="shared" si="59"/>
        <v>-15.885747</v>
      </c>
      <c r="G236" s="298">
        <f t="shared" si="59"/>
        <v>-174.672481</v>
      </c>
      <c r="H236" s="298">
        <f t="shared" si="59"/>
        <v>-72.378041999999994</v>
      </c>
      <c r="I236" s="298">
        <f t="shared" si="59"/>
        <v>-2827.7761209999999</v>
      </c>
      <c r="J236" s="298">
        <f t="shared" si="59"/>
        <v>-6992.5304550000001</v>
      </c>
      <c r="K236" s="298">
        <f t="shared" si="59"/>
        <v>0</v>
      </c>
      <c r="L236" s="298">
        <f t="shared" si="59"/>
        <v>-6992.5304550000001</v>
      </c>
      <c r="M236" s="298">
        <f t="shared" si="59"/>
        <v>-10121.747336999999</v>
      </c>
      <c r="N236" s="298">
        <f t="shared" si="59"/>
        <v>0</v>
      </c>
      <c r="O236" s="298">
        <f t="shared" si="59"/>
        <v>-10121.747336999999</v>
      </c>
      <c r="P236" s="249"/>
      <c r="Q236" s="249" t="s">
        <v>393</v>
      </c>
      <c r="U236" s="251">
        <f>M247</f>
        <v>-231931.68873099994</v>
      </c>
    </row>
    <row r="237" spans="2:21" ht="12" thickBot="1" x14ac:dyDescent="0.3">
      <c r="B237" s="296" t="s">
        <v>90</v>
      </c>
      <c r="C237" s="299">
        <f t="shared" ref="C237:O237" si="60">C75</f>
        <v>0</v>
      </c>
      <c r="D237" s="298">
        <f t="shared" si="60"/>
        <v>0</v>
      </c>
      <c r="E237" s="298">
        <f t="shared" si="60"/>
        <v>0</v>
      </c>
      <c r="F237" s="298">
        <f t="shared" si="60"/>
        <v>0</v>
      </c>
      <c r="G237" s="298">
        <f t="shared" si="60"/>
        <v>0</v>
      </c>
      <c r="H237" s="298">
        <f t="shared" si="60"/>
        <v>0</v>
      </c>
      <c r="I237" s="298">
        <f t="shared" si="60"/>
        <v>0</v>
      </c>
      <c r="J237" s="298">
        <f t="shared" si="60"/>
        <v>-21387.648411999999</v>
      </c>
      <c r="K237" s="298">
        <f t="shared" si="60"/>
        <v>-10721.7</v>
      </c>
      <c r="L237" s="298">
        <f t="shared" si="60"/>
        <v>-32109.348411999999</v>
      </c>
      <c r="M237" s="298">
        <f t="shared" si="60"/>
        <v>-32109.348411999999</v>
      </c>
      <c r="N237" s="298">
        <f t="shared" si="60"/>
        <v>-11187</v>
      </c>
      <c r="O237" s="298">
        <f t="shared" si="60"/>
        <v>-43296.348411999999</v>
      </c>
      <c r="P237" s="249"/>
      <c r="Q237" s="252" t="s">
        <v>394</v>
      </c>
      <c r="R237" s="252"/>
      <c r="S237" s="252"/>
      <c r="T237" s="252"/>
      <c r="U237" s="461">
        <f>U236+U235</f>
        <v>119416.55092099996</v>
      </c>
    </row>
    <row r="238" spans="2:21" x14ac:dyDescent="0.25">
      <c r="B238" s="296" t="s">
        <v>170</v>
      </c>
      <c r="C238" s="299">
        <f t="shared" ref="C238:O238" si="61">C76</f>
        <v>0</v>
      </c>
      <c r="D238" s="298">
        <f t="shared" si="61"/>
        <v>0</v>
      </c>
      <c r="E238" s="298">
        <f t="shared" si="61"/>
        <v>0</v>
      </c>
      <c r="F238" s="298">
        <f t="shared" si="61"/>
        <v>0</v>
      </c>
      <c r="G238" s="298">
        <f t="shared" si="61"/>
        <v>0</v>
      </c>
      <c r="H238" s="298">
        <f t="shared" si="61"/>
        <v>0</v>
      </c>
      <c r="I238" s="298">
        <f t="shared" si="61"/>
        <v>0</v>
      </c>
      <c r="J238" s="298">
        <f t="shared" si="61"/>
        <v>0</v>
      </c>
      <c r="K238" s="298">
        <f t="shared" si="61"/>
        <v>0</v>
      </c>
      <c r="L238" s="298">
        <f t="shared" si="61"/>
        <v>0</v>
      </c>
      <c r="M238" s="298">
        <f t="shared" si="61"/>
        <v>0</v>
      </c>
      <c r="N238" s="298">
        <f t="shared" si="61"/>
        <v>-4298.7125999999998</v>
      </c>
      <c r="O238" s="298">
        <f t="shared" si="61"/>
        <v>-4298.7125999999998</v>
      </c>
      <c r="P238" s="249"/>
      <c r="Q238" s="249" t="s">
        <v>382</v>
      </c>
    </row>
    <row r="239" spans="2:21" s="253" customFormat="1" hidden="1" x14ac:dyDescent="0.25">
      <c r="B239" s="359" t="s">
        <v>88</v>
      </c>
      <c r="C239" s="360">
        <f t="shared" ref="C239:L239" si="62">C73</f>
        <v>0</v>
      </c>
      <c r="D239" s="361">
        <f t="shared" si="62"/>
        <v>0</v>
      </c>
      <c r="E239" s="361">
        <f t="shared" si="62"/>
        <v>0</v>
      </c>
      <c r="F239" s="361">
        <f t="shared" si="62"/>
        <v>0</v>
      </c>
      <c r="G239" s="361">
        <f t="shared" si="62"/>
        <v>0</v>
      </c>
      <c r="H239" s="361">
        <f t="shared" si="62"/>
        <v>0</v>
      </c>
      <c r="I239" s="361">
        <f t="shared" si="62"/>
        <v>-34000</v>
      </c>
      <c r="J239" s="361">
        <f t="shared" si="62"/>
        <v>-34314.691206000003</v>
      </c>
      <c r="K239" s="361">
        <f t="shared" si="62"/>
        <v>0</v>
      </c>
      <c r="L239" s="361">
        <f t="shared" si="62"/>
        <v>-34314.691206000003</v>
      </c>
      <c r="M239" s="361">
        <f>M73*0</f>
        <v>0</v>
      </c>
      <c r="N239" s="361">
        <f>N73</f>
        <v>0</v>
      </c>
      <c r="O239" s="361">
        <f>O73*0</f>
        <v>0</v>
      </c>
      <c r="Q239" s="252" t="s">
        <v>386</v>
      </c>
      <c r="R239" s="249"/>
      <c r="S239" s="249"/>
      <c r="T239" s="249"/>
      <c r="U239" s="249"/>
    </row>
    <row r="240" spans="2:21" s="253" customFormat="1" x14ac:dyDescent="0.25">
      <c r="B240" s="458" t="s">
        <v>500</v>
      </c>
      <c r="C240" s="459"/>
      <c r="D240" s="460"/>
      <c r="E240" s="460"/>
      <c r="F240" s="460"/>
      <c r="G240" s="460"/>
      <c r="H240" s="460"/>
      <c r="I240" s="460"/>
      <c r="J240" s="460"/>
      <c r="K240" s="460"/>
      <c r="L240" s="460"/>
      <c r="M240" s="460">
        <f>-M230</f>
        <v>-120530</v>
      </c>
      <c r="N240" s="460">
        <v>0</v>
      </c>
      <c r="O240" s="298">
        <f>N240+M240</f>
        <v>-120530</v>
      </c>
      <c r="Q240" s="252"/>
      <c r="R240" s="249"/>
      <c r="S240" s="249"/>
      <c r="T240" s="249"/>
      <c r="U240" s="249"/>
    </row>
    <row r="241" spans="2:22" x14ac:dyDescent="0.25">
      <c r="B241" s="362" t="s">
        <v>377</v>
      </c>
      <c r="C241" s="363">
        <f>SUM(C235:C239)</f>
        <v>-12.367649999999999</v>
      </c>
      <c r="D241" s="363">
        <f t="shared" ref="D241:L241" si="63">SUM(D235:D239)</f>
        <v>-10171.76304</v>
      </c>
      <c r="E241" s="363">
        <f t="shared" si="63"/>
        <v>-20260.973013999999</v>
      </c>
      <c r="F241" s="363">
        <f t="shared" si="63"/>
        <v>-13440.721939999999</v>
      </c>
      <c r="G241" s="363">
        <f t="shared" si="63"/>
        <v>-12706.492807999999</v>
      </c>
      <c r="H241" s="363">
        <f t="shared" si="63"/>
        <v>-19589.301751999999</v>
      </c>
      <c r="I241" s="363">
        <f t="shared" si="63"/>
        <v>-67898.246068000008</v>
      </c>
      <c r="J241" s="363">
        <f t="shared" si="63"/>
        <v>-88313.758306999996</v>
      </c>
      <c r="K241" s="363">
        <f t="shared" si="63"/>
        <v>-14169.7</v>
      </c>
      <c r="L241" s="363">
        <f t="shared" si="63"/>
        <v>-102483.45830700001</v>
      </c>
      <c r="M241" s="364">
        <f>SUM(M235:M240)</f>
        <v>-298778.63337299996</v>
      </c>
      <c r="N241" s="364">
        <f>SUM(N235:N240)</f>
        <v>-19926.712599999999</v>
      </c>
      <c r="O241" s="364">
        <f>SUM(O235:O240)</f>
        <v>-318705.34597299999</v>
      </c>
      <c r="Q241" s="249" t="s">
        <v>383</v>
      </c>
      <c r="T241" s="251">
        <v>-40000</v>
      </c>
    </row>
    <row r="242" spans="2:22" x14ac:dyDescent="0.25">
      <c r="B242" s="365" t="s">
        <v>374</v>
      </c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249"/>
      <c r="Q242" s="249" t="s">
        <v>503</v>
      </c>
      <c r="T242" s="251">
        <f>-45415-T241-T243</f>
        <v>-5358</v>
      </c>
    </row>
    <row r="243" spans="2:22" x14ac:dyDescent="0.25">
      <c r="B243" s="296" t="s">
        <v>63</v>
      </c>
      <c r="C243" s="299">
        <f t="shared" ref="C243:L243" si="64">C86</f>
        <v>174.968502</v>
      </c>
      <c r="D243" s="299">
        <f t="shared" si="64"/>
        <v>13470.893733000001</v>
      </c>
      <c r="E243" s="299">
        <f t="shared" si="64"/>
        <v>12141.069858000001</v>
      </c>
      <c r="F243" s="299">
        <f t="shared" si="64"/>
        <v>10263.508383</v>
      </c>
      <c r="G243" s="299">
        <f t="shared" si="64"/>
        <v>5764.155538</v>
      </c>
      <c r="H243" s="299">
        <f t="shared" si="64"/>
        <v>2117.9439240000002</v>
      </c>
      <c r="I243" s="299">
        <f t="shared" si="64"/>
        <v>10488.68894</v>
      </c>
      <c r="J243" s="299">
        <f t="shared" si="64"/>
        <v>12353.249764</v>
      </c>
      <c r="K243" s="299">
        <f t="shared" si="64"/>
        <v>246.46600000000001</v>
      </c>
      <c r="L243" s="299">
        <f t="shared" si="64"/>
        <v>12599.715764</v>
      </c>
      <c r="M243" s="299">
        <f>M86-174</f>
        <v>66846.944642000002</v>
      </c>
      <c r="N243" s="299">
        <f>N86</f>
        <v>0</v>
      </c>
      <c r="O243" s="299">
        <f>M243</f>
        <v>66846.944642000002</v>
      </c>
      <c r="Q243" s="249" t="s">
        <v>384</v>
      </c>
      <c r="T243" s="251">
        <f>'rcn CF 21'!F23</f>
        <v>-57</v>
      </c>
      <c r="U243" s="253"/>
    </row>
    <row r="244" spans="2:22" s="253" customFormat="1" hidden="1" x14ac:dyDescent="0.25">
      <c r="B244" s="306" t="s">
        <v>375</v>
      </c>
      <c r="C244" s="307">
        <f t="shared" ref="C244:L244" si="65">C87</f>
        <v>0</v>
      </c>
      <c r="D244" s="307">
        <f t="shared" si="65"/>
        <v>0</v>
      </c>
      <c r="E244" s="307">
        <f t="shared" si="65"/>
        <v>0</v>
      </c>
      <c r="F244" s="307">
        <f t="shared" si="65"/>
        <v>0</v>
      </c>
      <c r="G244" s="307">
        <f t="shared" si="65"/>
        <v>21059.649748</v>
      </c>
      <c r="H244" s="307">
        <f t="shared" si="65"/>
        <v>0</v>
      </c>
      <c r="I244" s="307">
        <f t="shared" si="65"/>
        <v>47080.941057999997</v>
      </c>
      <c r="J244" s="307">
        <f t="shared" si="65"/>
        <v>0</v>
      </c>
      <c r="K244" s="307">
        <f t="shared" si="65"/>
        <v>0</v>
      </c>
      <c r="L244" s="307">
        <f t="shared" si="65"/>
        <v>0</v>
      </c>
      <c r="M244" s="307">
        <f>M87*0</f>
        <v>0</v>
      </c>
      <c r="N244" s="307">
        <f>N87</f>
        <v>0</v>
      </c>
      <c r="O244" s="307">
        <f>O87*0</f>
        <v>0</v>
      </c>
      <c r="P244" s="366"/>
      <c r="Q244" s="249" t="s">
        <v>385</v>
      </c>
      <c r="R244" s="249"/>
      <c r="S244" s="249"/>
      <c r="T244" s="251">
        <f>N199</f>
        <v>-4931</v>
      </c>
      <c r="U244" s="249"/>
    </row>
    <row r="245" spans="2:22" s="255" customFormat="1" ht="12" thickBot="1" x14ac:dyDescent="0.3">
      <c r="B245" s="367" t="s">
        <v>381</v>
      </c>
      <c r="C245" s="368">
        <v>0</v>
      </c>
      <c r="D245" s="368">
        <v>0</v>
      </c>
      <c r="E245" s="368">
        <v>0</v>
      </c>
      <c r="F245" s="368">
        <v>0</v>
      </c>
      <c r="G245" s="368">
        <v>0</v>
      </c>
      <c r="H245" s="368">
        <v>0</v>
      </c>
      <c r="I245" s="368">
        <v>0</v>
      </c>
      <c r="J245" s="368"/>
      <c r="K245" s="368"/>
      <c r="L245" s="368">
        <v>0</v>
      </c>
      <c r="M245" s="368">
        <v>0</v>
      </c>
      <c r="N245" s="368">
        <v>4500</v>
      </c>
      <c r="O245" s="368">
        <f>N245</f>
        <v>4500</v>
      </c>
      <c r="P245" s="317"/>
      <c r="Q245" s="255" t="s">
        <v>504</v>
      </c>
      <c r="T245" s="251">
        <f>-2170-1435</f>
        <v>-3605</v>
      </c>
    </row>
    <row r="246" spans="2:22" s="257" customFormat="1" ht="12" thickBot="1" x14ac:dyDescent="0.3">
      <c r="B246" s="349" t="s">
        <v>378</v>
      </c>
      <c r="C246" s="350">
        <f>C244+C243</f>
        <v>174.968502</v>
      </c>
      <c r="D246" s="350">
        <f t="shared" ref="D246:M246" si="66">D244+D243</f>
        <v>13470.893733000001</v>
      </c>
      <c r="E246" s="350">
        <f t="shared" si="66"/>
        <v>12141.069858000001</v>
      </c>
      <c r="F246" s="350">
        <f t="shared" si="66"/>
        <v>10263.508383</v>
      </c>
      <c r="G246" s="350">
        <f t="shared" si="66"/>
        <v>26823.805285999999</v>
      </c>
      <c r="H246" s="350">
        <f t="shared" si="66"/>
        <v>2117.9439240000002</v>
      </c>
      <c r="I246" s="350">
        <f t="shared" si="66"/>
        <v>57569.629997999997</v>
      </c>
      <c r="J246" s="350">
        <f t="shared" si="66"/>
        <v>12353.249764</v>
      </c>
      <c r="K246" s="350">
        <f t="shared" si="66"/>
        <v>246.46600000000001</v>
      </c>
      <c r="L246" s="350">
        <f t="shared" si="66"/>
        <v>12599.715764</v>
      </c>
      <c r="M246" s="350">
        <f t="shared" si="66"/>
        <v>66846.944642000002</v>
      </c>
      <c r="N246" s="350">
        <f>N245</f>
        <v>4500</v>
      </c>
      <c r="O246" s="350">
        <f>O244+O243+O245</f>
        <v>71346.944642000002</v>
      </c>
    </row>
    <row r="247" spans="2:22" ht="12" thickBot="1" x14ac:dyDescent="0.3">
      <c r="B247" s="369" t="s">
        <v>376</v>
      </c>
      <c r="C247" s="299">
        <f>C246+C241</f>
        <v>162.600852</v>
      </c>
      <c r="D247" s="299">
        <f t="shared" ref="D247:O247" si="67">D246+D241</f>
        <v>3299.130693000001</v>
      </c>
      <c r="E247" s="251">
        <f t="shared" si="67"/>
        <v>-8119.9031559999985</v>
      </c>
      <c r="F247" s="251">
        <f t="shared" si="67"/>
        <v>-3177.2135569999991</v>
      </c>
      <c r="G247" s="299">
        <f t="shared" si="67"/>
        <v>14117.312478</v>
      </c>
      <c r="H247" s="251">
        <f t="shared" si="67"/>
        <v>-17471.357828</v>
      </c>
      <c r="I247" s="251">
        <f t="shared" si="67"/>
        <v>-10328.616070000011</v>
      </c>
      <c r="J247" s="251">
        <f t="shared" si="67"/>
        <v>-75960.508543000004</v>
      </c>
      <c r="K247" s="251">
        <f t="shared" si="67"/>
        <v>-13923.234</v>
      </c>
      <c r="L247" s="251">
        <f t="shared" si="67"/>
        <v>-89883.742543</v>
      </c>
      <c r="M247" s="251">
        <f t="shared" si="67"/>
        <v>-231931.68873099994</v>
      </c>
      <c r="N247" s="251">
        <f t="shared" si="67"/>
        <v>-15426.712599999999</v>
      </c>
      <c r="O247" s="370">
        <f t="shared" si="67"/>
        <v>-247358.40133099997</v>
      </c>
      <c r="T247" s="254" t="s">
        <v>167</v>
      </c>
      <c r="U247" s="251">
        <f>T243+T242+T241+T245</f>
        <v>-49020</v>
      </c>
    </row>
    <row r="248" spans="2:22" s="257" customFormat="1" ht="12" thickBot="1" x14ac:dyDescent="0.3">
      <c r="B248" s="371" t="s">
        <v>379</v>
      </c>
      <c r="C248" s="372">
        <f t="shared" ref="C248:L248" si="68">C233+C247</f>
        <v>153725.313398</v>
      </c>
      <c r="D248" s="372">
        <f t="shared" si="68"/>
        <v>105160.72346199999</v>
      </c>
      <c r="E248" s="372">
        <f t="shared" si="68"/>
        <v>280470.28191399999</v>
      </c>
      <c r="F248" s="372">
        <f t="shared" si="68"/>
        <v>128606.07506700001</v>
      </c>
      <c r="G248" s="372">
        <f t="shared" si="68"/>
        <v>167949.22218700001</v>
      </c>
      <c r="H248" s="372">
        <f t="shared" si="68"/>
        <v>127085.22708699998</v>
      </c>
      <c r="I248" s="372">
        <f t="shared" si="68"/>
        <v>61408.646222000076</v>
      </c>
      <c r="J248" s="372">
        <f t="shared" si="68"/>
        <v>67514.01604100017</v>
      </c>
      <c r="K248" s="372">
        <f t="shared" si="68"/>
        <v>129393.13758400019</v>
      </c>
      <c r="L248" s="372">
        <f t="shared" si="68"/>
        <v>140934.49710899999</v>
      </c>
      <c r="M248" s="372">
        <f>M232+M247</f>
        <v>119416.55092099996</v>
      </c>
      <c r="N248" s="372">
        <f>N247+M248+N232</f>
        <v>29061.955493999965</v>
      </c>
      <c r="O248" s="372">
        <f>O247+O233</f>
        <v>129591.95549400017</v>
      </c>
      <c r="Q248" s="249"/>
      <c r="R248" s="249"/>
      <c r="S248" s="249"/>
      <c r="T248" s="254" t="s">
        <v>370</v>
      </c>
      <c r="U248" s="250">
        <f>U237+U247</f>
        <v>70396.550920999958</v>
      </c>
    </row>
    <row r="249" spans="2:22" x14ac:dyDescent="0.25">
      <c r="M249" s="262">
        <v>119416</v>
      </c>
      <c r="N249" s="251"/>
      <c r="O249" s="251">
        <f>O248-N248</f>
        <v>100530.0000000002</v>
      </c>
      <c r="Q249" s="252" t="s">
        <v>387</v>
      </c>
      <c r="R249" s="255"/>
      <c r="S249" s="255"/>
      <c r="T249" s="255"/>
      <c r="U249" s="255"/>
    </row>
    <row r="250" spans="2:22" x14ac:dyDescent="0.25">
      <c r="B250" s="251">
        <f>M220+M241</f>
        <v>-3102101.1744370004</v>
      </c>
      <c r="M250" s="251">
        <f>M248-M249</f>
        <v>0.55092099995817989</v>
      </c>
      <c r="N250" s="251"/>
      <c r="O250" s="251">
        <f>O248-N248</f>
        <v>100530.0000000002</v>
      </c>
      <c r="Q250" s="256" t="s">
        <v>388</v>
      </c>
      <c r="R250" s="257"/>
      <c r="S250" s="257"/>
      <c r="T250" s="258">
        <f>'rcn CF 21'!F34</f>
        <v>-10678.131882</v>
      </c>
      <c r="U250" s="257"/>
    </row>
    <row r="251" spans="2:22" x14ac:dyDescent="0.25">
      <c r="B251" s="251"/>
      <c r="M251" s="251">
        <f>M220+M231</f>
        <v>351348.2396519999</v>
      </c>
      <c r="N251" s="251"/>
      <c r="Q251" s="256" t="s">
        <v>389</v>
      </c>
      <c r="T251" s="251">
        <f>'rcn CF 21'!F33</f>
        <v>-3904.34888</v>
      </c>
    </row>
    <row r="252" spans="2:22" x14ac:dyDescent="0.25">
      <c r="B252" s="251">
        <f>-M220-M241</f>
        <v>3102101.1744370004</v>
      </c>
      <c r="M252" s="251">
        <f>M193</f>
        <v>-1334093.9524599998</v>
      </c>
      <c r="Q252" s="259" t="s">
        <v>390</v>
      </c>
      <c r="R252" s="257"/>
      <c r="S252" s="257"/>
      <c r="T252" s="258">
        <f>'rcn CF 21'!F19-52+'rcn CF 21'!F17-1127</f>
        <v>-3507.5</v>
      </c>
      <c r="U252" s="257"/>
    </row>
    <row r="253" spans="2:22" x14ac:dyDescent="0.25">
      <c r="B253" s="457">
        <f>' Pendanaan'!I32</f>
        <v>3130488.1744370004</v>
      </c>
      <c r="M253" s="251">
        <f>M219</f>
        <v>-1174157.3357780003</v>
      </c>
      <c r="T253" s="254" t="s">
        <v>167</v>
      </c>
      <c r="U253" s="251">
        <f>SUM(T250:T252)</f>
        <v>-18089.980761999999</v>
      </c>
      <c r="V253" s="251"/>
    </row>
    <row r="254" spans="2:22" x14ac:dyDescent="0.25">
      <c r="B254" s="251">
        <f>B252-B253</f>
        <v>-28387</v>
      </c>
      <c r="M254" s="251">
        <f>M235</f>
        <v>-136017.53762399999</v>
      </c>
      <c r="U254" s="251"/>
    </row>
    <row r="255" spans="2:22" x14ac:dyDescent="0.25">
      <c r="M255" s="251">
        <f t="shared" ref="M255:M256" si="69">M236</f>
        <v>-10121.747336999999</v>
      </c>
      <c r="T255" s="260" t="s">
        <v>391</v>
      </c>
      <c r="U255" s="261">
        <f>U248+U253</f>
        <v>52306.570158999959</v>
      </c>
    </row>
    <row r="256" spans="2:22" x14ac:dyDescent="0.25">
      <c r="B256" s="251">
        <f>M231</f>
        <v>3154670.7807160001</v>
      </c>
      <c r="M256" s="251">
        <f t="shared" si="69"/>
        <v>-32109.348411999999</v>
      </c>
      <c r="Q256" s="284"/>
      <c r="R256" s="284"/>
      <c r="S256" s="284"/>
      <c r="T256" s="437"/>
      <c r="U256" s="457">
        <f>'rcn CF 21'!G41</f>
        <v>55783.234942000003</v>
      </c>
    </row>
    <row r="257" spans="2:21" x14ac:dyDescent="0.25">
      <c r="B257" s="250">
        <f>M243</f>
        <v>66846.944642000002</v>
      </c>
      <c r="M257" s="251">
        <f>SUM(M252:M256)</f>
        <v>-2686499.9216110003</v>
      </c>
      <c r="T257" s="250"/>
      <c r="U257" s="250">
        <f>U255-U256</f>
        <v>-3476.6647830000438</v>
      </c>
    </row>
    <row r="258" spans="2:21" x14ac:dyDescent="0.25">
      <c r="B258" s="250">
        <f>B257+B256</f>
        <v>3221517.725358</v>
      </c>
      <c r="M258" s="251">
        <f>M231</f>
        <v>3154670.7807160001</v>
      </c>
      <c r="U258" s="250"/>
    </row>
    <row r="259" spans="2:21" x14ac:dyDescent="0.25">
      <c r="M259" s="250">
        <f>M243</f>
        <v>66846.944642000002</v>
      </c>
    </row>
    <row r="260" spans="2:21" x14ac:dyDescent="0.25">
      <c r="B260" s="251">
        <f>M195</f>
        <v>-1629165.2052859999</v>
      </c>
      <c r="M260" s="251">
        <f>SUM(M257:M259)</f>
        <v>535017.80374699982</v>
      </c>
    </row>
    <row r="261" spans="2:21" x14ac:dyDescent="0.25">
      <c r="B261" s="251">
        <f>M219</f>
        <v>-1174157.3357780003</v>
      </c>
    </row>
    <row r="262" spans="2:21" x14ac:dyDescent="0.25">
      <c r="B262" s="251">
        <f>B261+B260</f>
        <v>-2803322.5410640002</v>
      </c>
    </row>
    <row r="263" spans="2:21" x14ac:dyDescent="0.25">
      <c r="B263" s="251">
        <f>M241</f>
        <v>-298778.63337299996</v>
      </c>
    </row>
    <row r="264" spans="2:21" x14ac:dyDescent="0.25">
      <c r="B264" s="251">
        <f>B263+B262</f>
        <v>-3102101.1744370004</v>
      </c>
    </row>
    <row r="265" spans="2:21" x14ac:dyDescent="0.25">
      <c r="B265" s="250">
        <f>B264+B258</f>
        <v>119416.55092099961</v>
      </c>
    </row>
    <row r="266" spans="2:21" x14ac:dyDescent="0.25">
      <c r="B266" s="457">
        <f>M249</f>
        <v>119416</v>
      </c>
    </row>
    <row r="267" spans="2:21" x14ac:dyDescent="0.25">
      <c r="B267" s="250">
        <f>B265-B266</f>
        <v>0.55092099960893393</v>
      </c>
    </row>
  </sheetData>
  <mergeCells count="13">
    <mergeCell ref="B188:B189"/>
    <mergeCell ref="C188:L188"/>
    <mergeCell ref="M188:M189"/>
    <mergeCell ref="N188:N189"/>
    <mergeCell ref="O188:O189"/>
    <mergeCell ref="B45:O45"/>
    <mergeCell ref="B46:O46"/>
    <mergeCell ref="B47:O47"/>
    <mergeCell ref="B49:B50"/>
    <mergeCell ref="O49:O50"/>
    <mergeCell ref="N49:N50"/>
    <mergeCell ref="C49:L49"/>
    <mergeCell ref="M49:M5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E412-5BBC-4332-A554-60AE1BC0DC5B}">
  <dimension ref="A1:WVL196"/>
  <sheetViews>
    <sheetView showGridLines="0" topLeftCell="C88" workbookViewId="0">
      <selection activeCell="U46" sqref="U46"/>
    </sheetView>
  </sheetViews>
  <sheetFormatPr defaultRowHeight="14.5" x14ac:dyDescent="0.35"/>
  <cols>
    <col min="2" max="2" width="3.54296875" style="65" bestFit="1" customWidth="1"/>
    <col min="3" max="3" width="51.26953125" style="65" customWidth="1"/>
    <col min="4" max="4" width="10" style="65" customWidth="1"/>
    <col min="5" max="5" width="10.26953125" style="65" customWidth="1"/>
    <col min="6" max="7" width="10.1796875" style="65" customWidth="1"/>
    <col min="8" max="8" width="13.6328125" style="67" customWidth="1"/>
    <col min="9" max="9" width="10.90625" style="65" customWidth="1"/>
    <col min="10" max="12" width="10.1796875" style="65" customWidth="1"/>
    <col min="13" max="13" width="11.36328125" style="65" customWidth="1"/>
    <col min="14" max="14" width="12.81640625" style="65" customWidth="1"/>
    <col min="15" max="15" width="13.453125" style="67" customWidth="1"/>
    <col min="16" max="16" width="4.08984375" style="67" customWidth="1"/>
    <col min="17" max="18" width="8" style="65" customWidth="1"/>
    <col min="19" max="19" width="8.81640625" style="65" customWidth="1"/>
    <col min="20" max="20" width="8.6328125" style="65" customWidth="1"/>
    <col min="21" max="21" width="10.36328125" style="65" customWidth="1"/>
    <col min="22" max="22" width="9.36328125" style="65" customWidth="1"/>
    <col min="23" max="25" width="10.90625" style="65" customWidth="1"/>
    <col min="26" max="26" width="9.36328125" style="65" customWidth="1"/>
    <col min="27" max="29" width="10.90625" style="65" hidden="1" customWidth="1"/>
    <col min="30" max="30" width="9.36328125" style="65" customWidth="1"/>
    <col min="31" max="33" width="10.90625" style="65" hidden="1" customWidth="1"/>
    <col min="34" max="34" width="9.36328125" style="65" customWidth="1"/>
    <col min="35" max="37" width="10.90625" style="65" hidden="1" customWidth="1"/>
    <col min="38" max="38" width="9.36328125" style="65" customWidth="1"/>
    <col min="39" max="41" width="9.08984375" style="65"/>
    <col min="253" max="253" width="3.54296875" bestFit="1" customWidth="1"/>
    <col min="254" max="254" width="50.1796875" customWidth="1"/>
    <col min="255" max="255" width="11.54296875" bestFit="1" customWidth="1"/>
    <col min="256" max="256" width="7.453125" bestFit="1" customWidth="1"/>
    <col min="257" max="257" width="11.453125" bestFit="1" customWidth="1"/>
    <col min="258" max="258" width="15.1796875" customWidth="1"/>
    <col min="259" max="259" width="14.453125" bestFit="1" customWidth="1"/>
    <col min="260" max="260" width="15.1796875" customWidth="1"/>
    <col min="261" max="261" width="8.453125" bestFit="1" customWidth="1"/>
    <col min="509" max="509" width="3.54296875" bestFit="1" customWidth="1"/>
    <col min="510" max="510" width="50.1796875" customWidth="1"/>
    <col min="511" max="511" width="11.54296875" bestFit="1" customWidth="1"/>
    <col min="512" max="512" width="7.453125" bestFit="1" customWidth="1"/>
    <col min="513" max="513" width="11.453125" bestFit="1" customWidth="1"/>
    <col min="514" max="514" width="15.1796875" customWidth="1"/>
    <col min="515" max="515" width="14.453125" bestFit="1" customWidth="1"/>
    <col min="516" max="516" width="15.1796875" customWidth="1"/>
    <col min="517" max="517" width="8.453125" bestFit="1" customWidth="1"/>
    <col min="765" max="765" width="3.54296875" bestFit="1" customWidth="1"/>
    <col min="766" max="766" width="50.1796875" customWidth="1"/>
    <col min="767" max="767" width="11.54296875" bestFit="1" customWidth="1"/>
    <col min="768" max="768" width="7.453125" bestFit="1" customWidth="1"/>
    <col min="769" max="769" width="11.453125" bestFit="1" customWidth="1"/>
    <col min="770" max="770" width="15.1796875" customWidth="1"/>
    <col min="771" max="771" width="14.453125" bestFit="1" customWidth="1"/>
    <col min="772" max="772" width="15.1796875" customWidth="1"/>
    <col min="773" max="773" width="8.453125" bestFit="1" customWidth="1"/>
    <col min="1021" max="1021" width="3.54296875" bestFit="1" customWidth="1"/>
    <col min="1022" max="1022" width="50.1796875" customWidth="1"/>
    <col min="1023" max="1023" width="11.54296875" bestFit="1" customWidth="1"/>
    <col min="1024" max="1024" width="7.453125" bestFit="1" customWidth="1"/>
    <col min="1025" max="1025" width="11.453125" bestFit="1" customWidth="1"/>
    <col min="1026" max="1026" width="15.1796875" customWidth="1"/>
    <col min="1027" max="1027" width="14.453125" bestFit="1" customWidth="1"/>
    <col min="1028" max="1028" width="15.1796875" customWidth="1"/>
    <col min="1029" max="1029" width="8.453125" bestFit="1" customWidth="1"/>
    <col min="1277" max="1277" width="3.54296875" bestFit="1" customWidth="1"/>
    <col min="1278" max="1278" width="50.1796875" customWidth="1"/>
    <col min="1279" max="1279" width="11.54296875" bestFit="1" customWidth="1"/>
    <col min="1280" max="1280" width="7.453125" bestFit="1" customWidth="1"/>
    <col min="1281" max="1281" width="11.453125" bestFit="1" customWidth="1"/>
    <col min="1282" max="1282" width="15.1796875" customWidth="1"/>
    <col min="1283" max="1283" width="14.453125" bestFit="1" customWidth="1"/>
    <col min="1284" max="1284" width="15.1796875" customWidth="1"/>
    <col min="1285" max="1285" width="8.453125" bestFit="1" customWidth="1"/>
    <col min="1533" max="1533" width="3.54296875" bestFit="1" customWidth="1"/>
    <col min="1534" max="1534" width="50.1796875" customWidth="1"/>
    <col min="1535" max="1535" width="11.54296875" bestFit="1" customWidth="1"/>
    <col min="1536" max="1536" width="7.453125" bestFit="1" customWidth="1"/>
    <col min="1537" max="1537" width="11.453125" bestFit="1" customWidth="1"/>
    <col min="1538" max="1538" width="15.1796875" customWidth="1"/>
    <col min="1539" max="1539" width="14.453125" bestFit="1" customWidth="1"/>
    <col min="1540" max="1540" width="15.1796875" customWidth="1"/>
    <col min="1541" max="1541" width="8.453125" bestFit="1" customWidth="1"/>
    <col min="1789" max="1789" width="3.54296875" bestFit="1" customWidth="1"/>
    <col min="1790" max="1790" width="50.1796875" customWidth="1"/>
    <col min="1791" max="1791" width="11.54296875" bestFit="1" customWidth="1"/>
    <col min="1792" max="1792" width="7.453125" bestFit="1" customWidth="1"/>
    <col min="1793" max="1793" width="11.453125" bestFit="1" customWidth="1"/>
    <col min="1794" max="1794" width="15.1796875" customWidth="1"/>
    <col min="1795" max="1795" width="14.453125" bestFit="1" customWidth="1"/>
    <col min="1796" max="1796" width="15.1796875" customWidth="1"/>
    <col min="1797" max="1797" width="8.453125" bestFit="1" customWidth="1"/>
    <col min="2045" max="2045" width="3.54296875" bestFit="1" customWidth="1"/>
    <col min="2046" max="2046" width="50.1796875" customWidth="1"/>
    <col min="2047" max="2047" width="11.54296875" bestFit="1" customWidth="1"/>
    <col min="2048" max="2048" width="7.453125" bestFit="1" customWidth="1"/>
    <col min="2049" max="2049" width="11.453125" bestFit="1" customWidth="1"/>
    <col min="2050" max="2050" width="15.1796875" customWidth="1"/>
    <col min="2051" max="2051" width="14.453125" bestFit="1" customWidth="1"/>
    <col min="2052" max="2052" width="15.1796875" customWidth="1"/>
    <col min="2053" max="2053" width="8.453125" bestFit="1" customWidth="1"/>
    <col min="2301" max="2301" width="3.54296875" bestFit="1" customWidth="1"/>
    <col min="2302" max="2302" width="50.1796875" customWidth="1"/>
    <col min="2303" max="2303" width="11.54296875" bestFit="1" customWidth="1"/>
    <col min="2304" max="2304" width="7.453125" bestFit="1" customWidth="1"/>
    <col min="2305" max="2305" width="11.453125" bestFit="1" customWidth="1"/>
    <col min="2306" max="2306" width="15.1796875" customWidth="1"/>
    <col min="2307" max="2307" width="14.453125" bestFit="1" customWidth="1"/>
    <col min="2308" max="2308" width="15.1796875" customWidth="1"/>
    <col min="2309" max="2309" width="8.453125" bestFit="1" customWidth="1"/>
    <col min="2557" max="2557" width="3.54296875" bestFit="1" customWidth="1"/>
    <col min="2558" max="2558" width="50.1796875" customWidth="1"/>
    <col min="2559" max="2559" width="11.54296875" bestFit="1" customWidth="1"/>
    <col min="2560" max="2560" width="7.453125" bestFit="1" customWidth="1"/>
    <col min="2561" max="2561" width="11.453125" bestFit="1" customWidth="1"/>
    <col min="2562" max="2562" width="15.1796875" customWidth="1"/>
    <col min="2563" max="2563" width="14.453125" bestFit="1" customWidth="1"/>
    <col min="2564" max="2564" width="15.1796875" customWidth="1"/>
    <col min="2565" max="2565" width="8.453125" bestFit="1" customWidth="1"/>
    <col min="2813" max="2813" width="3.54296875" bestFit="1" customWidth="1"/>
    <col min="2814" max="2814" width="50.1796875" customWidth="1"/>
    <col min="2815" max="2815" width="11.54296875" bestFit="1" customWidth="1"/>
    <col min="2816" max="2816" width="7.453125" bestFit="1" customWidth="1"/>
    <col min="2817" max="2817" width="11.453125" bestFit="1" customWidth="1"/>
    <col min="2818" max="2818" width="15.1796875" customWidth="1"/>
    <col min="2819" max="2819" width="14.453125" bestFit="1" customWidth="1"/>
    <col min="2820" max="2820" width="15.1796875" customWidth="1"/>
    <col min="2821" max="2821" width="8.453125" bestFit="1" customWidth="1"/>
    <col min="3069" max="3069" width="3.54296875" bestFit="1" customWidth="1"/>
    <col min="3070" max="3070" width="50.1796875" customWidth="1"/>
    <col min="3071" max="3071" width="11.54296875" bestFit="1" customWidth="1"/>
    <col min="3072" max="3072" width="7.453125" bestFit="1" customWidth="1"/>
    <col min="3073" max="3073" width="11.453125" bestFit="1" customWidth="1"/>
    <col min="3074" max="3074" width="15.1796875" customWidth="1"/>
    <col min="3075" max="3075" width="14.453125" bestFit="1" customWidth="1"/>
    <col min="3076" max="3076" width="15.1796875" customWidth="1"/>
    <col min="3077" max="3077" width="8.453125" bestFit="1" customWidth="1"/>
    <col min="3325" max="3325" width="3.54296875" bestFit="1" customWidth="1"/>
    <col min="3326" max="3326" width="50.1796875" customWidth="1"/>
    <col min="3327" max="3327" width="11.54296875" bestFit="1" customWidth="1"/>
    <col min="3328" max="3328" width="7.453125" bestFit="1" customWidth="1"/>
    <col min="3329" max="3329" width="11.453125" bestFit="1" customWidth="1"/>
    <col min="3330" max="3330" width="15.1796875" customWidth="1"/>
    <col min="3331" max="3331" width="14.453125" bestFit="1" customWidth="1"/>
    <col min="3332" max="3332" width="15.1796875" customWidth="1"/>
    <col min="3333" max="3333" width="8.453125" bestFit="1" customWidth="1"/>
    <col min="3581" max="3581" width="3.54296875" bestFit="1" customWidth="1"/>
    <col min="3582" max="3582" width="50.1796875" customWidth="1"/>
    <col min="3583" max="3583" width="11.54296875" bestFit="1" customWidth="1"/>
    <col min="3584" max="3584" width="7.453125" bestFit="1" customWidth="1"/>
    <col min="3585" max="3585" width="11.453125" bestFit="1" customWidth="1"/>
    <col min="3586" max="3586" width="15.1796875" customWidth="1"/>
    <col min="3587" max="3587" width="14.453125" bestFit="1" customWidth="1"/>
    <col min="3588" max="3588" width="15.1796875" customWidth="1"/>
    <col min="3589" max="3589" width="8.453125" bestFit="1" customWidth="1"/>
    <col min="3837" max="3837" width="3.54296875" bestFit="1" customWidth="1"/>
    <col min="3838" max="3838" width="50.1796875" customWidth="1"/>
    <col min="3839" max="3839" width="11.54296875" bestFit="1" customWidth="1"/>
    <col min="3840" max="3840" width="7.453125" bestFit="1" customWidth="1"/>
    <col min="3841" max="3841" width="11.453125" bestFit="1" customWidth="1"/>
    <col min="3842" max="3842" width="15.1796875" customWidth="1"/>
    <col min="3843" max="3843" width="14.453125" bestFit="1" customWidth="1"/>
    <col min="3844" max="3844" width="15.1796875" customWidth="1"/>
    <col min="3845" max="3845" width="8.453125" bestFit="1" customWidth="1"/>
    <col min="4093" max="4093" width="3.54296875" bestFit="1" customWidth="1"/>
    <col min="4094" max="4094" width="50.1796875" customWidth="1"/>
    <col min="4095" max="4095" width="11.54296875" bestFit="1" customWidth="1"/>
    <col min="4096" max="4096" width="7.453125" bestFit="1" customWidth="1"/>
    <col min="4097" max="4097" width="11.453125" bestFit="1" customWidth="1"/>
    <col min="4098" max="4098" width="15.1796875" customWidth="1"/>
    <col min="4099" max="4099" width="14.453125" bestFit="1" customWidth="1"/>
    <col min="4100" max="4100" width="15.1796875" customWidth="1"/>
    <col min="4101" max="4101" width="8.453125" bestFit="1" customWidth="1"/>
    <col min="4349" max="4349" width="3.54296875" bestFit="1" customWidth="1"/>
    <col min="4350" max="4350" width="50.1796875" customWidth="1"/>
    <col min="4351" max="4351" width="11.54296875" bestFit="1" customWidth="1"/>
    <col min="4352" max="4352" width="7.453125" bestFit="1" customWidth="1"/>
    <col min="4353" max="4353" width="11.453125" bestFit="1" customWidth="1"/>
    <col min="4354" max="4354" width="15.1796875" customWidth="1"/>
    <col min="4355" max="4355" width="14.453125" bestFit="1" customWidth="1"/>
    <col min="4356" max="4356" width="15.1796875" customWidth="1"/>
    <col min="4357" max="4357" width="8.453125" bestFit="1" customWidth="1"/>
    <col min="4605" max="4605" width="3.54296875" bestFit="1" customWidth="1"/>
    <col min="4606" max="4606" width="50.1796875" customWidth="1"/>
    <col min="4607" max="4607" width="11.54296875" bestFit="1" customWidth="1"/>
    <col min="4608" max="4608" width="7.453125" bestFit="1" customWidth="1"/>
    <col min="4609" max="4609" width="11.453125" bestFit="1" customWidth="1"/>
    <col min="4610" max="4610" width="15.1796875" customWidth="1"/>
    <col min="4611" max="4611" width="14.453125" bestFit="1" customWidth="1"/>
    <col min="4612" max="4612" width="15.1796875" customWidth="1"/>
    <col min="4613" max="4613" width="8.453125" bestFit="1" customWidth="1"/>
    <col min="4861" max="4861" width="3.54296875" bestFit="1" customWidth="1"/>
    <col min="4862" max="4862" width="50.1796875" customWidth="1"/>
    <col min="4863" max="4863" width="11.54296875" bestFit="1" customWidth="1"/>
    <col min="4864" max="4864" width="7.453125" bestFit="1" customWidth="1"/>
    <col min="4865" max="4865" width="11.453125" bestFit="1" customWidth="1"/>
    <col min="4866" max="4866" width="15.1796875" customWidth="1"/>
    <col min="4867" max="4867" width="14.453125" bestFit="1" customWidth="1"/>
    <col min="4868" max="4868" width="15.1796875" customWidth="1"/>
    <col min="4869" max="4869" width="8.453125" bestFit="1" customWidth="1"/>
    <col min="5117" max="5117" width="3.54296875" bestFit="1" customWidth="1"/>
    <col min="5118" max="5118" width="50.1796875" customWidth="1"/>
    <col min="5119" max="5119" width="11.54296875" bestFit="1" customWidth="1"/>
    <col min="5120" max="5120" width="7.453125" bestFit="1" customWidth="1"/>
    <col min="5121" max="5121" width="11.453125" bestFit="1" customWidth="1"/>
    <col min="5122" max="5122" width="15.1796875" customWidth="1"/>
    <col min="5123" max="5123" width="14.453125" bestFit="1" customWidth="1"/>
    <col min="5124" max="5124" width="15.1796875" customWidth="1"/>
    <col min="5125" max="5125" width="8.453125" bestFit="1" customWidth="1"/>
    <col min="5373" max="5373" width="3.54296875" bestFit="1" customWidth="1"/>
    <col min="5374" max="5374" width="50.1796875" customWidth="1"/>
    <col min="5375" max="5375" width="11.54296875" bestFit="1" customWidth="1"/>
    <col min="5376" max="5376" width="7.453125" bestFit="1" customWidth="1"/>
    <col min="5377" max="5377" width="11.453125" bestFit="1" customWidth="1"/>
    <col min="5378" max="5378" width="15.1796875" customWidth="1"/>
    <col min="5379" max="5379" width="14.453125" bestFit="1" customWidth="1"/>
    <col min="5380" max="5380" width="15.1796875" customWidth="1"/>
    <col min="5381" max="5381" width="8.453125" bestFit="1" customWidth="1"/>
    <col min="5629" max="5629" width="3.54296875" bestFit="1" customWidth="1"/>
    <col min="5630" max="5630" width="50.1796875" customWidth="1"/>
    <col min="5631" max="5631" width="11.54296875" bestFit="1" customWidth="1"/>
    <col min="5632" max="5632" width="7.453125" bestFit="1" customWidth="1"/>
    <col min="5633" max="5633" width="11.453125" bestFit="1" customWidth="1"/>
    <col min="5634" max="5634" width="15.1796875" customWidth="1"/>
    <col min="5635" max="5635" width="14.453125" bestFit="1" customWidth="1"/>
    <col min="5636" max="5636" width="15.1796875" customWidth="1"/>
    <col min="5637" max="5637" width="8.453125" bestFit="1" customWidth="1"/>
    <col min="5885" max="5885" width="3.54296875" bestFit="1" customWidth="1"/>
    <col min="5886" max="5886" width="50.1796875" customWidth="1"/>
    <col min="5887" max="5887" width="11.54296875" bestFit="1" customWidth="1"/>
    <col min="5888" max="5888" width="7.453125" bestFit="1" customWidth="1"/>
    <col min="5889" max="5889" width="11.453125" bestFit="1" customWidth="1"/>
    <col min="5890" max="5890" width="15.1796875" customWidth="1"/>
    <col min="5891" max="5891" width="14.453125" bestFit="1" customWidth="1"/>
    <col min="5892" max="5892" width="15.1796875" customWidth="1"/>
    <col min="5893" max="5893" width="8.453125" bestFit="1" customWidth="1"/>
    <col min="6141" max="6141" width="3.54296875" bestFit="1" customWidth="1"/>
    <col min="6142" max="6142" width="50.1796875" customWidth="1"/>
    <col min="6143" max="6143" width="11.54296875" bestFit="1" customWidth="1"/>
    <col min="6144" max="6144" width="7.453125" bestFit="1" customWidth="1"/>
    <col min="6145" max="6145" width="11.453125" bestFit="1" customWidth="1"/>
    <col min="6146" max="6146" width="15.1796875" customWidth="1"/>
    <col min="6147" max="6147" width="14.453125" bestFit="1" customWidth="1"/>
    <col min="6148" max="6148" width="15.1796875" customWidth="1"/>
    <col min="6149" max="6149" width="8.453125" bestFit="1" customWidth="1"/>
    <col min="6397" max="6397" width="3.54296875" bestFit="1" customWidth="1"/>
    <col min="6398" max="6398" width="50.1796875" customWidth="1"/>
    <col min="6399" max="6399" width="11.54296875" bestFit="1" customWidth="1"/>
    <col min="6400" max="6400" width="7.453125" bestFit="1" customWidth="1"/>
    <col min="6401" max="6401" width="11.453125" bestFit="1" customWidth="1"/>
    <col min="6402" max="6402" width="15.1796875" customWidth="1"/>
    <col min="6403" max="6403" width="14.453125" bestFit="1" customWidth="1"/>
    <col min="6404" max="6404" width="15.1796875" customWidth="1"/>
    <col min="6405" max="6405" width="8.453125" bestFit="1" customWidth="1"/>
    <col min="6653" max="6653" width="3.54296875" bestFit="1" customWidth="1"/>
    <col min="6654" max="6654" width="50.1796875" customWidth="1"/>
    <col min="6655" max="6655" width="11.54296875" bestFit="1" customWidth="1"/>
    <col min="6656" max="6656" width="7.453125" bestFit="1" customWidth="1"/>
    <col min="6657" max="6657" width="11.453125" bestFit="1" customWidth="1"/>
    <col min="6658" max="6658" width="15.1796875" customWidth="1"/>
    <col min="6659" max="6659" width="14.453125" bestFit="1" customWidth="1"/>
    <col min="6660" max="6660" width="15.1796875" customWidth="1"/>
    <col min="6661" max="6661" width="8.453125" bestFit="1" customWidth="1"/>
    <col min="6909" max="6909" width="3.54296875" bestFit="1" customWidth="1"/>
    <col min="6910" max="6910" width="50.1796875" customWidth="1"/>
    <col min="6911" max="6911" width="11.54296875" bestFit="1" customWidth="1"/>
    <col min="6912" max="6912" width="7.453125" bestFit="1" customWidth="1"/>
    <col min="6913" max="6913" width="11.453125" bestFit="1" customWidth="1"/>
    <col min="6914" max="6914" width="15.1796875" customWidth="1"/>
    <col min="6915" max="6915" width="14.453125" bestFit="1" customWidth="1"/>
    <col min="6916" max="6916" width="15.1796875" customWidth="1"/>
    <col min="6917" max="6917" width="8.453125" bestFit="1" customWidth="1"/>
    <col min="7165" max="7165" width="3.54296875" bestFit="1" customWidth="1"/>
    <col min="7166" max="7166" width="50.1796875" customWidth="1"/>
    <col min="7167" max="7167" width="11.54296875" bestFit="1" customWidth="1"/>
    <col min="7168" max="7168" width="7.453125" bestFit="1" customWidth="1"/>
    <col min="7169" max="7169" width="11.453125" bestFit="1" customWidth="1"/>
    <col min="7170" max="7170" width="15.1796875" customWidth="1"/>
    <col min="7171" max="7171" width="14.453125" bestFit="1" customWidth="1"/>
    <col min="7172" max="7172" width="15.1796875" customWidth="1"/>
    <col min="7173" max="7173" width="8.453125" bestFit="1" customWidth="1"/>
    <col min="7421" max="7421" width="3.54296875" bestFit="1" customWidth="1"/>
    <col min="7422" max="7422" width="50.1796875" customWidth="1"/>
    <col min="7423" max="7423" width="11.54296875" bestFit="1" customWidth="1"/>
    <col min="7424" max="7424" width="7.453125" bestFit="1" customWidth="1"/>
    <col min="7425" max="7425" width="11.453125" bestFit="1" customWidth="1"/>
    <col min="7426" max="7426" width="15.1796875" customWidth="1"/>
    <col min="7427" max="7427" width="14.453125" bestFit="1" customWidth="1"/>
    <col min="7428" max="7428" width="15.1796875" customWidth="1"/>
    <col min="7429" max="7429" width="8.453125" bestFit="1" customWidth="1"/>
    <col min="7677" max="7677" width="3.54296875" bestFit="1" customWidth="1"/>
    <col min="7678" max="7678" width="50.1796875" customWidth="1"/>
    <col min="7679" max="7679" width="11.54296875" bestFit="1" customWidth="1"/>
    <col min="7680" max="7680" width="7.453125" bestFit="1" customWidth="1"/>
    <col min="7681" max="7681" width="11.453125" bestFit="1" customWidth="1"/>
    <col min="7682" max="7682" width="15.1796875" customWidth="1"/>
    <col min="7683" max="7683" width="14.453125" bestFit="1" customWidth="1"/>
    <col min="7684" max="7684" width="15.1796875" customWidth="1"/>
    <col min="7685" max="7685" width="8.453125" bestFit="1" customWidth="1"/>
    <col min="7933" max="7933" width="3.54296875" bestFit="1" customWidth="1"/>
    <col min="7934" max="7934" width="50.1796875" customWidth="1"/>
    <col min="7935" max="7935" width="11.54296875" bestFit="1" customWidth="1"/>
    <col min="7936" max="7936" width="7.453125" bestFit="1" customWidth="1"/>
    <col min="7937" max="7937" width="11.453125" bestFit="1" customWidth="1"/>
    <col min="7938" max="7938" width="15.1796875" customWidth="1"/>
    <col min="7939" max="7939" width="14.453125" bestFit="1" customWidth="1"/>
    <col min="7940" max="7940" width="15.1796875" customWidth="1"/>
    <col min="7941" max="7941" width="8.453125" bestFit="1" customWidth="1"/>
    <col min="8189" max="8189" width="3.54296875" bestFit="1" customWidth="1"/>
    <col min="8190" max="8190" width="50.1796875" customWidth="1"/>
    <col min="8191" max="8191" width="11.54296875" bestFit="1" customWidth="1"/>
    <col min="8192" max="8192" width="7.453125" bestFit="1" customWidth="1"/>
    <col min="8193" max="8193" width="11.453125" bestFit="1" customWidth="1"/>
    <col min="8194" max="8194" width="15.1796875" customWidth="1"/>
    <col min="8195" max="8195" width="14.453125" bestFit="1" customWidth="1"/>
    <col min="8196" max="8196" width="15.1796875" customWidth="1"/>
    <col min="8197" max="8197" width="8.453125" bestFit="1" customWidth="1"/>
    <col min="8445" max="8445" width="3.54296875" bestFit="1" customWidth="1"/>
    <col min="8446" max="8446" width="50.1796875" customWidth="1"/>
    <col min="8447" max="8447" width="11.54296875" bestFit="1" customWidth="1"/>
    <col min="8448" max="8448" width="7.453125" bestFit="1" customWidth="1"/>
    <col min="8449" max="8449" width="11.453125" bestFit="1" customWidth="1"/>
    <col min="8450" max="8450" width="15.1796875" customWidth="1"/>
    <col min="8451" max="8451" width="14.453125" bestFit="1" customWidth="1"/>
    <col min="8452" max="8452" width="15.1796875" customWidth="1"/>
    <col min="8453" max="8453" width="8.453125" bestFit="1" customWidth="1"/>
    <col min="8701" max="8701" width="3.54296875" bestFit="1" customWidth="1"/>
    <col min="8702" max="8702" width="50.1796875" customWidth="1"/>
    <col min="8703" max="8703" width="11.54296875" bestFit="1" customWidth="1"/>
    <col min="8704" max="8704" width="7.453125" bestFit="1" customWidth="1"/>
    <col min="8705" max="8705" width="11.453125" bestFit="1" customWidth="1"/>
    <col min="8706" max="8706" width="15.1796875" customWidth="1"/>
    <col min="8707" max="8707" width="14.453125" bestFit="1" customWidth="1"/>
    <col min="8708" max="8708" width="15.1796875" customWidth="1"/>
    <col min="8709" max="8709" width="8.453125" bestFit="1" customWidth="1"/>
    <col min="8957" max="8957" width="3.54296875" bestFit="1" customWidth="1"/>
    <col min="8958" max="8958" width="50.1796875" customWidth="1"/>
    <col min="8959" max="8959" width="11.54296875" bestFit="1" customWidth="1"/>
    <col min="8960" max="8960" width="7.453125" bestFit="1" customWidth="1"/>
    <col min="8961" max="8961" width="11.453125" bestFit="1" customWidth="1"/>
    <col min="8962" max="8962" width="15.1796875" customWidth="1"/>
    <col min="8963" max="8963" width="14.453125" bestFit="1" customWidth="1"/>
    <col min="8964" max="8964" width="15.1796875" customWidth="1"/>
    <col min="8965" max="8965" width="8.453125" bestFit="1" customWidth="1"/>
    <col min="9213" max="9213" width="3.54296875" bestFit="1" customWidth="1"/>
    <col min="9214" max="9214" width="50.1796875" customWidth="1"/>
    <col min="9215" max="9215" width="11.54296875" bestFit="1" customWidth="1"/>
    <col min="9216" max="9216" width="7.453125" bestFit="1" customWidth="1"/>
    <col min="9217" max="9217" width="11.453125" bestFit="1" customWidth="1"/>
    <col min="9218" max="9218" width="15.1796875" customWidth="1"/>
    <col min="9219" max="9219" width="14.453125" bestFit="1" customWidth="1"/>
    <col min="9220" max="9220" width="15.1796875" customWidth="1"/>
    <col min="9221" max="9221" width="8.453125" bestFit="1" customWidth="1"/>
    <col min="9469" max="9469" width="3.54296875" bestFit="1" customWidth="1"/>
    <col min="9470" max="9470" width="50.1796875" customWidth="1"/>
    <col min="9471" max="9471" width="11.54296875" bestFit="1" customWidth="1"/>
    <col min="9472" max="9472" width="7.453125" bestFit="1" customWidth="1"/>
    <col min="9473" max="9473" width="11.453125" bestFit="1" customWidth="1"/>
    <col min="9474" max="9474" width="15.1796875" customWidth="1"/>
    <col min="9475" max="9475" width="14.453125" bestFit="1" customWidth="1"/>
    <col min="9476" max="9476" width="15.1796875" customWidth="1"/>
    <col min="9477" max="9477" width="8.453125" bestFit="1" customWidth="1"/>
    <col min="9725" max="9725" width="3.54296875" bestFit="1" customWidth="1"/>
    <col min="9726" max="9726" width="50.1796875" customWidth="1"/>
    <col min="9727" max="9727" width="11.54296875" bestFit="1" customWidth="1"/>
    <col min="9728" max="9728" width="7.453125" bestFit="1" customWidth="1"/>
    <col min="9729" max="9729" width="11.453125" bestFit="1" customWidth="1"/>
    <col min="9730" max="9730" width="15.1796875" customWidth="1"/>
    <col min="9731" max="9731" width="14.453125" bestFit="1" customWidth="1"/>
    <col min="9732" max="9732" width="15.1796875" customWidth="1"/>
    <col min="9733" max="9733" width="8.453125" bestFit="1" customWidth="1"/>
    <col min="9981" max="9981" width="3.54296875" bestFit="1" customWidth="1"/>
    <col min="9982" max="9982" width="50.1796875" customWidth="1"/>
    <col min="9983" max="9983" width="11.54296875" bestFit="1" customWidth="1"/>
    <col min="9984" max="9984" width="7.453125" bestFit="1" customWidth="1"/>
    <col min="9985" max="9985" width="11.453125" bestFit="1" customWidth="1"/>
    <col min="9986" max="9986" width="15.1796875" customWidth="1"/>
    <col min="9987" max="9987" width="14.453125" bestFit="1" customWidth="1"/>
    <col min="9988" max="9988" width="15.1796875" customWidth="1"/>
    <col min="9989" max="9989" width="8.453125" bestFit="1" customWidth="1"/>
    <col min="10237" max="10237" width="3.54296875" bestFit="1" customWidth="1"/>
    <col min="10238" max="10238" width="50.1796875" customWidth="1"/>
    <col min="10239" max="10239" width="11.54296875" bestFit="1" customWidth="1"/>
    <col min="10240" max="10240" width="7.453125" bestFit="1" customWidth="1"/>
    <col min="10241" max="10241" width="11.453125" bestFit="1" customWidth="1"/>
    <col min="10242" max="10242" width="15.1796875" customWidth="1"/>
    <col min="10243" max="10243" width="14.453125" bestFit="1" customWidth="1"/>
    <col min="10244" max="10244" width="15.1796875" customWidth="1"/>
    <col min="10245" max="10245" width="8.453125" bestFit="1" customWidth="1"/>
    <col min="10493" max="10493" width="3.54296875" bestFit="1" customWidth="1"/>
    <col min="10494" max="10494" width="50.1796875" customWidth="1"/>
    <col min="10495" max="10495" width="11.54296875" bestFit="1" customWidth="1"/>
    <col min="10496" max="10496" width="7.453125" bestFit="1" customWidth="1"/>
    <col min="10497" max="10497" width="11.453125" bestFit="1" customWidth="1"/>
    <col min="10498" max="10498" width="15.1796875" customWidth="1"/>
    <col min="10499" max="10499" width="14.453125" bestFit="1" customWidth="1"/>
    <col min="10500" max="10500" width="15.1796875" customWidth="1"/>
    <col min="10501" max="10501" width="8.453125" bestFit="1" customWidth="1"/>
    <col min="10749" max="10749" width="3.54296875" bestFit="1" customWidth="1"/>
    <col min="10750" max="10750" width="50.1796875" customWidth="1"/>
    <col min="10751" max="10751" width="11.54296875" bestFit="1" customWidth="1"/>
    <col min="10752" max="10752" width="7.453125" bestFit="1" customWidth="1"/>
    <col min="10753" max="10753" width="11.453125" bestFit="1" customWidth="1"/>
    <col min="10754" max="10754" width="15.1796875" customWidth="1"/>
    <col min="10755" max="10755" width="14.453125" bestFit="1" customWidth="1"/>
    <col min="10756" max="10756" width="15.1796875" customWidth="1"/>
    <col min="10757" max="10757" width="8.453125" bestFit="1" customWidth="1"/>
    <col min="11005" max="11005" width="3.54296875" bestFit="1" customWidth="1"/>
    <col min="11006" max="11006" width="50.1796875" customWidth="1"/>
    <col min="11007" max="11007" width="11.54296875" bestFit="1" customWidth="1"/>
    <col min="11008" max="11008" width="7.453125" bestFit="1" customWidth="1"/>
    <col min="11009" max="11009" width="11.453125" bestFit="1" customWidth="1"/>
    <col min="11010" max="11010" width="15.1796875" customWidth="1"/>
    <col min="11011" max="11011" width="14.453125" bestFit="1" customWidth="1"/>
    <col min="11012" max="11012" width="15.1796875" customWidth="1"/>
    <col min="11013" max="11013" width="8.453125" bestFit="1" customWidth="1"/>
    <col min="11261" max="11261" width="3.54296875" bestFit="1" customWidth="1"/>
    <col min="11262" max="11262" width="50.1796875" customWidth="1"/>
    <col min="11263" max="11263" width="11.54296875" bestFit="1" customWidth="1"/>
    <col min="11264" max="11264" width="7.453125" bestFit="1" customWidth="1"/>
    <col min="11265" max="11265" width="11.453125" bestFit="1" customWidth="1"/>
    <col min="11266" max="11266" width="15.1796875" customWidth="1"/>
    <col min="11267" max="11267" width="14.453125" bestFit="1" customWidth="1"/>
    <col min="11268" max="11268" width="15.1796875" customWidth="1"/>
    <col min="11269" max="11269" width="8.453125" bestFit="1" customWidth="1"/>
    <col min="11517" max="11517" width="3.54296875" bestFit="1" customWidth="1"/>
    <col min="11518" max="11518" width="50.1796875" customWidth="1"/>
    <col min="11519" max="11519" width="11.54296875" bestFit="1" customWidth="1"/>
    <col min="11520" max="11520" width="7.453125" bestFit="1" customWidth="1"/>
    <col min="11521" max="11521" width="11.453125" bestFit="1" customWidth="1"/>
    <col min="11522" max="11522" width="15.1796875" customWidth="1"/>
    <col min="11523" max="11523" width="14.453125" bestFit="1" customWidth="1"/>
    <col min="11524" max="11524" width="15.1796875" customWidth="1"/>
    <col min="11525" max="11525" width="8.453125" bestFit="1" customWidth="1"/>
    <col min="11773" max="11773" width="3.54296875" bestFit="1" customWidth="1"/>
    <col min="11774" max="11774" width="50.1796875" customWidth="1"/>
    <col min="11775" max="11775" width="11.54296875" bestFit="1" customWidth="1"/>
    <col min="11776" max="11776" width="7.453125" bestFit="1" customWidth="1"/>
    <col min="11777" max="11777" width="11.453125" bestFit="1" customWidth="1"/>
    <col min="11778" max="11778" width="15.1796875" customWidth="1"/>
    <col min="11779" max="11779" width="14.453125" bestFit="1" customWidth="1"/>
    <col min="11780" max="11780" width="15.1796875" customWidth="1"/>
    <col min="11781" max="11781" width="8.453125" bestFit="1" customWidth="1"/>
    <col min="12029" max="12029" width="3.54296875" bestFit="1" customWidth="1"/>
    <col min="12030" max="12030" width="50.1796875" customWidth="1"/>
    <col min="12031" max="12031" width="11.54296875" bestFit="1" customWidth="1"/>
    <col min="12032" max="12032" width="7.453125" bestFit="1" customWidth="1"/>
    <col min="12033" max="12033" width="11.453125" bestFit="1" customWidth="1"/>
    <col min="12034" max="12034" width="15.1796875" customWidth="1"/>
    <col min="12035" max="12035" width="14.453125" bestFit="1" customWidth="1"/>
    <col min="12036" max="12036" width="15.1796875" customWidth="1"/>
    <col min="12037" max="12037" width="8.453125" bestFit="1" customWidth="1"/>
    <col min="12285" max="12285" width="3.54296875" bestFit="1" customWidth="1"/>
    <col min="12286" max="12286" width="50.1796875" customWidth="1"/>
    <col min="12287" max="12287" width="11.54296875" bestFit="1" customWidth="1"/>
    <col min="12288" max="12288" width="7.453125" bestFit="1" customWidth="1"/>
    <col min="12289" max="12289" width="11.453125" bestFit="1" customWidth="1"/>
    <col min="12290" max="12290" width="15.1796875" customWidth="1"/>
    <col min="12291" max="12291" width="14.453125" bestFit="1" customWidth="1"/>
    <col min="12292" max="12292" width="15.1796875" customWidth="1"/>
    <col min="12293" max="12293" width="8.453125" bestFit="1" customWidth="1"/>
    <col min="12541" max="12541" width="3.54296875" bestFit="1" customWidth="1"/>
    <col min="12542" max="12542" width="50.1796875" customWidth="1"/>
    <col min="12543" max="12543" width="11.54296875" bestFit="1" customWidth="1"/>
    <col min="12544" max="12544" width="7.453125" bestFit="1" customWidth="1"/>
    <col min="12545" max="12545" width="11.453125" bestFit="1" customWidth="1"/>
    <col min="12546" max="12546" width="15.1796875" customWidth="1"/>
    <col min="12547" max="12547" width="14.453125" bestFit="1" customWidth="1"/>
    <col min="12548" max="12548" width="15.1796875" customWidth="1"/>
    <col min="12549" max="12549" width="8.453125" bestFit="1" customWidth="1"/>
    <col min="12797" max="12797" width="3.54296875" bestFit="1" customWidth="1"/>
    <col min="12798" max="12798" width="50.1796875" customWidth="1"/>
    <col min="12799" max="12799" width="11.54296875" bestFit="1" customWidth="1"/>
    <col min="12800" max="12800" width="7.453125" bestFit="1" customWidth="1"/>
    <col min="12801" max="12801" width="11.453125" bestFit="1" customWidth="1"/>
    <col min="12802" max="12802" width="15.1796875" customWidth="1"/>
    <col min="12803" max="12803" width="14.453125" bestFit="1" customWidth="1"/>
    <col min="12804" max="12804" width="15.1796875" customWidth="1"/>
    <col min="12805" max="12805" width="8.453125" bestFit="1" customWidth="1"/>
    <col min="13053" max="13053" width="3.54296875" bestFit="1" customWidth="1"/>
    <col min="13054" max="13054" width="50.1796875" customWidth="1"/>
    <col min="13055" max="13055" width="11.54296875" bestFit="1" customWidth="1"/>
    <col min="13056" max="13056" width="7.453125" bestFit="1" customWidth="1"/>
    <col min="13057" max="13057" width="11.453125" bestFit="1" customWidth="1"/>
    <col min="13058" max="13058" width="15.1796875" customWidth="1"/>
    <col min="13059" max="13059" width="14.453125" bestFit="1" customWidth="1"/>
    <col min="13060" max="13060" width="15.1796875" customWidth="1"/>
    <col min="13061" max="13061" width="8.453125" bestFit="1" customWidth="1"/>
    <col min="13309" max="13309" width="3.54296875" bestFit="1" customWidth="1"/>
    <col min="13310" max="13310" width="50.1796875" customWidth="1"/>
    <col min="13311" max="13311" width="11.54296875" bestFit="1" customWidth="1"/>
    <col min="13312" max="13312" width="7.453125" bestFit="1" customWidth="1"/>
    <col min="13313" max="13313" width="11.453125" bestFit="1" customWidth="1"/>
    <col min="13314" max="13314" width="15.1796875" customWidth="1"/>
    <col min="13315" max="13315" width="14.453125" bestFit="1" customWidth="1"/>
    <col min="13316" max="13316" width="15.1796875" customWidth="1"/>
    <col min="13317" max="13317" width="8.453125" bestFit="1" customWidth="1"/>
    <col min="13565" max="13565" width="3.54296875" bestFit="1" customWidth="1"/>
    <col min="13566" max="13566" width="50.1796875" customWidth="1"/>
    <col min="13567" max="13567" width="11.54296875" bestFit="1" customWidth="1"/>
    <col min="13568" max="13568" width="7.453125" bestFit="1" customWidth="1"/>
    <col min="13569" max="13569" width="11.453125" bestFit="1" customWidth="1"/>
    <col min="13570" max="13570" width="15.1796875" customWidth="1"/>
    <col min="13571" max="13571" width="14.453125" bestFit="1" customWidth="1"/>
    <col min="13572" max="13572" width="15.1796875" customWidth="1"/>
    <col min="13573" max="13573" width="8.453125" bestFit="1" customWidth="1"/>
    <col min="13821" max="13821" width="3.54296875" bestFit="1" customWidth="1"/>
    <col min="13822" max="13822" width="50.1796875" customWidth="1"/>
    <col min="13823" max="13823" width="11.54296875" bestFit="1" customWidth="1"/>
    <col min="13824" max="13824" width="7.453125" bestFit="1" customWidth="1"/>
    <col min="13825" max="13825" width="11.453125" bestFit="1" customWidth="1"/>
    <col min="13826" max="13826" width="15.1796875" customWidth="1"/>
    <col min="13827" max="13827" width="14.453125" bestFit="1" customWidth="1"/>
    <col min="13828" max="13828" width="15.1796875" customWidth="1"/>
    <col min="13829" max="13829" width="8.453125" bestFit="1" customWidth="1"/>
    <col min="14077" max="14077" width="3.54296875" bestFit="1" customWidth="1"/>
    <col min="14078" max="14078" width="50.1796875" customWidth="1"/>
    <col min="14079" max="14079" width="11.54296875" bestFit="1" customWidth="1"/>
    <col min="14080" max="14080" width="7.453125" bestFit="1" customWidth="1"/>
    <col min="14081" max="14081" width="11.453125" bestFit="1" customWidth="1"/>
    <col min="14082" max="14082" width="15.1796875" customWidth="1"/>
    <col min="14083" max="14083" width="14.453125" bestFit="1" customWidth="1"/>
    <col min="14084" max="14084" width="15.1796875" customWidth="1"/>
    <col min="14085" max="14085" width="8.453125" bestFit="1" customWidth="1"/>
    <col min="14333" max="14333" width="3.54296875" bestFit="1" customWidth="1"/>
    <col min="14334" max="14334" width="50.1796875" customWidth="1"/>
    <col min="14335" max="14335" width="11.54296875" bestFit="1" customWidth="1"/>
    <col min="14336" max="14336" width="7.453125" bestFit="1" customWidth="1"/>
    <col min="14337" max="14337" width="11.453125" bestFit="1" customWidth="1"/>
    <col min="14338" max="14338" width="15.1796875" customWidth="1"/>
    <col min="14339" max="14339" width="14.453125" bestFit="1" customWidth="1"/>
    <col min="14340" max="14340" width="15.1796875" customWidth="1"/>
    <col min="14341" max="14341" width="8.453125" bestFit="1" customWidth="1"/>
    <col min="14589" max="14589" width="3.54296875" bestFit="1" customWidth="1"/>
    <col min="14590" max="14590" width="50.1796875" customWidth="1"/>
    <col min="14591" max="14591" width="11.54296875" bestFit="1" customWidth="1"/>
    <col min="14592" max="14592" width="7.453125" bestFit="1" customWidth="1"/>
    <col min="14593" max="14593" width="11.453125" bestFit="1" customWidth="1"/>
    <col min="14594" max="14594" width="15.1796875" customWidth="1"/>
    <col min="14595" max="14595" width="14.453125" bestFit="1" customWidth="1"/>
    <col min="14596" max="14596" width="15.1796875" customWidth="1"/>
    <col min="14597" max="14597" width="8.453125" bestFit="1" customWidth="1"/>
    <col min="14845" max="14845" width="3.54296875" bestFit="1" customWidth="1"/>
    <col min="14846" max="14846" width="50.1796875" customWidth="1"/>
    <col min="14847" max="14847" width="11.54296875" bestFit="1" customWidth="1"/>
    <col min="14848" max="14848" width="7.453125" bestFit="1" customWidth="1"/>
    <col min="14849" max="14849" width="11.453125" bestFit="1" customWidth="1"/>
    <col min="14850" max="14850" width="15.1796875" customWidth="1"/>
    <col min="14851" max="14851" width="14.453125" bestFit="1" customWidth="1"/>
    <col min="14852" max="14852" width="15.1796875" customWidth="1"/>
    <col min="14853" max="14853" width="8.453125" bestFit="1" customWidth="1"/>
    <col min="15101" max="15101" width="3.54296875" bestFit="1" customWidth="1"/>
    <col min="15102" max="15102" width="50.1796875" customWidth="1"/>
    <col min="15103" max="15103" width="11.54296875" bestFit="1" customWidth="1"/>
    <col min="15104" max="15104" width="7.453125" bestFit="1" customWidth="1"/>
    <col min="15105" max="15105" width="11.453125" bestFit="1" customWidth="1"/>
    <col min="15106" max="15106" width="15.1796875" customWidth="1"/>
    <col min="15107" max="15107" width="14.453125" bestFit="1" customWidth="1"/>
    <col min="15108" max="15108" width="15.1796875" customWidth="1"/>
    <col min="15109" max="15109" width="8.453125" bestFit="1" customWidth="1"/>
    <col min="15357" max="15357" width="3.54296875" bestFit="1" customWidth="1"/>
    <col min="15358" max="15358" width="50.1796875" customWidth="1"/>
    <col min="15359" max="15359" width="11.54296875" bestFit="1" customWidth="1"/>
    <col min="15360" max="15360" width="7.453125" bestFit="1" customWidth="1"/>
    <col min="15361" max="15361" width="11.453125" bestFit="1" customWidth="1"/>
    <col min="15362" max="15362" width="15.1796875" customWidth="1"/>
    <col min="15363" max="15363" width="14.453125" bestFit="1" customWidth="1"/>
    <col min="15364" max="15364" width="15.1796875" customWidth="1"/>
    <col min="15365" max="15365" width="8.453125" bestFit="1" customWidth="1"/>
    <col min="15613" max="15613" width="3.54296875" bestFit="1" customWidth="1"/>
    <col min="15614" max="15614" width="50.1796875" customWidth="1"/>
    <col min="15615" max="15615" width="11.54296875" bestFit="1" customWidth="1"/>
    <col min="15616" max="15616" width="7.453125" bestFit="1" customWidth="1"/>
    <col min="15617" max="15617" width="11.453125" bestFit="1" customWidth="1"/>
    <col min="15618" max="15618" width="15.1796875" customWidth="1"/>
    <col min="15619" max="15619" width="14.453125" bestFit="1" customWidth="1"/>
    <col min="15620" max="15620" width="15.1796875" customWidth="1"/>
    <col min="15621" max="15621" width="8.453125" bestFit="1" customWidth="1"/>
    <col min="15869" max="15869" width="3.54296875" bestFit="1" customWidth="1"/>
    <col min="15870" max="15870" width="50.1796875" customWidth="1"/>
    <col min="15871" max="15871" width="11.54296875" bestFit="1" customWidth="1"/>
    <col min="15872" max="15872" width="7.453125" bestFit="1" customWidth="1"/>
    <col min="15873" max="15873" width="11.453125" bestFit="1" customWidth="1"/>
    <col min="15874" max="15874" width="15.1796875" customWidth="1"/>
    <col min="15875" max="15875" width="14.453125" bestFit="1" customWidth="1"/>
    <col min="15876" max="15876" width="15.1796875" customWidth="1"/>
    <col min="15877" max="15877" width="8.453125" bestFit="1" customWidth="1"/>
    <col min="16125" max="16125" width="3.54296875" bestFit="1" customWidth="1"/>
    <col min="16126" max="16126" width="50.1796875" customWidth="1"/>
    <col min="16127" max="16127" width="11.54296875" bestFit="1" customWidth="1"/>
    <col min="16128" max="16128" width="7.453125" bestFit="1" customWidth="1"/>
    <col min="16129" max="16129" width="11.453125" bestFit="1" customWidth="1"/>
    <col min="16130" max="16130" width="15.1796875" customWidth="1"/>
    <col min="16131" max="16131" width="14.453125" bestFit="1" customWidth="1"/>
    <col min="16132" max="16132" width="15.1796875" customWidth="1"/>
    <col min="16133" max="16133" width="8.453125" style="65" bestFit="1" customWidth="1"/>
    <col min="16134" max="16384" width="9.08984375" style="65"/>
  </cols>
  <sheetData>
    <row r="1" spans="2:39" ht="7.5" customHeight="1" thickBot="1" x14ac:dyDescent="0.4">
      <c r="F1" s="66"/>
      <c r="G1" s="66"/>
      <c r="I1" s="66"/>
      <c r="J1" s="66"/>
      <c r="K1" s="66"/>
      <c r="L1" s="66"/>
      <c r="M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2:39" ht="15" customHeight="1" thickBot="1" x14ac:dyDescent="0.4">
      <c r="B2" s="68"/>
      <c r="C2" s="69"/>
      <c r="D2" s="69"/>
      <c r="E2" s="69"/>
      <c r="F2" s="69"/>
      <c r="G2" s="69"/>
      <c r="H2" s="70"/>
      <c r="I2" s="69"/>
      <c r="J2" s="69"/>
      <c r="K2" s="69"/>
      <c r="L2" s="69"/>
      <c r="M2" s="69"/>
      <c r="N2" s="71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582" t="s">
        <v>352</v>
      </c>
      <c r="AE2" s="583"/>
      <c r="AF2" s="583"/>
      <c r="AG2" s="583"/>
      <c r="AH2" s="584"/>
      <c r="AI2" s="69"/>
      <c r="AJ2" s="69"/>
      <c r="AK2" s="69"/>
      <c r="AL2" s="69"/>
    </row>
    <row r="3" spans="2:39" s="72" customFormat="1" ht="18.5" x14ac:dyDescent="0.45">
      <c r="B3" s="580" t="s">
        <v>354</v>
      </c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  <c r="U3" s="581"/>
      <c r="V3" s="581"/>
      <c r="W3" s="581"/>
      <c r="X3" s="581"/>
      <c r="Y3" s="581"/>
      <c r="Z3" s="581"/>
      <c r="AA3" s="581"/>
      <c r="AB3" s="581"/>
      <c r="AC3" s="581"/>
      <c r="AD3" s="581"/>
      <c r="AE3" s="581"/>
      <c r="AF3" s="581"/>
      <c r="AG3" s="581"/>
      <c r="AH3" s="581"/>
      <c r="AI3" s="581"/>
      <c r="AJ3" s="581"/>
      <c r="AK3" s="581"/>
      <c r="AL3" s="581"/>
    </row>
    <row r="4" spans="2:39" x14ac:dyDescent="0.35">
      <c r="B4" s="591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3"/>
      <c r="O4" s="73"/>
      <c r="P4" s="73"/>
      <c r="Q4" s="74"/>
    </row>
    <row r="5" spans="2:39" ht="15" thickBot="1" x14ac:dyDescent="0.4">
      <c r="B5" s="75"/>
      <c r="C5" s="76"/>
      <c r="D5" s="76"/>
      <c r="E5" s="76"/>
      <c r="F5" s="77"/>
      <c r="G5" s="77"/>
      <c r="H5" s="78"/>
      <c r="I5" s="77"/>
      <c r="J5" s="77"/>
      <c r="K5" s="77"/>
      <c r="L5" s="77"/>
      <c r="M5" s="77"/>
      <c r="N5" s="79"/>
      <c r="O5" s="73"/>
      <c r="P5" s="73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</row>
    <row r="6" spans="2:39" ht="18" customHeight="1" thickBot="1" x14ac:dyDescent="0.4">
      <c r="B6" s="594" t="s">
        <v>174</v>
      </c>
      <c r="C6" s="596" t="s">
        <v>175</v>
      </c>
      <c r="D6" s="598" t="s">
        <v>176</v>
      </c>
      <c r="E6" s="608" t="s">
        <v>177</v>
      </c>
      <c r="F6" s="610" t="s">
        <v>178</v>
      </c>
      <c r="G6" s="610"/>
      <c r="H6" s="610"/>
      <c r="I6" s="608" t="s">
        <v>179</v>
      </c>
      <c r="J6" s="610" t="s">
        <v>180</v>
      </c>
      <c r="K6" s="610"/>
      <c r="L6" s="610"/>
      <c r="M6" s="610" t="s">
        <v>181</v>
      </c>
      <c r="N6" s="601" t="s">
        <v>344</v>
      </c>
      <c r="O6" s="73"/>
      <c r="P6" s="73"/>
      <c r="Q6" s="602" t="s">
        <v>178</v>
      </c>
      <c r="R6" s="603"/>
      <c r="S6" s="604" t="s">
        <v>182</v>
      </c>
      <c r="T6" s="606" t="s">
        <v>183</v>
      </c>
      <c r="U6" s="604" t="s">
        <v>184</v>
      </c>
      <c r="V6" s="588" t="s">
        <v>185</v>
      </c>
      <c r="W6" s="585" t="s">
        <v>186</v>
      </c>
      <c r="X6" s="586"/>
      <c r="Y6" s="587"/>
      <c r="Z6" s="588" t="s">
        <v>345</v>
      </c>
      <c r="AA6" s="585" t="s">
        <v>187</v>
      </c>
      <c r="AB6" s="586"/>
      <c r="AC6" s="587"/>
      <c r="AD6" s="588" t="s">
        <v>346</v>
      </c>
      <c r="AE6" s="585" t="s">
        <v>188</v>
      </c>
      <c r="AF6" s="586"/>
      <c r="AG6" s="587"/>
      <c r="AH6" s="588" t="s">
        <v>347</v>
      </c>
      <c r="AI6" s="585" t="s">
        <v>189</v>
      </c>
      <c r="AJ6" s="586"/>
      <c r="AK6" s="587"/>
      <c r="AL6" s="588" t="s">
        <v>346</v>
      </c>
    </row>
    <row r="7" spans="2:39" ht="25.9" customHeight="1" thickBot="1" x14ac:dyDescent="0.4">
      <c r="B7" s="595"/>
      <c r="C7" s="597"/>
      <c r="D7" s="599"/>
      <c r="E7" s="609"/>
      <c r="F7" s="80" t="s">
        <v>190</v>
      </c>
      <c r="G7" s="80" t="s">
        <v>191</v>
      </c>
      <c r="H7" s="81" t="s">
        <v>192</v>
      </c>
      <c r="I7" s="609"/>
      <c r="J7" s="80" t="s">
        <v>193</v>
      </c>
      <c r="K7" s="80" t="s">
        <v>194</v>
      </c>
      <c r="L7" s="80" t="s">
        <v>195</v>
      </c>
      <c r="M7" s="610"/>
      <c r="N7" s="601"/>
      <c r="O7" s="73"/>
      <c r="P7" s="73"/>
      <c r="Q7" s="82" t="s">
        <v>193</v>
      </c>
      <c r="R7" s="82" t="s">
        <v>194</v>
      </c>
      <c r="S7" s="605"/>
      <c r="T7" s="607"/>
      <c r="U7" s="605"/>
      <c r="V7" s="589"/>
      <c r="W7" s="83" t="s">
        <v>196</v>
      </c>
      <c r="X7" s="83" t="s">
        <v>197</v>
      </c>
      <c r="Y7" s="83" t="s">
        <v>198</v>
      </c>
      <c r="Z7" s="589"/>
      <c r="AA7" s="83" t="s">
        <v>199</v>
      </c>
      <c r="AB7" s="83" t="s">
        <v>200</v>
      </c>
      <c r="AC7" s="83" t="s">
        <v>201</v>
      </c>
      <c r="AD7" s="589"/>
      <c r="AE7" s="83" t="s">
        <v>202</v>
      </c>
      <c r="AF7" s="83" t="s">
        <v>203</v>
      </c>
      <c r="AG7" s="83" t="s">
        <v>192</v>
      </c>
      <c r="AH7" s="589"/>
      <c r="AI7" s="83" t="s">
        <v>193</v>
      </c>
      <c r="AJ7" s="83" t="s">
        <v>194</v>
      </c>
      <c r="AK7" s="83" t="s">
        <v>204</v>
      </c>
      <c r="AL7" s="589"/>
    </row>
    <row r="8" spans="2:39" ht="11.25" hidden="1" customHeight="1" x14ac:dyDescent="0.35">
      <c r="B8" s="84">
        <v>1</v>
      </c>
      <c r="C8" s="85">
        <v>2</v>
      </c>
      <c r="D8" s="86">
        <v>3</v>
      </c>
      <c r="E8" s="86">
        <v>10</v>
      </c>
      <c r="F8" s="87"/>
      <c r="G8" s="87"/>
      <c r="H8" s="88"/>
      <c r="I8" s="87"/>
      <c r="J8" s="87"/>
      <c r="K8" s="87"/>
      <c r="L8" s="87"/>
      <c r="M8" s="87"/>
      <c r="N8" s="89"/>
      <c r="O8" s="73"/>
      <c r="P8" s="73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</row>
    <row r="9" spans="2:39" x14ac:dyDescent="0.35">
      <c r="B9" s="90" t="s">
        <v>205</v>
      </c>
      <c r="C9" s="91" t="s">
        <v>206</v>
      </c>
      <c r="D9" s="92"/>
      <c r="E9" s="92"/>
      <c r="F9" s="92"/>
      <c r="G9" s="92"/>
      <c r="H9" s="93"/>
      <c r="I9" s="92"/>
      <c r="J9" s="92"/>
      <c r="K9" s="92"/>
      <c r="L9" s="92"/>
      <c r="M9" s="92"/>
      <c r="N9" s="94"/>
      <c r="O9" s="73"/>
      <c r="P9" s="73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</row>
    <row r="10" spans="2:39" x14ac:dyDescent="0.35">
      <c r="B10" s="90" t="s">
        <v>207</v>
      </c>
      <c r="C10" s="95" t="s">
        <v>208</v>
      </c>
      <c r="D10" s="92"/>
      <c r="E10" s="92"/>
      <c r="F10" s="92"/>
      <c r="G10" s="92"/>
      <c r="H10" s="93"/>
      <c r="I10" s="92"/>
      <c r="J10" s="92"/>
      <c r="K10" s="92"/>
      <c r="L10" s="92"/>
      <c r="M10" s="92"/>
      <c r="N10" s="94"/>
      <c r="O10" s="73"/>
      <c r="P10" s="73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</row>
    <row r="11" spans="2:39" x14ac:dyDescent="0.35">
      <c r="B11" s="90" t="s">
        <v>209</v>
      </c>
      <c r="C11" s="95" t="s">
        <v>210</v>
      </c>
      <c r="D11" s="96">
        <f>'[1]AK Opr Juni GP Des (1)'!D11</f>
        <v>337309</v>
      </c>
      <c r="E11" s="96">
        <f>'[1]AK Opr Juni GP Des (1)'!E11</f>
        <v>0</v>
      </c>
      <c r="F11" s="96">
        <v>0</v>
      </c>
      <c r="G11" s="96">
        <v>0</v>
      </c>
      <c r="H11" s="97">
        <v>0</v>
      </c>
      <c r="I11" s="96">
        <f>H11+G11+F11+E11</f>
        <v>0</v>
      </c>
      <c r="J11" s="96">
        <f>20141*0</f>
        <v>0</v>
      </c>
      <c r="K11" s="96">
        <f>'[2]PROGNOSA LR 2020'!U12</f>
        <v>10481</v>
      </c>
      <c r="L11" s="96">
        <f>'[2]PROGNOSA LR 2020'!V12</f>
        <v>20961</v>
      </c>
      <c r="M11" s="96">
        <f>J11+K11+L11</f>
        <v>31442</v>
      </c>
      <c r="N11" s="98">
        <f>M11+E11</f>
        <v>31442</v>
      </c>
      <c r="O11" s="73"/>
      <c r="P11" s="73"/>
      <c r="Q11" s="96">
        <v>0</v>
      </c>
      <c r="R11" s="96">
        <f>Q11</f>
        <v>0</v>
      </c>
      <c r="S11" s="96">
        <f>R11+Q11+I11</f>
        <v>0</v>
      </c>
      <c r="T11" s="96">
        <v>4500</v>
      </c>
      <c r="U11" s="96">
        <f>S11+T11</f>
        <v>4500</v>
      </c>
      <c r="V11" s="96">
        <f>AL11+AH11+AD11+Z11</f>
        <v>322082.00618363742</v>
      </c>
      <c r="W11" s="96">
        <v>16104.100309181871</v>
      </c>
      <c r="X11" s="96">
        <v>16104.100309181871</v>
      </c>
      <c r="Y11" s="96">
        <v>16104.100309181871</v>
      </c>
      <c r="Z11" s="96">
        <f>Y11+X11+W11</f>
        <v>48312.300927545613</v>
      </c>
      <c r="AA11" s="96">
        <v>26840.167181969784</v>
      </c>
      <c r="AB11" s="96">
        <v>26840.167181969784</v>
      </c>
      <c r="AC11" s="96">
        <v>26840.167181969784</v>
      </c>
      <c r="AD11" s="96">
        <f>AC11+AB11+AA11</f>
        <v>80520.501545909356</v>
      </c>
      <c r="AE11" s="96">
        <v>32208.200618363739</v>
      </c>
      <c r="AF11" s="96">
        <v>32208.200618363739</v>
      </c>
      <c r="AG11" s="96">
        <v>32208.200618363739</v>
      </c>
      <c r="AH11" s="96">
        <f>AG11+AF11+AE11</f>
        <v>96624.601855091212</v>
      </c>
      <c r="AI11" s="96">
        <v>32208.200618363739</v>
      </c>
      <c r="AJ11" s="96">
        <v>32208.200618363739</v>
      </c>
      <c r="AK11" s="96">
        <v>32208.200618363739</v>
      </c>
      <c r="AL11" s="96">
        <f>AK11+AJ11+AI11</f>
        <v>96624.601855091212</v>
      </c>
      <c r="AM11" s="99"/>
    </row>
    <row r="12" spans="2:39" hidden="1" x14ac:dyDescent="0.35">
      <c r="B12" s="90" t="s">
        <v>211</v>
      </c>
      <c r="C12" s="95" t="s">
        <v>212</v>
      </c>
      <c r="D12" s="96">
        <f>'[1]AK Opr Juni GP Des (1)'!D12</f>
        <v>0</v>
      </c>
      <c r="E12" s="96">
        <f>'[1]AK Opr Juni GP Des (1)'!E12</f>
        <v>0</v>
      </c>
      <c r="F12" s="96"/>
      <c r="G12" s="96"/>
      <c r="H12" s="97"/>
      <c r="I12" s="96"/>
      <c r="J12" s="96">
        <f>'[1]AK Opr Juni GP Des (1)'!K12</f>
        <v>0</v>
      </c>
      <c r="K12" s="96">
        <f>'[1]AK Opr Juni GP Des (1)'!L12</f>
        <v>0</v>
      </c>
      <c r="L12" s="96">
        <f>'[1]AK Opr Juni GP Des (1)'!M12</f>
        <v>0</v>
      </c>
      <c r="M12" s="96"/>
      <c r="N12" s="98">
        <f>'[1]AK Opr Juni GP Des (1)'!N12</f>
        <v>0</v>
      </c>
      <c r="O12" s="73"/>
      <c r="P12" s="73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</row>
    <row r="13" spans="2:39" hidden="1" x14ac:dyDescent="0.35">
      <c r="B13" s="90" t="s">
        <v>213</v>
      </c>
      <c r="C13" s="95" t="s">
        <v>214</v>
      </c>
      <c r="D13" s="96">
        <f>'[1]AK Opr Juni GP Des (1)'!D13</f>
        <v>0</v>
      </c>
      <c r="E13" s="96">
        <f>'[1]AK Opr Juni GP Des (1)'!E13</f>
        <v>0</v>
      </c>
      <c r="F13" s="96"/>
      <c r="G13" s="96"/>
      <c r="H13" s="97"/>
      <c r="I13" s="96"/>
      <c r="J13" s="96">
        <f>'[1]AK Opr Juni GP Des (1)'!K13</f>
        <v>0</v>
      </c>
      <c r="K13" s="96">
        <f>'[1]AK Opr Juni GP Des (1)'!L13</f>
        <v>0</v>
      </c>
      <c r="L13" s="96">
        <f>'[1]AK Opr Juni GP Des (1)'!M13</f>
        <v>0</v>
      </c>
      <c r="M13" s="96"/>
      <c r="N13" s="98">
        <f>'[1]AK Opr Juni GP Des (1)'!N13</f>
        <v>0</v>
      </c>
      <c r="O13" s="73"/>
      <c r="P13" s="73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</row>
    <row r="14" spans="2:39" x14ac:dyDescent="0.35">
      <c r="B14" s="90"/>
      <c r="C14" s="100" t="s">
        <v>215</v>
      </c>
      <c r="D14" s="101">
        <f>'[1]AK Opr Juni GP Des (1)'!D14</f>
        <v>337309</v>
      </c>
      <c r="E14" s="101">
        <f t="shared" ref="E14:L14" si="0">SUM(E11:E13)</f>
        <v>0</v>
      </c>
      <c r="F14" s="101"/>
      <c r="G14" s="101"/>
      <c r="H14" s="102"/>
      <c r="I14" s="101"/>
      <c r="J14" s="101">
        <f t="shared" si="0"/>
        <v>0</v>
      </c>
      <c r="K14" s="101">
        <f t="shared" si="0"/>
        <v>10481</v>
      </c>
      <c r="L14" s="101">
        <f t="shared" si="0"/>
        <v>20961</v>
      </c>
      <c r="M14" s="101">
        <f>SUM(F14:L14)</f>
        <v>31442</v>
      </c>
      <c r="N14" s="103">
        <f>M14+E14</f>
        <v>31442</v>
      </c>
      <c r="O14" s="73"/>
      <c r="P14" s="73"/>
      <c r="Q14" s="104"/>
      <c r="R14" s="104"/>
      <c r="S14" s="104"/>
      <c r="T14" s="104">
        <f>T11</f>
        <v>4500</v>
      </c>
      <c r="U14" s="104">
        <f>U11</f>
        <v>4500</v>
      </c>
      <c r="V14" s="101">
        <f t="shared" ref="V14:AL14" si="1">SUM(V11:V13)</f>
        <v>322082.00618363742</v>
      </c>
      <c r="W14" s="101">
        <f t="shared" si="1"/>
        <v>16104.100309181871</v>
      </c>
      <c r="X14" s="101">
        <f t="shared" si="1"/>
        <v>16104.100309181871</v>
      </c>
      <c r="Y14" s="101">
        <f t="shared" si="1"/>
        <v>16104.100309181871</v>
      </c>
      <c r="Z14" s="101">
        <f t="shared" si="1"/>
        <v>48312.300927545613</v>
      </c>
      <c r="AA14" s="101">
        <f t="shared" si="1"/>
        <v>26840.167181969784</v>
      </c>
      <c r="AB14" s="101">
        <f t="shared" si="1"/>
        <v>26840.167181969784</v>
      </c>
      <c r="AC14" s="101">
        <f t="shared" si="1"/>
        <v>26840.167181969784</v>
      </c>
      <c r="AD14" s="101">
        <f t="shared" si="1"/>
        <v>80520.501545909356</v>
      </c>
      <c r="AE14" s="101">
        <f t="shared" si="1"/>
        <v>32208.200618363739</v>
      </c>
      <c r="AF14" s="101">
        <f t="shared" si="1"/>
        <v>32208.200618363739</v>
      </c>
      <c r="AG14" s="101">
        <f t="shared" si="1"/>
        <v>32208.200618363739</v>
      </c>
      <c r="AH14" s="101">
        <f t="shared" si="1"/>
        <v>96624.601855091212</v>
      </c>
      <c r="AI14" s="101">
        <f t="shared" si="1"/>
        <v>32208.200618363739</v>
      </c>
      <c r="AJ14" s="101">
        <f t="shared" si="1"/>
        <v>32208.200618363739</v>
      </c>
      <c r="AK14" s="101">
        <f t="shared" si="1"/>
        <v>32208.200618363739</v>
      </c>
      <c r="AL14" s="101">
        <f t="shared" si="1"/>
        <v>96624.601855091212</v>
      </c>
      <c r="AM14" s="99"/>
    </row>
    <row r="15" spans="2:39" x14ac:dyDescent="0.35">
      <c r="B15" s="90" t="s">
        <v>216</v>
      </c>
      <c r="C15" s="95" t="s">
        <v>217</v>
      </c>
      <c r="D15" s="105"/>
      <c r="E15" s="105"/>
      <c r="F15" s="105"/>
      <c r="G15" s="105"/>
      <c r="H15" s="106"/>
      <c r="I15" s="105"/>
      <c r="J15" s="105"/>
      <c r="K15" s="105"/>
      <c r="L15" s="105"/>
      <c r="M15" s="105"/>
      <c r="N15" s="107"/>
      <c r="O15" s="73"/>
      <c r="P15" s="73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</row>
    <row r="16" spans="2:39" x14ac:dyDescent="0.35">
      <c r="B16" s="90" t="s">
        <v>209</v>
      </c>
      <c r="C16" s="95" t="s">
        <v>218</v>
      </c>
      <c r="D16" s="96">
        <f>'[1]AK Opr Juni GP Des (1)'!D16</f>
        <v>0</v>
      </c>
      <c r="E16" s="96">
        <v>8907</v>
      </c>
      <c r="F16" s="96">
        <v>2650.1182079999999</v>
      </c>
      <c r="G16" s="96">
        <v>1157.2184810000001</v>
      </c>
      <c r="H16" s="97">
        <v>1284.98047</v>
      </c>
      <c r="I16" s="96">
        <f t="shared" ref="I16:I18" si="2">H16+G16+F16+E16</f>
        <v>13999.317159</v>
      </c>
      <c r="J16" s="96">
        <v>1250</v>
      </c>
      <c r="K16" s="96">
        <v>1500</v>
      </c>
      <c r="L16" s="96">
        <v>1800</v>
      </c>
      <c r="M16" s="96">
        <f t="shared" ref="M16:M18" si="3">J16+K16+L16</f>
        <v>4550</v>
      </c>
      <c r="N16" s="98">
        <f t="shared" ref="N16:N34" si="4">M16+E16</f>
        <v>13457</v>
      </c>
      <c r="O16" s="73"/>
      <c r="P16" s="73"/>
      <c r="Q16" s="96">
        <v>1271.3</v>
      </c>
      <c r="R16" s="96">
        <v>1369.6</v>
      </c>
      <c r="S16" s="96">
        <f t="shared" ref="S16:S21" si="5">R16+Q16+I16</f>
        <v>16640.217159</v>
      </c>
      <c r="T16" s="96">
        <v>3000</v>
      </c>
      <c r="U16" s="96">
        <f t="shared" ref="U16:U21" si="6">S16+T16</f>
        <v>19640.217159</v>
      </c>
      <c r="V16" s="96">
        <f>AL16+AH16+AD16+Z16</f>
        <v>78080.37469127326</v>
      </c>
      <c r="W16" s="96">
        <v>5824.3281443903306</v>
      </c>
      <c r="X16" s="96">
        <v>5824.3281443903306</v>
      </c>
      <c r="Y16" s="96">
        <v>5824.3281443903306</v>
      </c>
      <c r="Z16" s="96">
        <f t="shared" ref="Z16:Z18" si="7">Y16+X16+W16</f>
        <v>17472.98443317099</v>
      </c>
      <c r="AA16" s="96">
        <v>6534.0177242727705</v>
      </c>
      <c r="AB16" s="96">
        <v>6534.0177242727705</v>
      </c>
      <c r="AC16" s="96">
        <v>7484.0177242727705</v>
      </c>
      <c r="AD16" s="96">
        <f t="shared" ref="AD16:AD18" si="8">AC16+AB16+AA16</f>
        <v>20552.053172818312</v>
      </c>
      <c r="AE16" s="96">
        <v>6561.4934757139936</v>
      </c>
      <c r="AF16" s="96">
        <v>6561.4934757139936</v>
      </c>
      <c r="AG16" s="96">
        <v>6561.4934757139936</v>
      </c>
      <c r="AH16" s="96">
        <f t="shared" ref="AH16:AH18" si="9">AG16+AF16+AE16</f>
        <v>19684.480427141982</v>
      </c>
      <c r="AI16" s="96">
        <v>6752.9522193806588</v>
      </c>
      <c r="AJ16" s="96">
        <v>6752.9522193806588</v>
      </c>
      <c r="AK16" s="96">
        <v>6864.9522193806588</v>
      </c>
      <c r="AL16" s="96">
        <f t="shared" ref="AL16:AL18" si="10">AK16+AJ16+AI16</f>
        <v>20370.856658141976</v>
      </c>
      <c r="AM16" s="99"/>
    </row>
    <row r="17" spans="2:39" hidden="1" x14ac:dyDescent="0.35">
      <c r="B17" s="90" t="s">
        <v>211</v>
      </c>
      <c r="C17" s="95" t="s">
        <v>219</v>
      </c>
      <c r="D17" s="96">
        <f>'[1]AK Opr Juni GP Des (1)'!D17</f>
        <v>0</v>
      </c>
      <c r="E17" s="96">
        <f>'[1]AK Opr Juni GP Des (1)'!E17</f>
        <v>0</v>
      </c>
      <c r="F17" s="96"/>
      <c r="G17" s="96"/>
      <c r="H17" s="97"/>
      <c r="I17" s="96">
        <f t="shared" si="2"/>
        <v>0</v>
      </c>
      <c r="J17" s="96">
        <f>'[1]AK Opr Juni GP Des (1)'!K17</f>
        <v>0</v>
      </c>
      <c r="K17" s="96">
        <f>'[1]AK Opr Juni GP Des (1)'!L17</f>
        <v>0</v>
      </c>
      <c r="L17" s="96">
        <f>'[1]AK Opr Juni GP Des (1)'!M17</f>
        <v>0</v>
      </c>
      <c r="M17" s="96">
        <f t="shared" si="3"/>
        <v>0</v>
      </c>
      <c r="N17" s="98">
        <f t="shared" si="4"/>
        <v>0</v>
      </c>
      <c r="O17" s="73"/>
      <c r="P17" s="73"/>
      <c r="Q17" s="96">
        <f t="shared" ref="Q17" si="11">O17+N17+M17+L17</f>
        <v>0</v>
      </c>
      <c r="R17" s="96">
        <f t="shared" ref="R17" si="12">Q17</f>
        <v>0</v>
      </c>
      <c r="S17" s="96">
        <f t="shared" si="5"/>
        <v>0</v>
      </c>
      <c r="T17" s="96">
        <f>R17</f>
        <v>0</v>
      </c>
      <c r="U17" s="96">
        <f t="shared" si="6"/>
        <v>0</v>
      </c>
      <c r="V17" s="96">
        <f>AL17+AH17+AD17+Z17</f>
        <v>0</v>
      </c>
      <c r="W17" s="96">
        <v>0</v>
      </c>
      <c r="X17" s="96">
        <v>0</v>
      </c>
      <c r="Y17" s="96">
        <v>0</v>
      </c>
      <c r="Z17" s="96">
        <f t="shared" si="7"/>
        <v>0</v>
      </c>
      <c r="AA17" s="96">
        <v>0</v>
      </c>
      <c r="AB17" s="96">
        <v>0</v>
      </c>
      <c r="AC17" s="96">
        <v>0</v>
      </c>
      <c r="AD17" s="96">
        <f t="shared" si="8"/>
        <v>0</v>
      </c>
      <c r="AE17" s="96">
        <v>0</v>
      </c>
      <c r="AF17" s="96">
        <v>0</v>
      </c>
      <c r="AG17" s="96">
        <v>0</v>
      </c>
      <c r="AH17" s="96">
        <f t="shared" si="9"/>
        <v>0</v>
      </c>
      <c r="AI17" s="96">
        <v>0</v>
      </c>
      <c r="AJ17" s="96">
        <v>0</v>
      </c>
      <c r="AK17" s="96">
        <v>0</v>
      </c>
      <c r="AL17" s="96">
        <f t="shared" si="10"/>
        <v>0</v>
      </c>
      <c r="AM17" s="99"/>
    </row>
    <row r="18" spans="2:39" x14ac:dyDescent="0.35">
      <c r="B18" s="90" t="s">
        <v>213</v>
      </c>
      <c r="C18" s="95" t="s">
        <v>220</v>
      </c>
      <c r="D18" s="96">
        <f>'[1]AK Opr Juni GP Des (1)'!D18</f>
        <v>165786</v>
      </c>
      <c r="E18" s="96">
        <f>8921.845447+(443834-E69)</f>
        <v>290685.845447</v>
      </c>
      <c r="F18" s="108">
        <v>4931.2037790000004</v>
      </c>
      <c r="G18" s="96">
        <v>0</v>
      </c>
      <c r="H18" s="96">
        <v>0</v>
      </c>
      <c r="I18" s="96">
        <f t="shared" si="2"/>
        <v>295617.04922599997</v>
      </c>
      <c r="J18" s="96">
        <v>0</v>
      </c>
      <c r="K18" s="109">
        <f>K110</f>
        <v>79851</v>
      </c>
      <c r="L18" s="96">
        <f>L109*0</f>
        <v>0</v>
      </c>
      <c r="M18" s="96">
        <f t="shared" si="3"/>
        <v>79851</v>
      </c>
      <c r="N18" s="98">
        <f t="shared" si="4"/>
        <v>370536.845447</v>
      </c>
      <c r="O18" s="73">
        <v>263525</v>
      </c>
      <c r="P18" s="73"/>
      <c r="Q18" s="96">
        <v>2457.4</v>
      </c>
      <c r="R18" s="96">
        <v>581.4</v>
      </c>
      <c r="S18" s="96">
        <f t="shared" si="5"/>
        <v>298655.84922599996</v>
      </c>
      <c r="T18" s="96">
        <v>112488</v>
      </c>
      <c r="U18" s="96">
        <f t="shared" si="6"/>
        <v>411143.84922599996</v>
      </c>
      <c r="V18" s="96">
        <f>AL18+AH18+AD18+Z18</f>
        <v>81751</v>
      </c>
      <c r="W18" s="96">
        <v>0</v>
      </c>
      <c r="X18" s="96">
        <v>0</v>
      </c>
      <c r="Y18" s="96">
        <v>81751</v>
      </c>
      <c r="Z18" s="96">
        <f t="shared" si="7"/>
        <v>81751</v>
      </c>
      <c r="AA18" s="96">
        <v>0</v>
      </c>
      <c r="AB18" s="96">
        <v>0</v>
      </c>
      <c r="AC18" s="96">
        <v>0</v>
      </c>
      <c r="AD18" s="96">
        <f t="shared" si="8"/>
        <v>0</v>
      </c>
      <c r="AE18" s="96">
        <v>0</v>
      </c>
      <c r="AF18" s="96">
        <v>0</v>
      </c>
      <c r="AG18" s="96">
        <v>0</v>
      </c>
      <c r="AH18" s="96">
        <f t="shared" si="9"/>
        <v>0</v>
      </c>
      <c r="AI18" s="96">
        <v>0</v>
      </c>
      <c r="AJ18" s="96">
        <v>0</v>
      </c>
      <c r="AK18" s="96">
        <v>0</v>
      </c>
      <c r="AL18" s="96">
        <f t="shared" si="10"/>
        <v>0</v>
      </c>
      <c r="AM18" s="99"/>
    </row>
    <row r="19" spans="2:39" hidden="1" x14ac:dyDescent="0.35">
      <c r="B19" s="90" t="s">
        <v>221</v>
      </c>
      <c r="C19" s="95" t="s">
        <v>222</v>
      </c>
      <c r="D19" s="96">
        <f>'[1]AK Opr Juni GP Des (1)'!D19</f>
        <v>222</v>
      </c>
      <c r="E19" s="96">
        <f>'[1]AK Opr Juni GP Des (1)'!E19</f>
        <v>0</v>
      </c>
      <c r="F19" s="96"/>
      <c r="G19" s="96"/>
      <c r="H19" s="97"/>
      <c r="I19" s="96"/>
      <c r="J19" s="96">
        <f>'[1]AK Opr Juni GP Des (1)'!K19</f>
        <v>0</v>
      </c>
      <c r="K19" s="96">
        <f>'[1]AK Opr Juni GP Des (1)'!L19</f>
        <v>0</v>
      </c>
      <c r="L19" s="96">
        <f>'[1]AK Opr Juni GP Des (1)'!M19</f>
        <v>0</v>
      </c>
      <c r="M19" s="96">
        <f>SUM(F19:L19)</f>
        <v>0</v>
      </c>
      <c r="N19" s="98">
        <f t="shared" si="4"/>
        <v>0</v>
      </c>
      <c r="O19" s="73"/>
      <c r="P19" s="73"/>
      <c r="Q19" s="96"/>
      <c r="R19" s="96"/>
      <c r="S19" s="96"/>
      <c r="T19" s="96"/>
      <c r="U19" s="96">
        <f t="shared" si="6"/>
        <v>0</v>
      </c>
      <c r="V19" s="96"/>
      <c r="W19" s="96">
        <f t="shared" ref="W19:W71" si="13">U19+I19</f>
        <v>0</v>
      </c>
      <c r="X19" s="96">
        <f t="shared" ref="X19:Y71" si="14">W19+J19</f>
        <v>0</v>
      </c>
      <c r="Y19" s="96">
        <f t="shared" si="14"/>
        <v>0</v>
      </c>
      <c r="Z19" s="96"/>
      <c r="AA19" s="96">
        <f t="shared" ref="AA19:AC19" si="15">Z19+M19</f>
        <v>0</v>
      </c>
      <c r="AB19" s="96">
        <f t="shared" si="15"/>
        <v>0</v>
      </c>
      <c r="AC19" s="96">
        <f t="shared" si="15"/>
        <v>0</v>
      </c>
      <c r="AD19" s="96"/>
      <c r="AE19" s="96">
        <f t="shared" ref="AE19:AG19" si="16">AD19+Q19</f>
        <v>0</v>
      </c>
      <c r="AF19" s="96">
        <f t="shared" si="16"/>
        <v>0</v>
      </c>
      <c r="AG19" s="96">
        <f t="shared" si="16"/>
        <v>0</v>
      </c>
      <c r="AH19" s="96"/>
      <c r="AI19" s="96">
        <f t="shared" ref="AI19" si="17">AH19+U19</f>
        <v>0</v>
      </c>
      <c r="AJ19" s="96">
        <f t="shared" ref="AJ19:AK19" si="18">AI19+W19</f>
        <v>0</v>
      </c>
      <c r="AK19" s="96">
        <f t="shared" si="18"/>
        <v>0</v>
      </c>
      <c r="AL19" s="96"/>
      <c r="AM19" s="99"/>
    </row>
    <row r="20" spans="2:39" x14ac:dyDescent="0.35">
      <c r="B20" s="90"/>
      <c r="C20" s="100" t="s">
        <v>223</v>
      </c>
      <c r="D20" s="101">
        <f>'[1]AK Opr Juni GP Des (1)'!D20</f>
        <v>166008</v>
      </c>
      <c r="E20" s="101">
        <f t="shared" ref="E20:M20" si="19">SUM(E16:E19)</f>
        <v>299592.845447</v>
      </c>
      <c r="F20" s="101">
        <f t="shared" si="19"/>
        <v>7581.3219870000003</v>
      </c>
      <c r="G20" s="101">
        <f t="shared" si="19"/>
        <v>1157.2184810000001</v>
      </c>
      <c r="H20" s="101">
        <f t="shared" si="19"/>
        <v>1284.98047</v>
      </c>
      <c r="I20" s="101">
        <f t="shared" si="19"/>
        <v>309616.366385</v>
      </c>
      <c r="J20" s="101">
        <f t="shared" si="19"/>
        <v>1250</v>
      </c>
      <c r="K20" s="101">
        <f t="shared" si="19"/>
        <v>81351</v>
      </c>
      <c r="L20" s="101">
        <f t="shared" si="19"/>
        <v>1800</v>
      </c>
      <c r="M20" s="101">
        <f t="shared" si="19"/>
        <v>84401</v>
      </c>
      <c r="N20" s="103">
        <f t="shared" si="4"/>
        <v>383993.845447</v>
      </c>
      <c r="O20" s="73"/>
      <c r="P20" s="73"/>
      <c r="Q20" s="104">
        <f t="shared" ref="Q20:T20" si="20">SUM(Q16:Q19)</f>
        <v>3728.7</v>
      </c>
      <c r="R20" s="104">
        <f t="shared" si="20"/>
        <v>1951</v>
      </c>
      <c r="S20" s="104">
        <f t="shared" si="5"/>
        <v>315296.06638500001</v>
      </c>
      <c r="T20" s="104">
        <f t="shared" si="20"/>
        <v>115488</v>
      </c>
      <c r="U20" s="104">
        <f t="shared" si="6"/>
        <v>430784.06638500001</v>
      </c>
      <c r="V20" s="101">
        <f t="shared" ref="V20:AL20" si="21">SUM(V16:V19)</f>
        <v>159831.37469127326</v>
      </c>
      <c r="W20" s="101">
        <f t="shared" si="21"/>
        <v>5824.3281443903306</v>
      </c>
      <c r="X20" s="101">
        <f t="shared" si="21"/>
        <v>5824.3281443903306</v>
      </c>
      <c r="Y20" s="101">
        <f t="shared" si="21"/>
        <v>87575.328144390325</v>
      </c>
      <c r="Z20" s="101">
        <f t="shared" si="21"/>
        <v>99223.98443317099</v>
      </c>
      <c r="AA20" s="101">
        <f t="shared" si="21"/>
        <v>6534.0177242727705</v>
      </c>
      <c r="AB20" s="101">
        <f t="shared" si="21"/>
        <v>6534.0177242727705</v>
      </c>
      <c r="AC20" s="101">
        <f t="shared" si="21"/>
        <v>7484.0177242727705</v>
      </c>
      <c r="AD20" s="101">
        <f t="shared" si="21"/>
        <v>20552.053172818312</v>
      </c>
      <c r="AE20" s="101">
        <f t="shared" si="21"/>
        <v>6561.4934757139936</v>
      </c>
      <c r="AF20" s="101">
        <f t="shared" si="21"/>
        <v>6561.4934757139936</v>
      </c>
      <c r="AG20" s="101">
        <f t="shared" si="21"/>
        <v>6561.4934757139936</v>
      </c>
      <c r="AH20" s="101">
        <f t="shared" si="21"/>
        <v>19684.480427141982</v>
      </c>
      <c r="AI20" s="101">
        <f t="shared" si="21"/>
        <v>6752.9522193806588</v>
      </c>
      <c r="AJ20" s="101">
        <f t="shared" si="21"/>
        <v>6752.9522193806588</v>
      </c>
      <c r="AK20" s="101">
        <f t="shared" si="21"/>
        <v>6864.9522193806588</v>
      </c>
      <c r="AL20" s="101">
        <f t="shared" si="21"/>
        <v>20370.856658141976</v>
      </c>
      <c r="AM20" s="99"/>
    </row>
    <row r="21" spans="2:39" x14ac:dyDescent="0.35">
      <c r="B21" s="90" t="s">
        <v>224</v>
      </c>
      <c r="C21" s="110" t="s">
        <v>225</v>
      </c>
      <c r="D21" s="111">
        <f>'[1]AK Opr Juni GP Des (1)'!D21</f>
        <v>171301</v>
      </c>
      <c r="E21" s="111">
        <f t="shared" ref="E21:M21" si="22">E14-E20</f>
        <v>-299592.845447</v>
      </c>
      <c r="F21" s="111">
        <f t="shared" si="22"/>
        <v>-7581.3219870000003</v>
      </c>
      <c r="G21" s="111">
        <f t="shared" si="22"/>
        <v>-1157.2184810000001</v>
      </c>
      <c r="H21" s="111">
        <f t="shared" si="22"/>
        <v>-1284.98047</v>
      </c>
      <c r="I21" s="111">
        <f t="shared" si="22"/>
        <v>-309616.366385</v>
      </c>
      <c r="J21" s="111">
        <f t="shared" si="22"/>
        <v>-1250</v>
      </c>
      <c r="K21" s="111">
        <f t="shared" si="22"/>
        <v>-70870</v>
      </c>
      <c r="L21" s="111">
        <f t="shared" si="22"/>
        <v>19161</v>
      </c>
      <c r="M21" s="111">
        <f t="shared" si="22"/>
        <v>-52959</v>
      </c>
      <c r="N21" s="112">
        <f t="shared" si="4"/>
        <v>-352551.845447</v>
      </c>
      <c r="O21" s="73"/>
      <c r="P21" s="73"/>
      <c r="Q21" s="111">
        <f t="shared" ref="Q21:T21" si="23">Q14-Q20</f>
        <v>-3728.7</v>
      </c>
      <c r="R21" s="111">
        <f t="shared" si="23"/>
        <v>-1951</v>
      </c>
      <c r="S21" s="111">
        <f t="shared" si="5"/>
        <v>-315296.06638500001</v>
      </c>
      <c r="T21" s="111">
        <f t="shared" si="23"/>
        <v>-110988</v>
      </c>
      <c r="U21" s="111">
        <f t="shared" si="6"/>
        <v>-426284.06638500001</v>
      </c>
      <c r="V21" s="111">
        <f t="shared" ref="V21:AL21" si="24">V14-V20</f>
        <v>162250.63149236416</v>
      </c>
      <c r="W21" s="111">
        <f t="shared" si="24"/>
        <v>10279.77216479154</v>
      </c>
      <c r="X21" s="111">
        <f t="shared" si="24"/>
        <v>10279.77216479154</v>
      </c>
      <c r="Y21" s="111">
        <f t="shared" si="24"/>
        <v>-71471.227835208454</v>
      </c>
      <c r="Z21" s="111">
        <f t="shared" si="24"/>
        <v>-50911.683505625377</v>
      </c>
      <c r="AA21" s="111">
        <f t="shared" si="24"/>
        <v>20306.149457697014</v>
      </c>
      <c r="AB21" s="111">
        <f t="shared" si="24"/>
        <v>20306.149457697014</v>
      </c>
      <c r="AC21" s="111">
        <f t="shared" si="24"/>
        <v>19356.149457697014</v>
      </c>
      <c r="AD21" s="111">
        <f t="shared" si="24"/>
        <v>59968.448373091043</v>
      </c>
      <c r="AE21" s="111">
        <f t="shared" si="24"/>
        <v>25646.707142649746</v>
      </c>
      <c r="AF21" s="111">
        <f t="shared" si="24"/>
        <v>25646.707142649746</v>
      </c>
      <c r="AG21" s="111">
        <f t="shared" si="24"/>
        <v>25646.707142649746</v>
      </c>
      <c r="AH21" s="111">
        <f t="shared" si="24"/>
        <v>76940.121427949227</v>
      </c>
      <c r="AI21" s="111">
        <f t="shared" si="24"/>
        <v>25455.24839898308</v>
      </c>
      <c r="AJ21" s="111">
        <f t="shared" si="24"/>
        <v>25455.24839898308</v>
      </c>
      <c r="AK21" s="111">
        <f t="shared" si="24"/>
        <v>25343.24839898308</v>
      </c>
      <c r="AL21" s="111">
        <f t="shared" si="24"/>
        <v>76253.745196949239</v>
      </c>
      <c r="AM21" s="99"/>
    </row>
    <row r="22" spans="2:39" x14ac:dyDescent="0.35">
      <c r="B22" s="90" t="s">
        <v>226</v>
      </c>
      <c r="C22" s="95" t="s">
        <v>227</v>
      </c>
      <c r="D22" s="105"/>
      <c r="E22" s="105"/>
      <c r="F22" s="96"/>
      <c r="G22" s="96"/>
      <c r="H22" s="97"/>
      <c r="I22" s="96"/>
      <c r="J22" s="96"/>
      <c r="K22" s="96"/>
      <c r="L22" s="96"/>
      <c r="M22" s="96">
        <f>SUM(F22:L22)</f>
        <v>0</v>
      </c>
      <c r="N22" s="98">
        <f t="shared" si="4"/>
        <v>0</v>
      </c>
      <c r="O22" s="73"/>
      <c r="P22" s="73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</row>
    <row r="23" spans="2:39" hidden="1" x14ac:dyDescent="0.35">
      <c r="B23" s="90" t="s">
        <v>209</v>
      </c>
      <c r="C23" s="95" t="s">
        <v>228</v>
      </c>
      <c r="D23" s="96">
        <f>'[1]AK Opr Juni GP Des (1)'!D23</f>
        <v>0</v>
      </c>
      <c r="E23" s="96">
        <f>'[1]AK Opr Juni GP Des (1)'!E23</f>
        <v>0</v>
      </c>
      <c r="F23" s="96"/>
      <c r="G23" s="96"/>
      <c r="H23" s="97"/>
      <c r="I23" s="96"/>
      <c r="J23" s="96">
        <f>'[1]AK Opr Juni GP Des (1)'!K23</f>
        <v>0</v>
      </c>
      <c r="K23" s="96">
        <f>'[1]AK Opr Juni GP Des (1)'!L23</f>
        <v>0</v>
      </c>
      <c r="L23" s="96">
        <f>'[1]AK Opr Juni GP Des (1)'!M23</f>
        <v>0</v>
      </c>
      <c r="M23" s="96">
        <f>SUM(F23:L23)</f>
        <v>0</v>
      </c>
      <c r="N23" s="98">
        <f t="shared" si="4"/>
        <v>0</v>
      </c>
      <c r="O23" s="73"/>
      <c r="P23" s="73"/>
      <c r="Q23" s="96"/>
      <c r="R23" s="96"/>
      <c r="S23" s="96"/>
      <c r="T23" s="96"/>
      <c r="U23" s="96"/>
      <c r="V23" s="96"/>
      <c r="W23" s="96">
        <f t="shared" si="13"/>
        <v>0</v>
      </c>
      <c r="X23" s="96">
        <f t="shared" si="14"/>
        <v>0</v>
      </c>
      <c r="Y23" s="96">
        <f t="shared" si="14"/>
        <v>0</v>
      </c>
      <c r="Z23" s="96"/>
      <c r="AA23" s="96">
        <f t="shared" ref="AA23:AC23" si="25">Z23+M23</f>
        <v>0</v>
      </c>
      <c r="AB23" s="96">
        <f t="shared" si="25"/>
        <v>0</v>
      </c>
      <c r="AC23" s="96">
        <f t="shared" si="25"/>
        <v>0</v>
      </c>
      <c r="AD23" s="96"/>
      <c r="AE23" s="96">
        <f t="shared" ref="AE23:AG23" si="26">AD23+Q23</f>
        <v>0</v>
      </c>
      <c r="AF23" s="96">
        <f t="shared" si="26"/>
        <v>0</v>
      </c>
      <c r="AG23" s="96">
        <f t="shared" si="26"/>
        <v>0</v>
      </c>
      <c r="AH23" s="96"/>
      <c r="AI23" s="96">
        <f t="shared" ref="AI23" si="27">AH23+U23</f>
        <v>0</v>
      </c>
      <c r="AJ23" s="96">
        <f t="shared" ref="AJ23:AK23" si="28">AI23+W23</f>
        <v>0</v>
      </c>
      <c r="AK23" s="96">
        <f t="shared" si="28"/>
        <v>0</v>
      </c>
      <c r="AL23" s="96"/>
    </row>
    <row r="24" spans="2:39" hidden="1" x14ac:dyDescent="0.35">
      <c r="B24" s="90" t="s">
        <v>211</v>
      </c>
      <c r="C24" s="95" t="s">
        <v>229</v>
      </c>
      <c r="D24" s="96">
        <f>'[1]AK Opr Juni GP Des (1)'!D24</f>
        <v>0</v>
      </c>
      <c r="E24" s="96">
        <v>0</v>
      </c>
      <c r="F24" s="96">
        <v>0</v>
      </c>
      <c r="G24" s="96">
        <v>0</v>
      </c>
      <c r="H24" s="97">
        <v>0</v>
      </c>
      <c r="I24" s="96">
        <f t="shared" ref="I24:I33" si="29">H24+G24+F24+E24</f>
        <v>0</v>
      </c>
      <c r="J24" s="96">
        <f>'[1]AK Opr Juni GP Des (1)'!K24</f>
        <v>0</v>
      </c>
      <c r="K24" s="96">
        <f>'[1]AK Opr Juni GP Des (1)'!L24</f>
        <v>0</v>
      </c>
      <c r="L24" s="96">
        <f>'[1]AK Opr Juni GP Des (1)'!M24</f>
        <v>0</v>
      </c>
      <c r="M24" s="96">
        <f t="shared" ref="M24:M33" si="30">J24+K24+L24</f>
        <v>0</v>
      </c>
      <c r="N24" s="98">
        <f t="shared" si="4"/>
        <v>0</v>
      </c>
      <c r="O24" s="73"/>
      <c r="P24" s="73"/>
      <c r="Q24" s="96">
        <f t="shared" ref="Q24:Q33" si="31">O24+N24+M24+L24</f>
        <v>0</v>
      </c>
      <c r="R24" s="96">
        <f t="shared" ref="R24:R29" si="32">Q24</f>
        <v>0</v>
      </c>
      <c r="S24" s="96">
        <f t="shared" ref="S24:S34" si="33">R24+Q24+I24</f>
        <v>0</v>
      </c>
      <c r="T24" s="96">
        <f t="shared" ref="T24:T29" si="34">R24</f>
        <v>0</v>
      </c>
      <c r="U24" s="96">
        <f t="shared" ref="U24:U34" si="35">S24+T24</f>
        <v>0</v>
      </c>
      <c r="V24" s="96">
        <f t="shared" ref="V24:V33" si="36">AL24+AH24+AD24+Z24</f>
        <v>0</v>
      </c>
      <c r="W24" s="96">
        <f>'[2]AKAS 2021'!G27</f>
        <v>0</v>
      </c>
      <c r="X24" s="96">
        <f>'[2]AKAS 2021'!H27</f>
        <v>0</v>
      </c>
      <c r="Y24" s="96">
        <f>'[2]AKAS 2021'!I27</f>
        <v>0</v>
      </c>
      <c r="Z24" s="96">
        <f t="shared" ref="Z24:Z33" si="37">Y24+X24+W24</f>
        <v>0</v>
      </c>
      <c r="AA24" s="96">
        <f>'[2]AKAS 2021'!K27</f>
        <v>0</v>
      </c>
      <c r="AB24" s="96">
        <f>'[2]AKAS 2021'!L27</f>
        <v>0</v>
      </c>
      <c r="AC24" s="96">
        <f>'[2]AKAS 2021'!M27</f>
        <v>0</v>
      </c>
      <c r="AD24" s="96">
        <f t="shared" ref="AD24:AD33" si="38">AC24+AB24+AA24</f>
        <v>0</v>
      </c>
      <c r="AE24" s="96">
        <v>0</v>
      </c>
      <c r="AF24" s="96">
        <f>'[2]AKAS 2021'!P27</f>
        <v>0</v>
      </c>
      <c r="AG24" s="96">
        <f>'[2]AKAS 2021'!Q27</f>
        <v>0</v>
      </c>
      <c r="AH24" s="96">
        <f t="shared" ref="AH24:AH33" si="39">AG24+AF24+AE24</f>
        <v>0</v>
      </c>
      <c r="AI24" s="96">
        <f>'[2]AKAS 2021'!S27</f>
        <v>0</v>
      </c>
      <c r="AJ24" s="96">
        <f>'[2]AKAS 2021'!T27</f>
        <v>0</v>
      </c>
      <c r="AK24" s="96">
        <f>'[2]AKAS 2021'!U27</f>
        <v>0</v>
      </c>
      <c r="AL24" s="96">
        <f t="shared" ref="AL24:AL33" si="40">AK24+AJ24+AI24</f>
        <v>0</v>
      </c>
    </row>
    <row r="25" spans="2:39" hidden="1" x14ac:dyDescent="0.35">
      <c r="B25" s="90" t="s">
        <v>213</v>
      </c>
      <c r="C25" s="95" t="s">
        <v>230</v>
      </c>
      <c r="D25" s="96">
        <f>'[1]AK Opr Juni GP Des (1)'!D25</f>
        <v>0</v>
      </c>
      <c r="E25" s="96">
        <f>'[1]AK Opr Juni GP Des (1)'!E25</f>
        <v>0</v>
      </c>
      <c r="F25" s="96"/>
      <c r="G25" s="96"/>
      <c r="H25" s="97"/>
      <c r="I25" s="96">
        <f t="shared" si="29"/>
        <v>0</v>
      </c>
      <c r="J25" s="96">
        <f>'[1]AK Opr Juni GP Des (1)'!K25</f>
        <v>0</v>
      </c>
      <c r="K25" s="96">
        <f>'[1]AK Opr Juni GP Des (1)'!L25</f>
        <v>0</v>
      </c>
      <c r="L25" s="96">
        <f>'[1]AK Opr Juni GP Des (1)'!M25</f>
        <v>0</v>
      </c>
      <c r="M25" s="96">
        <f t="shared" si="30"/>
        <v>0</v>
      </c>
      <c r="N25" s="98">
        <f t="shared" si="4"/>
        <v>0</v>
      </c>
      <c r="O25" s="73"/>
      <c r="P25" s="73"/>
      <c r="Q25" s="96">
        <f t="shared" si="31"/>
        <v>0</v>
      </c>
      <c r="R25" s="96">
        <f t="shared" si="32"/>
        <v>0</v>
      </c>
      <c r="S25" s="96">
        <f t="shared" si="33"/>
        <v>0</v>
      </c>
      <c r="T25" s="96">
        <f t="shared" si="34"/>
        <v>0</v>
      </c>
      <c r="U25" s="96">
        <f t="shared" si="35"/>
        <v>0</v>
      </c>
      <c r="V25" s="96">
        <f t="shared" si="36"/>
        <v>0</v>
      </c>
      <c r="W25" s="96">
        <f t="shared" si="13"/>
        <v>0</v>
      </c>
      <c r="X25" s="96">
        <f t="shared" ref="X25:Y26" si="41">W25+J25</f>
        <v>0</v>
      </c>
      <c r="Y25" s="96">
        <f t="shared" si="41"/>
        <v>0</v>
      </c>
      <c r="Z25" s="96">
        <f t="shared" si="37"/>
        <v>0</v>
      </c>
      <c r="AA25" s="96">
        <f t="shared" ref="AA25:AC26" si="42">Z25+M25</f>
        <v>0</v>
      </c>
      <c r="AB25" s="96">
        <f t="shared" si="42"/>
        <v>0</v>
      </c>
      <c r="AC25" s="96">
        <f t="shared" si="42"/>
        <v>0</v>
      </c>
      <c r="AD25" s="96">
        <f t="shared" si="38"/>
        <v>0</v>
      </c>
      <c r="AE25" s="96">
        <f t="shared" ref="AE25:AG26" si="43">AD25+Q25</f>
        <v>0</v>
      </c>
      <c r="AF25" s="96">
        <f t="shared" si="43"/>
        <v>0</v>
      </c>
      <c r="AG25" s="96">
        <f t="shared" si="43"/>
        <v>0</v>
      </c>
      <c r="AH25" s="96">
        <f t="shared" si="39"/>
        <v>0</v>
      </c>
      <c r="AI25" s="96">
        <f t="shared" ref="AI25:AI26" si="44">AH25+U25</f>
        <v>0</v>
      </c>
      <c r="AJ25" s="96">
        <f t="shared" ref="AJ25:AK26" si="45">AI25+W25</f>
        <v>0</v>
      </c>
      <c r="AK25" s="96">
        <f t="shared" si="45"/>
        <v>0</v>
      </c>
      <c r="AL25" s="96">
        <f t="shared" si="40"/>
        <v>0</v>
      </c>
    </row>
    <row r="26" spans="2:39" hidden="1" x14ac:dyDescent="0.35">
      <c r="B26" s="90" t="s">
        <v>221</v>
      </c>
      <c r="C26" s="95" t="s">
        <v>231</v>
      </c>
      <c r="D26" s="96">
        <f>'[1]AK Opr Juni GP Des (1)'!D26</f>
        <v>0</v>
      </c>
      <c r="E26" s="96">
        <f>'[1]AK Opr Juni GP Des (1)'!E26</f>
        <v>0</v>
      </c>
      <c r="F26" s="96"/>
      <c r="G26" s="96"/>
      <c r="H26" s="97"/>
      <c r="I26" s="96">
        <f t="shared" si="29"/>
        <v>0</v>
      </c>
      <c r="J26" s="96">
        <f>'[1]AK Opr Juni GP Des (1)'!K26</f>
        <v>0</v>
      </c>
      <c r="K26" s="96">
        <f>'[1]AK Opr Juni GP Des (1)'!L26</f>
        <v>0</v>
      </c>
      <c r="L26" s="96">
        <f>'[1]AK Opr Juni GP Des (1)'!M26</f>
        <v>0</v>
      </c>
      <c r="M26" s="96">
        <f t="shared" si="30"/>
        <v>0</v>
      </c>
      <c r="N26" s="98">
        <f t="shared" si="4"/>
        <v>0</v>
      </c>
      <c r="O26" s="73"/>
      <c r="P26" s="73"/>
      <c r="Q26" s="96">
        <f t="shared" si="31"/>
        <v>0</v>
      </c>
      <c r="R26" s="96">
        <f t="shared" si="32"/>
        <v>0</v>
      </c>
      <c r="S26" s="96">
        <f t="shared" si="33"/>
        <v>0</v>
      </c>
      <c r="T26" s="96">
        <f t="shared" si="34"/>
        <v>0</v>
      </c>
      <c r="U26" s="96">
        <f t="shared" si="35"/>
        <v>0</v>
      </c>
      <c r="V26" s="96">
        <f t="shared" si="36"/>
        <v>0</v>
      </c>
      <c r="W26" s="96">
        <f t="shared" si="13"/>
        <v>0</v>
      </c>
      <c r="X26" s="96">
        <f t="shared" si="41"/>
        <v>0</v>
      </c>
      <c r="Y26" s="96">
        <f t="shared" si="41"/>
        <v>0</v>
      </c>
      <c r="Z26" s="96">
        <f t="shared" si="37"/>
        <v>0</v>
      </c>
      <c r="AA26" s="96">
        <f t="shared" si="42"/>
        <v>0</v>
      </c>
      <c r="AB26" s="96">
        <f t="shared" si="42"/>
        <v>0</v>
      </c>
      <c r="AC26" s="96">
        <f t="shared" si="42"/>
        <v>0</v>
      </c>
      <c r="AD26" s="96">
        <f t="shared" si="38"/>
        <v>0</v>
      </c>
      <c r="AE26" s="96">
        <f t="shared" si="43"/>
        <v>0</v>
      </c>
      <c r="AF26" s="96">
        <f t="shared" si="43"/>
        <v>0</v>
      </c>
      <c r="AG26" s="96">
        <f t="shared" si="43"/>
        <v>0</v>
      </c>
      <c r="AH26" s="96">
        <f t="shared" si="39"/>
        <v>0</v>
      </c>
      <c r="AI26" s="96">
        <f t="shared" si="44"/>
        <v>0</v>
      </c>
      <c r="AJ26" s="96">
        <f t="shared" si="45"/>
        <v>0</v>
      </c>
      <c r="AK26" s="96">
        <f t="shared" si="45"/>
        <v>0</v>
      </c>
      <c r="AL26" s="96">
        <f t="shared" si="40"/>
        <v>0</v>
      </c>
    </row>
    <row r="27" spans="2:39" x14ac:dyDescent="0.35">
      <c r="B27" s="90" t="s">
        <v>232</v>
      </c>
      <c r="C27" s="95" t="s">
        <v>233</v>
      </c>
      <c r="D27" s="96">
        <f>'[1]AK Opr Juni GP Des (1)'!D27</f>
        <v>10503</v>
      </c>
      <c r="E27" s="96">
        <v>843.46769700000004</v>
      </c>
      <c r="F27" s="96">
        <v>235.12793199999999</v>
      </c>
      <c r="G27" s="96">
        <v>0</v>
      </c>
      <c r="H27" s="97">
        <v>0</v>
      </c>
      <c r="I27" s="96">
        <f t="shared" si="29"/>
        <v>1078.5956289999999</v>
      </c>
      <c r="J27" s="96">
        <f>154</f>
        <v>154</v>
      </c>
      <c r="K27" s="96">
        <f>154</f>
        <v>154</v>
      </c>
      <c r="L27" s="96">
        <f>154</f>
        <v>154</v>
      </c>
      <c r="M27" s="96">
        <f t="shared" si="30"/>
        <v>462</v>
      </c>
      <c r="N27" s="98">
        <f t="shared" si="4"/>
        <v>1305.467697</v>
      </c>
      <c r="O27" s="73"/>
      <c r="P27" s="73"/>
      <c r="Q27" s="96">
        <f t="shared" ref="Q27:Q29" si="46">H27</f>
        <v>0</v>
      </c>
      <c r="R27" s="96">
        <f t="shared" si="32"/>
        <v>0</v>
      </c>
      <c r="S27" s="96">
        <f t="shared" si="33"/>
        <v>1078.5956289999999</v>
      </c>
      <c r="T27" s="96">
        <f t="shared" si="34"/>
        <v>0</v>
      </c>
      <c r="U27" s="96">
        <f t="shared" si="35"/>
        <v>1078.5956289999999</v>
      </c>
      <c r="V27" s="96">
        <f t="shared" si="36"/>
        <v>137213.727813</v>
      </c>
      <c r="W27" s="96">
        <v>50</v>
      </c>
      <c r="X27" s="96">
        <v>50</v>
      </c>
      <c r="Y27" s="96">
        <v>550</v>
      </c>
      <c r="Z27" s="96">
        <f t="shared" si="37"/>
        <v>650</v>
      </c>
      <c r="AA27" s="96">
        <v>0</v>
      </c>
      <c r="AB27" s="96">
        <v>0</v>
      </c>
      <c r="AC27" s="96">
        <v>136563.727813</v>
      </c>
      <c r="AD27" s="96">
        <f t="shared" si="38"/>
        <v>136563.727813</v>
      </c>
      <c r="AE27" s="96">
        <v>0</v>
      </c>
      <c r="AF27" s="96">
        <v>0</v>
      </c>
      <c r="AG27" s="96">
        <v>0</v>
      </c>
      <c r="AH27" s="96">
        <f t="shared" si="39"/>
        <v>0</v>
      </c>
      <c r="AI27" s="96">
        <v>0</v>
      </c>
      <c r="AJ27" s="96">
        <v>0</v>
      </c>
      <c r="AK27" s="96">
        <v>0</v>
      </c>
      <c r="AL27" s="96">
        <f t="shared" si="40"/>
        <v>0</v>
      </c>
      <c r="AM27" s="99"/>
    </row>
    <row r="28" spans="2:39" hidden="1" x14ac:dyDescent="0.35">
      <c r="B28" s="90" t="s">
        <v>234</v>
      </c>
      <c r="C28" s="95" t="s">
        <v>235</v>
      </c>
      <c r="D28" s="96">
        <f>'[1]AK Opr Juni GP Des (1)'!D28</f>
        <v>0</v>
      </c>
      <c r="E28" s="96">
        <f>'[1]AK Opr Juni GP Des (1)'!E28</f>
        <v>0</v>
      </c>
      <c r="F28" s="96"/>
      <c r="G28" s="96"/>
      <c r="H28" s="97"/>
      <c r="I28" s="96">
        <f t="shared" si="29"/>
        <v>0</v>
      </c>
      <c r="J28" s="96">
        <f>'[1]AK Opr Juni GP Des (1)'!K28</f>
        <v>0</v>
      </c>
      <c r="K28" s="96">
        <f>'[1]AK Opr Juni GP Des (1)'!L28</f>
        <v>0</v>
      </c>
      <c r="L28" s="96">
        <f>'[1]AK Opr Juni GP Des (1)'!M28</f>
        <v>0</v>
      </c>
      <c r="M28" s="96">
        <f t="shared" si="30"/>
        <v>0</v>
      </c>
      <c r="N28" s="98">
        <f t="shared" si="4"/>
        <v>0</v>
      </c>
      <c r="O28" s="73"/>
      <c r="P28" s="73"/>
      <c r="Q28" s="96">
        <f t="shared" si="46"/>
        <v>0</v>
      </c>
      <c r="R28" s="96">
        <f t="shared" si="32"/>
        <v>0</v>
      </c>
      <c r="S28" s="96">
        <f t="shared" si="33"/>
        <v>0</v>
      </c>
      <c r="T28" s="96">
        <f t="shared" si="34"/>
        <v>0</v>
      </c>
      <c r="U28" s="96">
        <f t="shared" si="35"/>
        <v>0</v>
      </c>
      <c r="V28" s="96">
        <f t="shared" si="36"/>
        <v>0</v>
      </c>
      <c r="W28" s="96">
        <v>0</v>
      </c>
      <c r="X28" s="96">
        <v>0</v>
      </c>
      <c r="Y28" s="96">
        <v>0</v>
      </c>
      <c r="Z28" s="96">
        <f t="shared" si="37"/>
        <v>0</v>
      </c>
      <c r="AA28" s="96">
        <v>0</v>
      </c>
      <c r="AB28" s="96">
        <v>0</v>
      </c>
      <c r="AC28" s="96">
        <v>0</v>
      </c>
      <c r="AD28" s="96">
        <f t="shared" si="38"/>
        <v>0</v>
      </c>
      <c r="AE28" s="96">
        <v>0</v>
      </c>
      <c r="AF28" s="96">
        <v>0</v>
      </c>
      <c r="AG28" s="96">
        <v>0</v>
      </c>
      <c r="AH28" s="96">
        <f t="shared" si="39"/>
        <v>0</v>
      </c>
      <c r="AI28" s="96">
        <v>0</v>
      </c>
      <c r="AJ28" s="96">
        <v>0</v>
      </c>
      <c r="AK28" s="96">
        <v>0</v>
      </c>
      <c r="AL28" s="96">
        <f t="shared" si="40"/>
        <v>0</v>
      </c>
      <c r="AM28" s="99"/>
    </row>
    <row r="29" spans="2:39" hidden="1" x14ac:dyDescent="0.35">
      <c r="B29" s="90" t="s">
        <v>236</v>
      </c>
      <c r="C29" s="95" t="s">
        <v>237</v>
      </c>
      <c r="D29" s="96">
        <f>'[1]AK Opr Juni GP Des (1)'!D29</f>
        <v>0</v>
      </c>
      <c r="E29" s="96">
        <f>'[1]AK Opr Juni GP Des (1)'!E29</f>
        <v>0</v>
      </c>
      <c r="F29" s="96"/>
      <c r="G29" s="96"/>
      <c r="H29" s="97"/>
      <c r="I29" s="96">
        <f t="shared" si="29"/>
        <v>0</v>
      </c>
      <c r="J29" s="96">
        <f>'[1]AK Opr Juni GP Des (1)'!K29</f>
        <v>0</v>
      </c>
      <c r="K29" s="96">
        <f>'[1]AK Opr Juni GP Des (1)'!L29</f>
        <v>0</v>
      </c>
      <c r="L29" s="96">
        <f>'[1]AK Opr Juni GP Des (1)'!M29</f>
        <v>0</v>
      </c>
      <c r="M29" s="96">
        <f t="shared" si="30"/>
        <v>0</v>
      </c>
      <c r="N29" s="98">
        <f t="shared" si="4"/>
        <v>0</v>
      </c>
      <c r="O29" s="73"/>
      <c r="P29" s="73"/>
      <c r="Q29" s="96">
        <f t="shared" si="46"/>
        <v>0</v>
      </c>
      <c r="R29" s="96">
        <f t="shared" si="32"/>
        <v>0</v>
      </c>
      <c r="S29" s="96">
        <f t="shared" si="33"/>
        <v>0</v>
      </c>
      <c r="T29" s="96">
        <f t="shared" si="34"/>
        <v>0</v>
      </c>
      <c r="U29" s="96">
        <f t="shared" si="35"/>
        <v>0</v>
      </c>
      <c r="V29" s="96">
        <f t="shared" si="36"/>
        <v>0</v>
      </c>
      <c r="W29" s="96">
        <v>0</v>
      </c>
      <c r="X29" s="96">
        <v>0</v>
      </c>
      <c r="Y29" s="96">
        <v>0</v>
      </c>
      <c r="Z29" s="96">
        <f t="shared" si="37"/>
        <v>0</v>
      </c>
      <c r="AA29" s="96">
        <v>0</v>
      </c>
      <c r="AB29" s="96">
        <v>0</v>
      </c>
      <c r="AC29" s="96">
        <v>0</v>
      </c>
      <c r="AD29" s="96">
        <f t="shared" si="38"/>
        <v>0</v>
      </c>
      <c r="AE29" s="96">
        <v>0</v>
      </c>
      <c r="AF29" s="96">
        <v>0</v>
      </c>
      <c r="AG29" s="96">
        <v>0</v>
      </c>
      <c r="AH29" s="96">
        <f t="shared" si="39"/>
        <v>0</v>
      </c>
      <c r="AI29" s="96">
        <v>0</v>
      </c>
      <c r="AJ29" s="96">
        <v>0</v>
      </c>
      <c r="AK29" s="96">
        <v>0</v>
      </c>
      <c r="AL29" s="96">
        <f t="shared" si="40"/>
        <v>0</v>
      </c>
      <c r="AM29" s="99"/>
    </row>
    <row r="30" spans="2:39" x14ac:dyDescent="0.35">
      <c r="B30" s="90" t="s">
        <v>238</v>
      </c>
      <c r="C30" s="95" t="s">
        <v>239</v>
      </c>
      <c r="D30" s="96">
        <f>'[1]AK Opr Juni GP Des (1)'!D30</f>
        <v>12220</v>
      </c>
      <c r="E30" s="96">
        <v>8653.0511420000003</v>
      </c>
      <c r="F30" s="96">
        <v>1830.641394</v>
      </c>
      <c r="G30" s="96">
        <v>758.87603200000001</v>
      </c>
      <c r="H30" s="97">
        <v>836.61632699999996</v>
      </c>
      <c r="I30" s="96">
        <f t="shared" si="29"/>
        <v>12079.184895</v>
      </c>
      <c r="J30" s="96">
        <f>60</f>
        <v>60</v>
      </c>
      <c r="K30" s="96">
        <f>60</f>
        <v>60</v>
      </c>
      <c r="L30" s="96">
        <f>60</f>
        <v>60</v>
      </c>
      <c r="M30" s="96">
        <f t="shared" si="30"/>
        <v>180</v>
      </c>
      <c r="N30" s="98">
        <f t="shared" si="4"/>
        <v>8833.0511420000003</v>
      </c>
      <c r="O30" s="73"/>
      <c r="P30" s="73"/>
      <c r="Q30" s="96">
        <v>305.10000000000002</v>
      </c>
      <c r="R30" s="96">
        <v>241.78800000000001</v>
      </c>
      <c r="S30" s="96">
        <f t="shared" si="33"/>
        <v>12626.072895000001</v>
      </c>
      <c r="T30" s="96">
        <v>50</v>
      </c>
      <c r="U30" s="96">
        <f t="shared" si="35"/>
        <v>12676.072895000001</v>
      </c>
      <c r="V30" s="96">
        <f t="shared" si="36"/>
        <v>1400</v>
      </c>
      <c r="W30" s="96">
        <v>0</v>
      </c>
      <c r="X30" s="96">
        <v>0</v>
      </c>
      <c r="Y30" s="96">
        <v>0</v>
      </c>
      <c r="Z30" s="96">
        <f t="shared" si="37"/>
        <v>0</v>
      </c>
      <c r="AA30" s="96">
        <v>50</v>
      </c>
      <c r="AB30" s="96">
        <v>50</v>
      </c>
      <c r="AC30" s="96">
        <v>50</v>
      </c>
      <c r="AD30" s="96">
        <f t="shared" si="38"/>
        <v>150</v>
      </c>
      <c r="AE30" s="96">
        <v>1000</v>
      </c>
      <c r="AF30" s="96">
        <v>50</v>
      </c>
      <c r="AG30" s="96">
        <v>50</v>
      </c>
      <c r="AH30" s="96">
        <f t="shared" si="39"/>
        <v>1100</v>
      </c>
      <c r="AI30" s="96">
        <v>50</v>
      </c>
      <c r="AJ30" s="96">
        <v>50</v>
      </c>
      <c r="AK30" s="96">
        <v>50</v>
      </c>
      <c r="AL30" s="96">
        <f t="shared" si="40"/>
        <v>150</v>
      </c>
      <c r="AM30" s="99"/>
    </row>
    <row r="31" spans="2:39" hidden="1" x14ac:dyDescent="0.35">
      <c r="B31" s="90" t="s">
        <v>240</v>
      </c>
      <c r="C31" s="95" t="s">
        <v>241</v>
      </c>
      <c r="D31" s="96">
        <f>'[1]AK Opr Juni GP Des (1)'!D31</f>
        <v>0</v>
      </c>
      <c r="E31" s="96">
        <f>'[1]AK Opr Juni GP Des (1)'!E31</f>
        <v>0</v>
      </c>
      <c r="F31" s="96"/>
      <c r="G31" s="96"/>
      <c r="H31" s="97"/>
      <c r="I31" s="96">
        <f t="shared" si="29"/>
        <v>0</v>
      </c>
      <c r="J31" s="96">
        <f>'[1]AK Opr Juni GP Des (1)'!K31</f>
        <v>0</v>
      </c>
      <c r="K31" s="96">
        <f>'[1]AK Opr Juni GP Des (1)'!L31</f>
        <v>0</v>
      </c>
      <c r="L31" s="96">
        <f>'[1]AK Opr Juni GP Des (1)'!M31</f>
        <v>0</v>
      </c>
      <c r="M31" s="96">
        <f t="shared" si="30"/>
        <v>0</v>
      </c>
      <c r="N31" s="98">
        <f t="shared" si="4"/>
        <v>0</v>
      </c>
      <c r="O31" s="73"/>
      <c r="P31" s="73"/>
      <c r="Q31" s="96">
        <f t="shared" si="31"/>
        <v>0</v>
      </c>
      <c r="R31" s="96">
        <f t="shared" ref="R31:R32" si="47">Q31</f>
        <v>0</v>
      </c>
      <c r="S31" s="96">
        <f t="shared" si="33"/>
        <v>0</v>
      </c>
      <c r="T31" s="96">
        <f>R31</f>
        <v>0</v>
      </c>
      <c r="U31" s="96">
        <f t="shared" si="35"/>
        <v>0</v>
      </c>
      <c r="V31" s="96">
        <f t="shared" si="36"/>
        <v>650</v>
      </c>
      <c r="W31" s="96">
        <v>50</v>
      </c>
      <c r="X31" s="96">
        <v>50</v>
      </c>
      <c r="Y31" s="96">
        <v>550</v>
      </c>
      <c r="Z31" s="96">
        <f t="shared" si="37"/>
        <v>650</v>
      </c>
      <c r="AA31" s="96">
        <v>0</v>
      </c>
      <c r="AB31" s="96">
        <v>0</v>
      </c>
      <c r="AC31" s="96">
        <v>0</v>
      </c>
      <c r="AD31" s="96">
        <f t="shared" si="38"/>
        <v>0</v>
      </c>
      <c r="AE31" s="96">
        <v>0</v>
      </c>
      <c r="AF31" s="96">
        <v>0</v>
      </c>
      <c r="AG31" s="96">
        <v>0</v>
      </c>
      <c r="AH31" s="96">
        <f t="shared" si="39"/>
        <v>0</v>
      </c>
      <c r="AI31" s="96">
        <v>0</v>
      </c>
      <c r="AJ31" s="96">
        <v>0</v>
      </c>
      <c r="AK31" s="96">
        <v>0</v>
      </c>
      <c r="AL31" s="96">
        <f t="shared" si="40"/>
        <v>0</v>
      </c>
      <c r="AM31" s="99"/>
    </row>
    <row r="32" spans="2:39" hidden="1" x14ac:dyDescent="0.35">
      <c r="B32" s="90" t="s">
        <v>242</v>
      </c>
      <c r="C32" s="95" t="s">
        <v>243</v>
      </c>
      <c r="D32" s="96">
        <f>'[1]AK Opr Juni GP Des (1)'!D32</f>
        <v>0</v>
      </c>
      <c r="E32" s="96">
        <f>'[1]AK Opr Juni GP Des (1)'!E32</f>
        <v>0</v>
      </c>
      <c r="F32" s="96"/>
      <c r="G32" s="96"/>
      <c r="H32" s="97"/>
      <c r="I32" s="96">
        <f t="shared" si="29"/>
        <v>0</v>
      </c>
      <c r="J32" s="96">
        <f>'[1]AK Opr Juni GP Des (1)'!K32</f>
        <v>0</v>
      </c>
      <c r="K32" s="96">
        <f>'[1]AK Opr Juni GP Des (1)'!L32</f>
        <v>0</v>
      </c>
      <c r="L32" s="96">
        <f>'[1]AK Opr Juni GP Des (1)'!M32</f>
        <v>0</v>
      </c>
      <c r="M32" s="96">
        <f t="shared" si="30"/>
        <v>0</v>
      </c>
      <c r="N32" s="98">
        <f t="shared" si="4"/>
        <v>0</v>
      </c>
      <c r="O32" s="73"/>
      <c r="P32" s="73"/>
      <c r="Q32" s="96">
        <f t="shared" si="31"/>
        <v>0</v>
      </c>
      <c r="R32" s="96">
        <f t="shared" si="47"/>
        <v>0</v>
      </c>
      <c r="S32" s="96">
        <f t="shared" si="33"/>
        <v>0</v>
      </c>
      <c r="T32" s="96">
        <f>R32</f>
        <v>0</v>
      </c>
      <c r="U32" s="96">
        <f t="shared" si="35"/>
        <v>0</v>
      </c>
      <c r="V32" s="96">
        <f t="shared" si="36"/>
        <v>0</v>
      </c>
      <c r="W32" s="96">
        <v>0</v>
      </c>
      <c r="X32" s="96">
        <v>0</v>
      </c>
      <c r="Y32" s="96">
        <v>0</v>
      </c>
      <c r="Z32" s="96">
        <f t="shared" si="37"/>
        <v>0</v>
      </c>
      <c r="AA32" s="96">
        <v>0</v>
      </c>
      <c r="AB32" s="96">
        <v>0</v>
      </c>
      <c r="AC32" s="96">
        <v>0</v>
      </c>
      <c r="AD32" s="96">
        <f t="shared" si="38"/>
        <v>0</v>
      </c>
      <c r="AE32" s="96">
        <v>0</v>
      </c>
      <c r="AF32" s="96">
        <v>0</v>
      </c>
      <c r="AG32" s="96">
        <v>0</v>
      </c>
      <c r="AH32" s="96">
        <f t="shared" si="39"/>
        <v>0</v>
      </c>
      <c r="AI32" s="96">
        <v>0</v>
      </c>
      <c r="AJ32" s="96">
        <v>0</v>
      </c>
      <c r="AK32" s="96">
        <v>0</v>
      </c>
      <c r="AL32" s="96">
        <f t="shared" si="40"/>
        <v>0</v>
      </c>
      <c r="AM32" s="99"/>
    </row>
    <row r="33" spans="2:39" x14ac:dyDescent="0.35">
      <c r="B33" s="90" t="s">
        <v>244</v>
      </c>
      <c r="C33" s="95" t="s">
        <v>245</v>
      </c>
      <c r="D33" s="96">
        <f>'[1]AK Opr Juni GP Des (1)'!D33</f>
        <v>0</v>
      </c>
      <c r="E33" s="96">
        <v>0</v>
      </c>
      <c r="F33" s="96">
        <v>0</v>
      </c>
      <c r="G33" s="96">
        <v>0</v>
      </c>
      <c r="H33" s="97">
        <v>0</v>
      </c>
      <c r="I33" s="96">
        <f t="shared" si="29"/>
        <v>0</v>
      </c>
      <c r="J33" s="96">
        <v>0</v>
      </c>
      <c r="K33" s="96">
        <v>0</v>
      </c>
      <c r="L33" s="96">
        <v>0</v>
      </c>
      <c r="M33" s="96">
        <f t="shared" si="30"/>
        <v>0</v>
      </c>
      <c r="N33" s="98">
        <f t="shared" si="4"/>
        <v>0</v>
      </c>
      <c r="O33" s="73"/>
      <c r="P33" s="73"/>
      <c r="Q33" s="96">
        <f t="shared" si="31"/>
        <v>0</v>
      </c>
      <c r="R33" s="96">
        <v>4.6779999999999999</v>
      </c>
      <c r="S33" s="96">
        <f t="shared" si="33"/>
        <v>4.6779999999999999</v>
      </c>
      <c r="T33" s="96">
        <f>R33</f>
        <v>4.6779999999999999</v>
      </c>
      <c r="U33" s="96">
        <f t="shared" si="35"/>
        <v>9.3559999999999999</v>
      </c>
      <c r="V33" s="96">
        <f t="shared" si="36"/>
        <v>0</v>
      </c>
      <c r="W33" s="96">
        <v>0</v>
      </c>
      <c r="X33" s="96">
        <v>0</v>
      </c>
      <c r="Y33" s="96">
        <v>0</v>
      </c>
      <c r="Z33" s="96">
        <f t="shared" si="37"/>
        <v>0</v>
      </c>
      <c r="AA33" s="96">
        <v>0</v>
      </c>
      <c r="AB33" s="96">
        <v>0</v>
      </c>
      <c r="AC33" s="96">
        <v>0</v>
      </c>
      <c r="AD33" s="96">
        <f t="shared" si="38"/>
        <v>0</v>
      </c>
      <c r="AE33" s="96">
        <v>0</v>
      </c>
      <c r="AF33" s="96">
        <v>0</v>
      </c>
      <c r="AG33" s="96">
        <v>0</v>
      </c>
      <c r="AH33" s="96">
        <f t="shared" si="39"/>
        <v>0</v>
      </c>
      <c r="AI33" s="96">
        <v>0</v>
      </c>
      <c r="AJ33" s="96">
        <v>0</v>
      </c>
      <c r="AK33" s="96">
        <v>0</v>
      </c>
      <c r="AL33" s="96">
        <f t="shared" si="40"/>
        <v>0</v>
      </c>
      <c r="AM33" s="99"/>
    </row>
    <row r="34" spans="2:39" x14ac:dyDescent="0.35">
      <c r="B34" s="90"/>
      <c r="C34" s="100" t="s">
        <v>246</v>
      </c>
      <c r="D34" s="101">
        <f>'[1]AK Opr Juni GP Des (1)'!D34</f>
        <v>22723</v>
      </c>
      <c r="E34" s="101">
        <f t="shared" ref="E34:M34" si="48">SUM(E23:E33)</f>
        <v>9496.5188390000003</v>
      </c>
      <c r="F34" s="101">
        <f t="shared" si="48"/>
        <v>2065.7693260000001</v>
      </c>
      <c r="G34" s="101">
        <f t="shared" si="48"/>
        <v>758.87603200000001</v>
      </c>
      <c r="H34" s="101">
        <f t="shared" si="48"/>
        <v>836.61632699999996</v>
      </c>
      <c r="I34" s="101">
        <f t="shared" si="48"/>
        <v>13157.780524</v>
      </c>
      <c r="J34" s="101">
        <f t="shared" si="48"/>
        <v>214</v>
      </c>
      <c r="K34" s="101">
        <f t="shared" si="48"/>
        <v>214</v>
      </c>
      <c r="L34" s="101">
        <f t="shared" si="48"/>
        <v>214</v>
      </c>
      <c r="M34" s="101">
        <f t="shared" si="48"/>
        <v>642</v>
      </c>
      <c r="N34" s="103">
        <f t="shared" si="4"/>
        <v>10138.518839</v>
      </c>
      <c r="O34" s="73"/>
      <c r="P34" s="73"/>
      <c r="Q34" s="104">
        <f t="shared" ref="Q34:T34" si="49">SUM(Q23:Q33)</f>
        <v>305.10000000000002</v>
      </c>
      <c r="R34" s="104">
        <f t="shared" si="49"/>
        <v>246.46600000000001</v>
      </c>
      <c r="S34" s="104">
        <f t="shared" si="33"/>
        <v>13709.346524</v>
      </c>
      <c r="T34" s="104">
        <f t="shared" si="49"/>
        <v>54.677999999999997</v>
      </c>
      <c r="U34" s="104">
        <f t="shared" si="35"/>
        <v>13764.024524</v>
      </c>
      <c r="V34" s="101">
        <f t="shared" ref="V34:AL34" si="50">SUM(V23:V33)</f>
        <v>139263.727813</v>
      </c>
      <c r="W34" s="101">
        <f t="shared" si="50"/>
        <v>100</v>
      </c>
      <c r="X34" s="101">
        <f t="shared" si="50"/>
        <v>100</v>
      </c>
      <c r="Y34" s="101">
        <f t="shared" si="50"/>
        <v>1100</v>
      </c>
      <c r="Z34" s="101">
        <f t="shared" si="50"/>
        <v>1300</v>
      </c>
      <c r="AA34" s="101">
        <f t="shared" si="50"/>
        <v>50</v>
      </c>
      <c r="AB34" s="101">
        <f t="shared" si="50"/>
        <v>50</v>
      </c>
      <c r="AC34" s="101">
        <f t="shared" si="50"/>
        <v>136613.727813</v>
      </c>
      <c r="AD34" s="101">
        <f t="shared" si="50"/>
        <v>136713.727813</v>
      </c>
      <c r="AE34" s="101">
        <f t="shared" si="50"/>
        <v>1000</v>
      </c>
      <c r="AF34" s="101">
        <f t="shared" si="50"/>
        <v>50</v>
      </c>
      <c r="AG34" s="101">
        <f t="shared" si="50"/>
        <v>50</v>
      </c>
      <c r="AH34" s="101">
        <f t="shared" si="50"/>
        <v>1100</v>
      </c>
      <c r="AI34" s="101">
        <f t="shared" si="50"/>
        <v>50</v>
      </c>
      <c r="AJ34" s="101">
        <f t="shared" si="50"/>
        <v>50</v>
      </c>
      <c r="AK34" s="101">
        <f t="shared" si="50"/>
        <v>50</v>
      </c>
      <c r="AL34" s="101">
        <f t="shared" si="50"/>
        <v>150</v>
      </c>
    </row>
    <row r="35" spans="2:39" x14ac:dyDescent="0.35">
      <c r="B35" s="90" t="s">
        <v>247</v>
      </c>
      <c r="C35" s="95" t="s">
        <v>248</v>
      </c>
      <c r="D35" s="105"/>
      <c r="E35" s="105"/>
      <c r="F35" s="105"/>
      <c r="G35" s="105"/>
      <c r="H35" s="106"/>
      <c r="I35" s="105"/>
      <c r="J35" s="105"/>
      <c r="K35" s="105"/>
      <c r="L35" s="105"/>
      <c r="M35" s="105"/>
      <c r="N35" s="107"/>
      <c r="O35" s="73"/>
      <c r="P35" s="73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</row>
    <row r="36" spans="2:39" hidden="1" x14ac:dyDescent="0.35">
      <c r="B36" s="90" t="s">
        <v>209</v>
      </c>
      <c r="C36" s="95" t="s">
        <v>249</v>
      </c>
      <c r="D36" s="96">
        <f>'[1]AK Opr Juni GP Des (1)'!D36</f>
        <v>0</v>
      </c>
      <c r="E36" s="96">
        <f>'[1]AK Opr Juni GP Des (1)'!E36</f>
        <v>0</v>
      </c>
      <c r="F36" s="96"/>
      <c r="G36" s="96"/>
      <c r="H36" s="97"/>
      <c r="I36" s="96"/>
      <c r="J36" s="96">
        <f>'[1]AK Opr Juni GP Des (1)'!K36</f>
        <v>0</v>
      </c>
      <c r="K36" s="96">
        <f>'[1]AK Opr Juni GP Des (1)'!L36</f>
        <v>0</v>
      </c>
      <c r="L36" s="96">
        <f>'[1]AK Opr Juni GP Des (1)'!M36</f>
        <v>0</v>
      </c>
      <c r="M36" s="96">
        <f>SUM(F36:L36)</f>
        <v>0</v>
      </c>
      <c r="N36" s="98">
        <f t="shared" ref="N36:N56" si="51">M36+E36</f>
        <v>0</v>
      </c>
      <c r="O36" s="73"/>
      <c r="P36" s="73"/>
      <c r="Q36" s="96"/>
      <c r="R36" s="96"/>
      <c r="S36" s="96"/>
      <c r="T36" s="96"/>
      <c r="U36" s="96"/>
      <c r="V36" s="96"/>
      <c r="W36" s="96">
        <f t="shared" si="13"/>
        <v>0</v>
      </c>
      <c r="X36" s="96">
        <f t="shared" si="14"/>
        <v>0</v>
      </c>
      <c r="Y36" s="96">
        <f t="shared" si="14"/>
        <v>0</v>
      </c>
      <c r="Z36" s="96"/>
      <c r="AA36" s="96">
        <f t="shared" ref="AA36:AC37" si="52">Z36+M36</f>
        <v>0</v>
      </c>
      <c r="AB36" s="96">
        <f t="shared" si="52"/>
        <v>0</v>
      </c>
      <c r="AC36" s="96">
        <f t="shared" si="52"/>
        <v>0</v>
      </c>
      <c r="AD36" s="96"/>
      <c r="AE36" s="96">
        <f t="shared" ref="AE36:AG37" si="53">AD36+Q36</f>
        <v>0</v>
      </c>
      <c r="AF36" s="96">
        <f t="shared" si="53"/>
        <v>0</v>
      </c>
      <c r="AG36" s="96">
        <f t="shared" si="53"/>
        <v>0</v>
      </c>
      <c r="AH36" s="96"/>
      <c r="AI36" s="96">
        <f t="shared" ref="AI36:AI37" si="54">AH36+U36</f>
        <v>0</v>
      </c>
      <c r="AJ36" s="96">
        <f t="shared" ref="AJ36:AK37" si="55">AI36+W36</f>
        <v>0</v>
      </c>
      <c r="AK36" s="96">
        <f t="shared" si="55"/>
        <v>0</v>
      </c>
      <c r="AL36" s="96"/>
    </row>
    <row r="37" spans="2:39" hidden="1" x14ac:dyDescent="0.35">
      <c r="B37" s="90" t="s">
        <v>211</v>
      </c>
      <c r="C37" s="95" t="s">
        <v>250</v>
      </c>
      <c r="D37" s="96">
        <f>'[1]AK Opr Juni GP Des (1)'!D37</f>
        <v>0</v>
      </c>
      <c r="E37" s="96">
        <f>'[1]AK Opr Juni GP Des (1)'!E37</f>
        <v>0</v>
      </c>
      <c r="F37" s="96"/>
      <c r="G37" s="96"/>
      <c r="H37" s="97"/>
      <c r="I37" s="96"/>
      <c r="J37" s="96">
        <f>'[1]AK Opr Juni GP Des (1)'!K37</f>
        <v>0</v>
      </c>
      <c r="K37" s="96">
        <f>'[1]AK Opr Juni GP Des (1)'!L37</f>
        <v>0</v>
      </c>
      <c r="L37" s="96">
        <f>'[1]AK Opr Juni GP Des (1)'!M37</f>
        <v>0</v>
      </c>
      <c r="M37" s="96">
        <f>SUM(F37:L37)</f>
        <v>0</v>
      </c>
      <c r="N37" s="98">
        <f t="shared" si="51"/>
        <v>0</v>
      </c>
      <c r="O37" s="73"/>
      <c r="P37" s="73"/>
      <c r="Q37" s="96"/>
      <c r="R37" s="96"/>
      <c r="S37" s="96"/>
      <c r="T37" s="96"/>
      <c r="U37" s="96"/>
      <c r="V37" s="96"/>
      <c r="W37" s="96">
        <f t="shared" si="13"/>
        <v>0</v>
      </c>
      <c r="X37" s="96">
        <f t="shared" si="14"/>
        <v>0</v>
      </c>
      <c r="Y37" s="96">
        <f t="shared" si="14"/>
        <v>0</v>
      </c>
      <c r="Z37" s="96"/>
      <c r="AA37" s="96">
        <f t="shared" si="52"/>
        <v>0</v>
      </c>
      <c r="AB37" s="96">
        <f t="shared" si="52"/>
        <v>0</v>
      </c>
      <c r="AC37" s="96">
        <f t="shared" si="52"/>
        <v>0</v>
      </c>
      <c r="AD37" s="96"/>
      <c r="AE37" s="96">
        <f t="shared" si="53"/>
        <v>0</v>
      </c>
      <c r="AF37" s="96">
        <f t="shared" si="53"/>
        <v>0</v>
      </c>
      <c r="AG37" s="96">
        <f t="shared" si="53"/>
        <v>0</v>
      </c>
      <c r="AH37" s="96"/>
      <c r="AI37" s="96">
        <f t="shared" si="54"/>
        <v>0</v>
      </c>
      <c r="AJ37" s="96">
        <f t="shared" si="55"/>
        <v>0</v>
      </c>
      <c r="AK37" s="96">
        <f t="shared" si="55"/>
        <v>0</v>
      </c>
      <c r="AL37" s="96"/>
    </row>
    <row r="38" spans="2:39" x14ac:dyDescent="0.35">
      <c r="B38" s="90" t="s">
        <v>213</v>
      </c>
      <c r="C38" s="95" t="s">
        <v>251</v>
      </c>
      <c r="D38" s="96">
        <f>'[1]AK Opr Juni GP Des (1)'!D38</f>
        <v>0</v>
      </c>
      <c r="E38" s="96">
        <v>0</v>
      </c>
      <c r="F38" s="96">
        <v>18.645</v>
      </c>
      <c r="G38" s="96">
        <v>84.884</v>
      </c>
      <c r="H38" s="97">
        <v>0</v>
      </c>
      <c r="I38" s="96">
        <f t="shared" ref="I38:I53" si="56">H38+G38+F38+E38</f>
        <v>103.529</v>
      </c>
      <c r="J38" s="96">
        <f>'[1]AK Opr Juni GP Des (1)'!K38</f>
        <v>0</v>
      </c>
      <c r="K38" s="96">
        <f>'[1]AK Opr Juni GP Des (1)'!L38</f>
        <v>0</v>
      </c>
      <c r="L38" s="96">
        <f>'[1]AK Opr Juni GP Des (1)'!M38</f>
        <v>0</v>
      </c>
      <c r="M38" s="96">
        <f t="shared" ref="M38:M53" si="57">J38+K38+L38</f>
        <v>0</v>
      </c>
      <c r="N38" s="98">
        <f t="shared" si="51"/>
        <v>0</v>
      </c>
      <c r="O38" s="73"/>
      <c r="P38" s="73"/>
      <c r="Q38" s="96">
        <v>217.577</v>
      </c>
      <c r="R38" s="96">
        <v>138.5</v>
      </c>
      <c r="S38" s="96">
        <f t="shared" ref="S38:S56" si="58">R38+Q38+I38</f>
        <v>459.60599999999999</v>
      </c>
      <c r="T38" s="96">
        <f t="shared" ref="T38:T48" si="59">R38</f>
        <v>138.5</v>
      </c>
      <c r="U38" s="96">
        <f t="shared" ref="U38:U56" si="60">S38+T38</f>
        <v>598.10599999999999</v>
      </c>
      <c r="V38" s="96">
        <f t="shared" ref="V38:V53" si="61">AL38+AH38+AD38+Z38</f>
        <v>0</v>
      </c>
      <c r="W38" s="96">
        <v>0</v>
      </c>
      <c r="X38" s="96">
        <v>0</v>
      </c>
      <c r="Y38" s="96">
        <v>0</v>
      </c>
      <c r="Z38" s="96">
        <f t="shared" ref="Z38:Z53" si="62">Y38+X38+W38</f>
        <v>0</v>
      </c>
      <c r="AA38" s="96">
        <v>0</v>
      </c>
      <c r="AB38" s="96">
        <v>0</v>
      </c>
      <c r="AC38" s="96">
        <v>0</v>
      </c>
      <c r="AD38" s="96">
        <f t="shared" ref="AD38:AD53" si="63">AC38+AB38+AA38</f>
        <v>0</v>
      </c>
      <c r="AE38" s="96">
        <v>0</v>
      </c>
      <c r="AF38" s="96">
        <v>0</v>
      </c>
      <c r="AG38" s="96">
        <v>0</v>
      </c>
      <c r="AH38" s="96">
        <f t="shared" ref="AH38:AH53" si="64">AG38+AF38+AE38</f>
        <v>0</v>
      </c>
      <c r="AI38" s="96">
        <v>0</v>
      </c>
      <c r="AJ38" s="96">
        <v>0</v>
      </c>
      <c r="AK38" s="96">
        <v>0</v>
      </c>
      <c r="AL38" s="96">
        <f t="shared" ref="AL38:AL53" si="65">AK38+AJ38+AI38</f>
        <v>0</v>
      </c>
      <c r="AM38" s="99"/>
    </row>
    <row r="39" spans="2:39" x14ac:dyDescent="0.35">
      <c r="B39" s="90" t="s">
        <v>221</v>
      </c>
      <c r="C39" s="95" t="s">
        <v>252</v>
      </c>
      <c r="D39" s="96">
        <f>'[1]AK Opr Juni GP Des (1)'!D39</f>
        <v>0</v>
      </c>
      <c r="E39" s="96">
        <v>0</v>
      </c>
      <c r="F39" s="96">
        <v>196</v>
      </c>
      <c r="G39" s="96">
        <v>0</v>
      </c>
      <c r="H39" s="97">
        <v>107.1</v>
      </c>
      <c r="I39" s="96">
        <f t="shared" si="56"/>
        <v>303.10000000000002</v>
      </c>
      <c r="J39" s="96">
        <f>'[1]AK Opr Juni GP Des (1)'!K39</f>
        <v>0</v>
      </c>
      <c r="K39" s="96">
        <f>'[1]AK Opr Juni GP Des (1)'!L39</f>
        <v>0</v>
      </c>
      <c r="L39" s="96">
        <f>'[1]AK Opr Juni GP Des (1)'!M39</f>
        <v>0</v>
      </c>
      <c r="M39" s="96">
        <f t="shared" si="57"/>
        <v>0</v>
      </c>
      <c r="N39" s="98">
        <f t="shared" si="51"/>
        <v>0</v>
      </c>
      <c r="O39" s="73"/>
      <c r="P39" s="73"/>
      <c r="Q39" s="96">
        <f t="shared" ref="Q39:Q40" si="66">O39+N39+M39+L39</f>
        <v>0</v>
      </c>
      <c r="R39" s="96">
        <f t="shared" ref="R39:R45" si="67">Q39</f>
        <v>0</v>
      </c>
      <c r="S39" s="96">
        <f t="shared" si="58"/>
        <v>303.10000000000002</v>
      </c>
      <c r="T39" s="96">
        <f t="shared" si="59"/>
        <v>0</v>
      </c>
      <c r="U39" s="96">
        <f t="shared" si="60"/>
        <v>303.10000000000002</v>
      </c>
      <c r="V39" s="96">
        <f t="shared" si="61"/>
        <v>0</v>
      </c>
      <c r="W39" s="96">
        <v>0</v>
      </c>
      <c r="X39" s="96">
        <v>0</v>
      </c>
      <c r="Y39" s="96">
        <v>0</v>
      </c>
      <c r="Z39" s="96">
        <f t="shared" si="62"/>
        <v>0</v>
      </c>
      <c r="AA39" s="96">
        <v>0</v>
      </c>
      <c r="AB39" s="96">
        <v>0</v>
      </c>
      <c r="AC39" s="96">
        <v>0</v>
      </c>
      <c r="AD39" s="96">
        <f t="shared" si="63"/>
        <v>0</v>
      </c>
      <c r="AE39" s="96">
        <v>0</v>
      </c>
      <c r="AF39" s="96">
        <v>0</v>
      </c>
      <c r="AG39" s="96">
        <v>0</v>
      </c>
      <c r="AH39" s="96">
        <f t="shared" si="64"/>
        <v>0</v>
      </c>
      <c r="AI39" s="96">
        <v>0</v>
      </c>
      <c r="AJ39" s="96">
        <v>0</v>
      </c>
      <c r="AK39" s="96">
        <v>0</v>
      </c>
      <c r="AL39" s="96">
        <f t="shared" si="65"/>
        <v>0</v>
      </c>
      <c r="AM39" s="99"/>
    </row>
    <row r="40" spans="2:39" x14ac:dyDescent="0.35">
      <c r="B40" s="90" t="s">
        <v>232</v>
      </c>
      <c r="C40" s="95" t="s">
        <v>253</v>
      </c>
      <c r="D40" s="96">
        <f>'[1]AK Opr Juni GP Des (1)'!D40</f>
        <v>0</v>
      </c>
      <c r="E40" s="96">
        <v>0</v>
      </c>
      <c r="F40" s="96">
        <v>0</v>
      </c>
      <c r="G40" s="96">
        <v>3.8843679999999998</v>
      </c>
      <c r="H40" s="97">
        <v>0</v>
      </c>
      <c r="I40" s="96">
        <f t="shared" si="56"/>
        <v>3.8843679999999998</v>
      </c>
      <c r="J40" s="96">
        <f>'[1]AK Opr Juni GP Des (1)'!K40</f>
        <v>0</v>
      </c>
      <c r="K40" s="96">
        <f>'[1]AK Opr Juni GP Des (1)'!L40</f>
        <v>0</v>
      </c>
      <c r="L40" s="96">
        <f>'[1]AK Opr Juni GP Des (1)'!M40</f>
        <v>0</v>
      </c>
      <c r="M40" s="96">
        <f t="shared" si="57"/>
        <v>0</v>
      </c>
      <c r="N40" s="98">
        <f t="shared" si="51"/>
        <v>0</v>
      </c>
      <c r="O40" s="73"/>
      <c r="P40" s="73"/>
      <c r="Q40" s="96">
        <f t="shared" si="66"/>
        <v>0</v>
      </c>
      <c r="R40" s="96">
        <f t="shared" si="67"/>
        <v>0</v>
      </c>
      <c r="S40" s="96">
        <f t="shared" si="58"/>
        <v>3.8843679999999998</v>
      </c>
      <c r="T40" s="96">
        <f t="shared" si="59"/>
        <v>0</v>
      </c>
      <c r="U40" s="96">
        <f t="shared" si="60"/>
        <v>3.8843679999999998</v>
      </c>
      <c r="V40" s="96">
        <f t="shared" si="61"/>
        <v>0</v>
      </c>
      <c r="W40" s="96">
        <v>0</v>
      </c>
      <c r="X40" s="96">
        <v>0</v>
      </c>
      <c r="Y40" s="96">
        <v>0</v>
      </c>
      <c r="Z40" s="96">
        <f t="shared" si="62"/>
        <v>0</v>
      </c>
      <c r="AA40" s="96">
        <v>0</v>
      </c>
      <c r="AB40" s="96">
        <v>0</v>
      </c>
      <c r="AC40" s="96">
        <v>0</v>
      </c>
      <c r="AD40" s="96">
        <f t="shared" si="63"/>
        <v>0</v>
      </c>
      <c r="AE40" s="96">
        <v>0</v>
      </c>
      <c r="AF40" s="96">
        <v>0</v>
      </c>
      <c r="AG40" s="96">
        <v>0</v>
      </c>
      <c r="AH40" s="96">
        <f t="shared" si="64"/>
        <v>0</v>
      </c>
      <c r="AI40" s="96">
        <v>0</v>
      </c>
      <c r="AJ40" s="96">
        <v>0</v>
      </c>
      <c r="AK40" s="96">
        <v>0</v>
      </c>
      <c r="AL40" s="96">
        <f t="shared" si="65"/>
        <v>0</v>
      </c>
      <c r="AM40" s="99"/>
    </row>
    <row r="41" spans="2:39" hidden="1" x14ac:dyDescent="0.35">
      <c r="B41" s="90" t="s">
        <v>234</v>
      </c>
      <c r="C41" s="95" t="s">
        <v>254</v>
      </c>
      <c r="D41" s="96">
        <f>'[1]AK Opr Juni GP Des (1)'!D41</f>
        <v>0</v>
      </c>
      <c r="E41" s="96">
        <v>0</v>
      </c>
      <c r="F41" s="96">
        <v>0</v>
      </c>
      <c r="G41" s="96">
        <v>0</v>
      </c>
      <c r="H41" s="97">
        <v>0</v>
      </c>
      <c r="I41" s="96">
        <f t="shared" si="56"/>
        <v>0</v>
      </c>
      <c r="J41" s="96">
        <f>'[1]AK Opr Juni GP Des (1)'!K41</f>
        <v>0</v>
      </c>
      <c r="K41" s="96">
        <f>'[1]AK Opr Juni GP Des (1)'!L41</f>
        <v>0</v>
      </c>
      <c r="L41" s="96">
        <f>'[1]AK Opr Juni GP Des (1)'!M41</f>
        <v>0</v>
      </c>
      <c r="M41" s="96">
        <f t="shared" si="57"/>
        <v>0</v>
      </c>
      <c r="N41" s="98">
        <f t="shared" si="51"/>
        <v>0</v>
      </c>
      <c r="O41" s="73"/>
      <c r="P41" s="73"/>
      <c r="Q41" s="96">
        <f t="shared" ref="Q41:Q53" si="68">H41</f>
        <v>0</v>
      </c>
      <c r="R41" s="96">
        <f t="shared" si="67"/>
        <v>0</v>
      </c>
      <c r="S41" s="96">
        <f t="shared" si="58"/>
        <v>0</v>
      </c>
      <c r="T41" s="96">
        <f t="shared" si="59"/>
        <v>0</v>
      </c>
      <c r="U41" s="96">
        <f t="shared" si="60"/>
        <v>0</v>
      </c>
      <c r="V41" s="96">
        <f t="shared" si="61"/>
        <v>0</v>
      </c>
      <c r="W41" s="96">
        <v>0</v>
      </c>
      <c r="X41" s="96">
        <v>0</v>
      </c>
      <c r="Y41" s="96">
        <v>0</v>
      </c>
      <c r="Z41" s="96">
        <f t="shared" si="62"/>
        <v>0</v>
      </c>
      <c r="AA41" s="96">
        <v>0</v>
      </c>
      <c r="AB41" s="96">
        <v>0</v>
      </c>
      <c r="AC41" s="96">
        <v>0</v>
      </c>
      <c r="AD41" s="96">
        <f t="shared" si="63"/>
        <v>0</v>
      </c>
      <c r="AE41" s="96">
        <v>0</v>
      </c>
      <c r="AF41" s="96">
        <v>0</v>
      </c>
      <c r="AG41" s="96">
        <v>0</v>
      </c>
      <c r="AH41" s="96">
        <f t="shared" si="64"/>
        <v>0</v>
      </c>
      <c r="AI41" s="96">
        <v>0</v>
      </c>
      <c r="AJ41" s="96">
        <v>0</v>
      </c>
      <c r="AK41" s="96">
        <v>0</v>
      </c>
      <c r="AL41" s="96">
        <f t="shared" si="65"/>
        <v>0</v>
      </c>
      <c r="AM41" s="99"/>
    </row>
    <row r="42" spans="2:39" hidden="1" x14ac:dyDescent="0.35">
      <c r="B42" s="90" t="s">
        <v>236</v>
      </c>
      <c r="C42" s="95" t="s">
        <v>255</v>
      </c>
      <c r="D42" s="96">
        <f>'[1]AK Opr Juni GP Des (1)'!D42</f>
        <v>0</v>
      </c>
      <c r="E42" s="96">
        <f>'[1]AK Opr Juni GP Des (1)'!E42</f>
        <v>0</v>
      </c>
      <c r="F42" s="96"/>
      <c r="G42" s="96"/>
      <c r="H42" s="97"/>
      <c r="I42" s="96">
        <f t="shared" si="56"/>
        <v>0</v>
      </c>
      <c r="J42" s="96">
        <f>'[1]AK Opr Juni GP Des (1)'!K42</f>
        <v>0</v>
      </c>
      <c r="K42" s="96">
        <f>'[1]AK Opr Juni GP Des (1)'!L42</f>
        <v>0</v>
      </c>
      <c r="L42" s="96">
        <f>'[1]AK Opr Juni GP Des (1)'!M42</f>
        <v>0</v>
      </c>
      <c r="M42" s="96">
        <f t="shared" si="57"/>
        <v>0</v>
      </c>
      <c r="N42" s="98">
        <f t="shared" si="51"/>
        <v>0</v>
      </c>
      <c r="O42" s="73"/>
      <c r="P42" s="73"/>
      <c r="Q42" s="96">
        <f t="shared" si="68"/>
        <v>0</v>
      </c>
      <c r="R42" s="96">
        <f t="shared" si="67"/>
        <v>0</v>
      </c>
      <c r="S42" s="96">
        <f t="shared" si="58"/>
        <v>0</v>
      </c>
      <c r="T42" s="96">
        <f t="shared" si="59"/>
        <v>0</v>
      </c>
      <c r="U42" s="96">
        <f t="shared" si="60"/>
        <v>0</v>
      </c>
      <c r="V42" s="96">
        <f t="shared" si="61"/>
        <v>0</v>
      </c>
      <c r="W42" s="96">
        <v>0</v>
      </c>
      <c r="X42" s="96">
        <v>0</v>
      </c>
      <c r="Y42" s="96">
        <v>0</v>
      </c>
      <c r="Z42" s="96">
        <f t="shared" si="62"/>
        <v>0</v>
      </c>
      <c r="AA42" s="96">
        <v>0</v>
      </c>
      <c r="AB42" s="96">
        <v>0</v>
      </c>
      <c r="AC42" s="96">
        <v>0</v>
      </c>
      <c r="AD42" s="96">
        <f t="shared" si="63"/>
        <v>0</v>
      </c>
      <c r="AE42" s="96">
        <v>0</v>
      </c>
      <c r="AF42" s="96">
        <v>0</v>
      </c>
      <c r="AG42" s="96">
        <v>0</v>
      </c>
      <c r="AH42" s="96">
        <f t="shared" si="64"/>
        <v>0</v>
      </c>
      <c r="AI42" s="96">
        <v>0</v>
      </c>
      <c r="AJ42" s="96">
        <v>0</v>
      </c>
      <c r="AK42" s="96">
        <v>0</v>
      </c>
      <c r="AL42" s="96">
        <f t="shared" si="65"/>
        <v>0</v>
      </c>
      <c r="AM42" s="99"/>
    </row>
    <row r="43" spans="2:39" hidden="1" x14ac:dyDescent="0.35">
      <c r="B43" s="90" t="s">
        <v>238</v>
      </c>
      <c r="C43" s="95" t="s">
        <v>256</v>
      </c>
      <c r="D43" s="96">
        <f>'[1]AK Opr Juni GP Des (1)'!D43</f>
        <v>0</v>
      </c>
      <c r="E43" s="96">
        <f>'[1]AK Opr Juni GP Des (1)'!E43</f>
        <v>0</v>
      </c>
      <c r="F43" s="96"/>
      <c r="G43" s="96"/>
      <c r="H43" s="97"/>
      <c r="I43" s="96">
        <f t="shared" si="56"/>
        <v>0</v>
      </c>
      <c r="J43" s="96">
        <f>'[1]AK Opr Juni GP Des (1)'!K43</f>
        <v>0</v>
      </c>
      <c r="K43" s="96">
        <f>'[1]AK Opr Juni GP Des (1)'!L43</f>
        <v>0</v>
      </c>
      <c r="L43" s="96">
        <f>'[1]AK Opr Juni GP Des (1)'!M43</f>
        <v>0</v>
      </c>
      <c r="M43" s="96">
        <f t="shared" si="57"/>
        <v>0</v>
      </c>
      <c r="N43" s="98">
        <f t="shared" si="51"/>
        <v>0</v>
      </c>
      <c r="O43" s="73"/>
      <c r="P43" s="73"/>
      <c r="Q43" s="96">
        <f t="shared" si="68"/>
        <v>0</v>
      </c>
      <c r="R43" s="96">
        <f t="shared" si="67"/>
        <v>0</v>
      </c>
      <c r="S43" s="96">
        <f t="shared" si="58"/>
        <v>0</v>
      </c>
      <c r="T43" s="96">
        <f t="shared" si="59"/>
        <v>0</v>
      </c>
      <c r="U43" s="96">
        <f t="shared" si="60"/>
        <v>0</v>
      </c>
      <c r="V43" s="96">
        <f t="shared" si="61"/>
        <v>0</v>
      </c>
      <c r="W43" s="96">
        <v>0</v>
      </c>
      <c r="X43" s="96">
        <v>0</v>
      </c>
      <c r="Y43" s="96">
        <v>0</v>
      </c>
      <c r="Z43" s="96">
        <f t="shared" si="62"/>
        <v>0</v>
      </c>
      <c r="AA43" s="96">
        <v>0</v>
      </c>
      <c r="AB43" s="96">
        <v>0</v>
      </c>
      <c r="AC43" s="96">
        <v>0</v>
      </c>
      <c r="AD43" s="96">
        <f t="shared" si="63"/>
        <v>0</v>
      </c>
      <c r="AE43" s="96">
        <v>0</v>
      </c>
      <c r="AF43" s="96">
        <v>0</v>
      </c>
      <c r="AG43" s="96">
        <v>0</v>
      </c>
      <c r="AH43" s="96">
        <f t="shared" si="64"/>
        <v>0</v>
      </c>
      <c r="AI43" s="96">
        <v>0</v>
      </c>
      <c r="AJ43" s="96">
        <v>0</v>
      </c>
      <c r="AK43" s="96">
        <v>0</v>
      </c>
      <c r="AL43" s="96">
        <f t="shared" si="65"/>
        <v>0</v>
      </c>
      <c r="AM43" s="99"/>
    </row>
    <row r="44" spans="2:39" hidden="1" x14ac:dyDescent="0.35">
      <c r="B44" s="90" t="s">
        <v>240</v>
      </c>
      <c r="C44" s="95" t="s">
        <v>257</v>
      </c>
      <c r="D44" s="96">
        <f>'[1]AK Opr Juni GP Des (1)'!D44</f>
        <v>0</v>
      </c>
      <c r="E44" s="96">
        <f>'[1]AK Opr Juni GP Des (1)'!E44</f>
        <v>0</v>
      </c>
      <c r="F44" s="96"/>
      <c r="G44" s="96"/>
      <c r="H44" s="97"/>
      <c r="I44" s="96">
        <f t="shared" si="56"/>
        <v>0</v>
      </c>
      <c r="J44" s="96">
        <f>'[1]AK Opr Juni GP Des (1)'!K44</f>
        <v>0</v>
      </c>
      <c r="K44" s="96">
        <f>'[1]AK Opr Juni GP Des (1)'!L44</f>
        <v>0</v>
      </c>
      <c r="L44" s="96">
        <f>'[1]AK Opr Juni GP Des (1)'!M44</f>
        <v>0</v>
      </c>
      <c r="M44" s="96">
        <f t="shared" si="57"/>
        <v>0</v>
      </c>
      <c r="N44" s="98">
        <f t="shared" si="51"/>
        <v>0</v>
      </c>
      <c r="O44" s="73"/>
      <c r="P44" s="73"/>
      <c r="Q44" s="96">
        <f t="shared" si="68"/>
        <v>0</v>
      </c>
      <c r="R44" s="96">
        <f t="shared" si="67"/>
        <v>0</v>
      </c>
      <c r="S44" s="96">
        <f t="shared" si="58"/>
        <v>0</v>
      </c>
      <c r="T44" s="96">
        <f t="shared" si="59"/>
        <v>0</v>
      </c>
      <c r="U44" s="96">
        <f t="shared" si="60"/>
        <v>0</v>
      </c>
      <c r="V44" s="96">
        <f t="shared" si="61"/>
        <v>0</v>
      </c>
      <c r="W44" s="96">
        <v>0</v>
      </c>
      <c r="X44" s="96">
        <v>0</v>
      </c>
      <c r="Y44" s="96">
        <v>0</v>
      </c>
      <c r="Z44" s="96">
        <f t="shared" si="62"/>
        <v>0</v>
      </c>
      <c r="AA44" s="96">
        <v>0</v>
      </c>
      <c r="AB44" s="96">
        <v>0</v>
      </c>
      <c r="AC44" s="96">
        <v>0</v>
      </c>
      <c r="AD44" s="96">
        <f t="shared" si="63"/>
        <v>0</v>
      </c>
      <c r="AE44" s="96">
        <v>0</v>
      </c>
      <c r="AF44" s="96">
        <v>0</v>
      </c>
      <c r="AG44" s="96">
        <v>0</v>
      </c>
      <c r="AH44" s="96">
        <f t="shared" si="64"/>
        <v>0</v>
      </c>
      <c r="AI44" s="96">
        <v>0</v>
      </c>
      <c r="AJ44" s="96">
        <v>0</v>
      </c>
      <c r="AK44" s="96">
        <v>0</v>
      </c>
      <c r="AL44" s="96">
        <f t="shared" si="65"/>
        <v>0</v>
      </c>
      <c r="AM44" s="99"/>
    </row>
    <row r="45" spans="2:39" hidden="1" x14ac:dyDescent="0.35">
      <c r="B45" s="90" t="s">
        <v>242</v>
      </c>
      <c r="C45" s="95" t="s">
        <v>237</v>
      </c>
      <c r="D45" s="96">
        <f>'[1]AK Opr Juni GP Des (1)'!D45</f>
        <v>0</v>
      </c>
      <c r="E45" s="96">
        <f>'[1]AK Opr Juni GP Des (1)'!E45</f>
        <v>0</v>
      </c>
      <c r="F45" s="96"/>
      <c r="G45" s="96"/>
      <c r="H45" s="97"/>
      <c r="I45" s="96">
        <f t="shared" si="56"/>
        <v>0</v>
      </c>
      <c r="J45" s="96">
        <f>'[1]AK Opr Juni GP Des (1)'!K45</f>
        <v>0</v>
      </c>
      <c r="K45" s="96">
        <f>'[1]AK Opr Juni GP Des (1)'!L45</f>
        <v>0</v>
      </c>
      <c r="L45" s="96">
        <f>'[1]AK Opr Juni GP Des (1)'!M45</f>
        <v>0</v>
      </c>
      <c r="M45" s="96">
        <f t="shared" si="57"/>
        <v>0</v>
      </c>
      <c r="N45" s="98">
        <f t="shared" si="51"/>
        <v>0</v>
      </c>
      <c r="O45" s="73"/>
      <c r="P45" s="73"/>
      <c r="Q45" s="96">
        <f t="shared" si="68"/>
        <v>0</v>
      </c>
      <c r="R45" s="96">
        <f t="shared" si="67"/>
        <v>0</v>
      </c>
      <c r="S45" s="96">
        <f t="shared" si="58"/>
        <v>0</v>
      </c>
      <c r="T45" s="96">
        <f t="shared" si="59"/>
        <v>0</v>
      </c>
      <c r="U45" s="96">
        <f t="shared" si="60"/>
        <v>0</v>
      </c>
      <c r="V45" s="96">
        <f t="shared" si="61"/>
        <v>0</v>
      </c>
      <c r="W45" s="96">
        <v>0</v>
      </c>
      <c r="X45" s="96">
        <v>0</v>
      </c>
      <c r="Y45" s="96">
        <v>0</v>
      </c>
      <c r="Z45" s="96">
        <f t="shared" si="62"/>
        <v>0</v>
      </c>
      <c r="AA45" s="96">
        <v>0</v>
      </c>
      <c r="AB45" s="96">
        <v>0</v>
      </c>
      <c r="AC45" s="96">
        <v>0</v>
      </c>
      <c r="AD45" s="96">
        <f t="shared" si="63"/>
        <v>0</v>
      </c>
      <c r="AE45" s="96">
        <v>0</v>
      </c>
      <c r="AF45" s="96">
        <v>0</v>
      </c>
      <c r="AG45" s="96">
        <v>0</v>
      </c>
      <c r="AH45" s="96">
        <f t="shared" si="64"/>
        <v>0</v>
      </c>
      <c r="AI45" s="96">
        <v>0</v>
      </c>
      <c r="AJ45" s="96">
        <v>0</v>
      </c>
      <c r="AK45" s="96">
        <v>0</v>
      </c>
      <c r="AL45" s="96">
        <f t="shared" si="65"/>
        <v>0</v>
      </c>
      <c r="AM45" s="99"/>
    </row>
    <row r="46" spans="2:39" x14ac:dyDescent="0.35">
      <c r="B46" s="90" t="s">
        <v>244</v>
      </c>
      <c r="C46" s="95" t="s">
        <v>258</v>
      </c>
      <c r="D46" s="96">
        <f>'[1]AK Opr Juni GP Des (1)'!D46</f>
        <v>118975</v>
      </c>
      <c r="E46" s="96">
        <v>6641.0624719999996</v>
      </c>
      <c r="F46" s="96">
        <v>23.876033</v>
      </c>
      <c r="G46" s="96">
        <v>15.214543000000001</v>
      </c>
      <c r="H46" s="97">
        <v>12.541257</v>
      </c>
      <c r="I46" s="96">
        <f t="shared" si="56"/>
        <v>6692.694305</v>
      </c>
      <c r="J46" s="96">
        <f>200</f>
        <v>200</v>
      </c>
      <c r="K46" s="96">
        <f>200</f>
        <v>200</v>
      </c>
      <c r="L46" s="96">
        <f>200</f>
        <v>200</v>
      </c>
      <c r="M46" s="96">
        <f t="shared" si="57"/>
        <v>600</v>
      </c>
      <c r="N46" s="98">
        <f t="shared" si="51"/>
        <v>7241.0624719999996</v>
      </c>
      <c r="O46" s="73"/>
      <c r="P46" s="73"/>
      <c r="Q46" s="96">
        <v>299.83600000000001</v>
      </c>
      <c r="R46" s="96">
        <v>1357.107</v>
      </c>
      <c r="S46" s="96">
        <f t="shared" si="58"/>
        <v>8349.6373050000002</v>
      </c>
      <c r="T46" s="96">
        <f t="shared" si="59"/>
        <v>1357.107</v>
      </c>
      <c r="U46" s="96">
        <f t="shared" si="60"/>
        <v>9706.7443050000002</v>
      </c>
      <c r="V46" s="96">
        <f t="shared" si="61"/>
        <v>0</v>
      </c>
      <c r="W46" s="96">
        <v>0</v>
      </c>
      <c r="X46" s="96">
        <v>0</v>
      </c>
      <c r="Y46" s="96">
        <v>0</v>
      </c>
      <c r="Z46" s="96">
        <f t="shared" si="62"/>
        <v>0</v>
      </c>
      <c r="AA46" s="96">
        <v>0</v>
      </c>
      <c r="AB46" s="96">
        <v>0</v>
      </c>
      <c r="AC46" s="96">
        <v>0</v>
      </c>
      <c r="AD46" s="96">
        <f t="shared" si="63"/>
        <v>0</v>
      </c>
      <c r="AE46" s="96">
        <v>0</v>
      </c>
      <c r="AF46" s="96">
        <v>0</v>
      </c>
      <c r="AG46" s="96">
        <v>0</v>
      </c>
      <c r="AH46" s="96">
        <f t="shared" si="64"/>
        <v>0</v>
      </c>
      <c r="AI46" s="96">
        <v>0</v>
      </c>
      <c r="AJ46" s="96">
        <v>0</v>
      </c>
      <c r="AK46" s="96">
        <v>0</v>
      </c>
      <c r="AL46" s="96">
        <f t="shared" si="65"/>
        <v>0</v>
      </c>
      <c r="AM46" s="99"/>
    </row>
    <row r="47" spans="2:39" hidden="1" x14ac:dyDescent="0.35">
      <c r="B47" s="90" t="s">
        <v>259</v>
      </c>
      <c r="C47" s="95" t="s">
        <v>260</v>
      </c>
      <c r="D47" s="96">
        <f>'[1]AK Opr Juni GP Des (1)'!D47</f>
        <v>0</v>
      </c>
      <c r="E47" s="96">
        <f>'[1]AK Opr Juni GP Des (1)'!E47</f>
        <v>0</v>
      </c>
      <c r="F47" s="96"/>
      <c r="G47" s="96"/>
      <c r="H47" s="97"/>
      <c r="I47" s="96">
        <f t="shared" si="56"/>
        <v>0</v>
      </c>
      <c r="J47" s="96">
        <f>'[1]AK Opr Juni GP Des (1)'!K47</f>
        <v>0</v>
      </c>
      <c r="K47" s="96">
        <f>'[1]AK Opr Juni GP Des (1)'!L47</f>
        <v>0</v>
      </c>
      <c r="L47" s="96">
        <f>'[1]AK Opr Juni GP Des (1)'!M47</f>
        <v>0</v>
      </c>
      <c r="M47" s="96">
        <f t="shared" si="57"/>
        <v>0</v>
      </c>
      <c r="N47" s="98">
        <f t="shared" si="51"/>
        <v>0</v>
      </c>
      <c r="O47" s="73"/>
      <c r="P47" s="73"/>
      <c r="Q47" s="96">
        <f t="shared" si="68"/>
        <v>0</v>
      </c>
      <c r="R47" s="96">
        <f t="shared" ref="R47:R48" si="69">Q47</f>
        <v>0</v>
      </c>
      <c r="S47" s="96">
        <f t="shared" si="58"/>
        <v>0</v>
      </c>
      <c r="T47" s="96">
        <f t="shared" si="59"/>
        <v>0</v>
      </c>
      <c r="U47" s="96">
        <f t="shared" si="60"/>
        <v>0</v>
      </c>
      <c r="V47" s="96">
        <f t="shared" si="61"/>
        <v>0</v>
      </c>
      <c r="W47" s="96">
        <v>0</v>
      </c>
      <c r="X47" s="96">
        <v>0</v>
      </c>
      <c r="Y47" s="96">
        <v>0</v>
      </c>
      <c r="Z47" s="96">
        <f t="shared" si="62"/>
        <v>0</v>
      </c>
      <c r="AA47" s="96">
        <v>0</v>
      </c>
      <c r="AB47" s="96">
        <v>0</v>
      </c>
      <c r="AC47" s="96">
        <v>0</v>
      </c>
      <c r="AD47" s="96">
        <f t="shared" si="63"/>
        <v>0</v>
      </c>
      <c r="AE47" s="96">
        <v>0</v>
      </c>
      <c r="AF47" s="96">
        <v>0</v>
      </c>
      <c r="AG47" s="96">
        <v>0</v>
      </c>
      <c r="AH47" s="96">
        <f t="shared" si="64"/>
        <v>0</v>
      </c>
      <c r="AI47" s="96">
        <v>0</v>
      </c>
      <c r="AJ47" s="96">
        <v>0</v>
      </c>
      <c r="AK47" s="96">
        <v>0</v>
      </c>
      <c r="AL47" s="96">
        <f t="shared" si="65"/>
        <v>0</v>
      </c>
      <c r="AM47" s="99"/>
    </row>
    <row r="48" spans="2:39" x14ac:dyDescent="0.35">
      <c r="B48" s="90" t="s">
        <v>261</v>
      </c>
      <c r="C48" s="95" t="s">
        <v>262</v>
      </c>
      <c r="D48" s="96">
        <f>'[1]AK Opr Juni GP Des (1)'!D48</f>
        <v>0</v>
      </c>
      <c r="E48" s="96">
        <v>2340.7732999999998</v>
      </c>
      <c r="F48" s="96">
        <v>0</v>
      </c>
      <c r="G48" s="96">
        <v>42049.525086000001</v>
      </c>
      <c r="H48" s="97">
        <v>0</v>
      </c>
      <c r="I48" s="96">
        <f t="shared" si="56"/>
        <v>44390.298386000002</v>
      </c>
      <c r="J48" s="96">
        <f>'[1]AK Opr Juni GP Des (1)'!K48</f>
        <v>0</v>
      </c>
      <c r="K48" s="96">
        <f>'[1]AK Opr Juni GP Des (1)'!L48</f>
        <v>0</v>
      </c>
      <c r="L48" s="96">
        <v>0</v>
      </c>
      <c r="M48" s="96">
        <f t="shared" si="57"/>
        <v>0</v>
      </c>
      <c r="N48" s="98">
        <f t="shared" si="51"/>
        <v>2340.7732999999998</v>
      </c>
      <c r="O48" s="73"/>
      <c r="P48" s="73"/>
      <c r="Q48" s="96">
        <f t="shared" si="68"/>
        <v>0</v>
      </c>
      <c r="R48" s="96">
        <f t="shared" si="69"/>
        <v>0</v>
      </c>
      <c r="S48" s="96">
        <f t="shared" si="58"/>
        <v>44390.298386000002</v>
      </c>
      <c r="T48" s="96">
        <f t="shared" si="59"/>
        <v>0</v>
      </c>
      <c r="U48" s="96">
        <f t="shared" si="60"/>
        <v>44390.298386000002</v>
      </c>
      <c r="V48" s="96">
        <f t="shared" si="61"/>
        <v>32208.200618363742</v>
      </c>
      <c r="W48" s="96">
        <v>1610.4100309181872</v>
      </c>
      <c r="X48" s="96">
        <v>1610.4100309181872</v>
      </c>
      <c r="Y48" s="96">
        <v>1610.4100309181872</v>
      </c>
      <c r="Z48" s="96">
        <f t="shared" si="62"/>
        <v>4831.2300927545621</v>
      </c>
      <c r="AA48" s="96">
        <v>2684.0167181969787</v>
      </c>
      <c r="AB48" s="96">
        <v>2684.0167181969787</v>
      </c>
      <c r="AC48" s="96">
        <v>2684.0167181969787</v>
      </c>
      <c r="AD48" s="96">
        <f t="shared" si="63"/>
        <v>8052.0501545909356</v>
      </c>
      <c r="AE48" s="96">
        <v>3220.820061836374</v>
      </c>
      <c r="AF48" s="96">
        <v>3220.820061836374</v>
      </c>
      <c r="AG48" s="96">
        <v>3220.820061836374</v>
      </c>
      <c r="AH48" s="96">
        <f t="shared" si="64"/>
        <v>9662.4601855091223</v>
      </c>
      <c r="AI48" s="96">
        <v>3220.820061836374</v>
      </c>
      <c r="AJ48" s="96">
        <v>3220.820061836374</v>
      </c>
      <c r="AK48" s="96">
        <v>3220.820061836374</v>
      </c>
      <c r="AL48" s="96">
        <f t="shared" si="65"/>
        <v>9662.4601855091223</v>
      </c>
      <c r="AM48" s="99"/>
    </row>
    <row r="49" spans="2:39" x14ac:dyDescent="0.35">
      <c r="B49" s="90" t="s">
        <v>263</v>
      </c>
      <c r="C49" s="95" t="s">
        <v>264</v>
      </c>
      <c r="D49" s="96">
        <f>'[1]AK Opr Juni GP Des (1)'!D49</f>
        <v>10503</v>
      </c>
      <c r="E49" s="96">
        <v>1340.765022</v>
      </c>
      <c r="F49" s="96">
        <v>236.26415700000001</v>
      </c>
      <c r="G49" s="96">
        <v>338.88991099999998</v>
      </c>
      <c r="H49" s="97">
        <v>54.077815999999999</v>
      </c>
      <c r="I49" s="96">
        <f t="shared" si="56"/>
        <v>1969.9969060000001</v>
      </c>
      <c r="J49" s="96">
        <f>109</f>
        <v>109</v>
      </c>
      <c r="K49" s="96">
        <f>109</f>
        <v>109</v>
      </c>
      <c r="L49" s="96">
        <f>109</f>
        <v>109</v>
      </c>
      <c r="M49" s="96">
        <f t="shared" si="57"/>
        <v>327</v>
      </c>
      <c r="N49" s="98">
        <f t="shared" si="51"/>
        <v>1667.765022</v>
      </c>
      <c r="O49" s="73"/>
      <c r="P49" s="73"/>
      <c r="Q49" s="96">
        <v>51.944000000000003</v>
      </c>
      <c r="R49" s="96">
        <v>42.817999999999998</v>
      </c>
      <c r="S49" s="96">
        <f t="shared" si="58"/>
        <v>2064.758906</v>
      </c>
      <c r="T49" s="96">
        <v>50</v>
      </c>
      <c r="U49" s="96">
        <f t="shared" si="60"/>
        <v>2114.758906</v>
      </c>
      <c r="V49" s="96">
        <f t="shared" si="61"/>
        <v>42869.640123672754</v>
      </c>
      <c r="W49" s="96">
        <v>322.08200618363742</v>
      </c>
      <c r="X49" s="96">
        <v>322.08200618363742</v>
      </c>
      <c r="Y49" s="96">
        <v>322.08200618363742</v>
      </c>
      <c r="Z49" s="96">
        <f t="shared" si="62"/>
        <v>966.24601855091225</v>
      </c>
      <c r="AA49" s="96">
        <f>36964.8033436394-36428</f>
        <v>536.80334363940347</v>
      </c>
      <c r="AB49" s="96">
        <v>536.80334363939573</v>
      </c>
      <c r="AC49" s="96">
        <f>536.803343639396+36428</f>
        <v>36964.803343639396</v>
      </c>
      <c r="AD49" s="96">
        <f t="shared" si="63"/>
        <v>38038.410030918196</v>
      </c>
      <c r="AE49" s="96">
        <v>644.16401236727484</v>
      </c>
      <c r="AF49" s="96">
        <v>644.16401236727484</v>
      </c>
      <c r="AG49" s="96">
        <v>644.16401236727484</v>
      </c>
      <c r="AH49" s="96">
        <f t="shared" si="64"/>
        <v>1932.4920371018245</v>
      </c>
      <c r="AI49" s="96">
        <v>644.16401236727484</v>
      </c>
      <c r="AJ49" s="96">
        <v>644.16401236727484</v>
      </c>
      <c r="AK49" s="96">
        <v>644.16401236727484</v>
      </c>
      <c r="AL49" s="96">
        <f t="shared" si="65"/>
        <v>1932.4920371018245</v>
      </c>
      <c r="AM49" s="99"/>
    </row>
    <row r="50" spans="2:39" hidden="1" x14ac:dyDescent="0.35">
      <c r="B50" s="90" t="s">
        <v>265</v>
      </c>
      <c r="C50" s="95" t="s">
        <v>266</v>
      </c>
      <c r="D50" s="96">
        <f>'[1]AK Opr Juni GP Des (1)'!D50</f>
        <v>0</v>
      </c>
      <c r="E50" s="96">
        <f>'[1]AK Opr Juni GP Des (1)'!E50</f>
        <v>0</v>
      </c>
      <c r="F50" s="96"/>
      <c r="G50" s="96"/>
      <c r="H50" s="97"/>
      <c r="I50" s="96">
        <f t="shared" si="56"/>
        <v>0</v>
      </c>
      <c r="J50" s="96">
        <f>'[1]AK Opr Juni GP Des (1)'!K50</f>
        <v>0</v>
      </c>
      <c r="K50" s="96">
        <f>'[1]AK Opr Juni GP Des (1)'!L50</f>
        <v>0</v>
      </c>
      <c r="L50" s="96">
        <f>'[1]AK Opr Juni GP Des (1)'!M50</f>
        <v>0</v>
      </c>
      <c r="M50" s="96">
        <f t="shared" si="57"/>
        <v>0</v>
      </c>
      <c r="N50" s="98">
        <f t="shared" si="51"/>
        <v>0</v>
      </c>
      <c r="O50" s="73"/>
      <c r="P50" s="73"/>
      <c r="Q50" s="96">
        <f t="shared" si="68"/>
        <v>0</v>
      </c>
      <c r="R50" s="96">
        <f t="shared" ref="R50:R53" si="70">Q50</f>
        <v>0</v>
      </c>
      <c r="S50" s="96">
        <f t="shared" si="58"/>
        <v>0</v>
      </c>
      <c r="T50" s="96">
        <f>R50</f>
        <v>0</v>
      </c>
      <c r="U50" s="96">
        <f t="shared" si="60"/>
        <v>0</v>
      </c>
      <c r="V50" s="96">
        <f t="shared" si="61"/>
        <v>0</v>
      </c>
      <c r="W50" s="96">
        <v>0</v>
      </c>
      <c r="X50" s="96">
        <v>0</v>
      </c>
      <c r="Y50" s="96">
        <v>0</v>
      </c>
      <c r="Z50" s="96">
        <f t="shared" si="62"/>
        <v>0</v>
      </c>
      <c r="AA50" s="96">
        <v>0</v>
      </c>
      <c r="AB50" s="96">
        <v>0</v>
      </c>
      <c r="AC50" s="96">
        <v>0</v>
      </c>
      <c r="AD50" s="96">
        <f t="shared" si="63"/>
        <v>0</v>
      </c>
      <c r="AE50" s="96">
        <v>0</v>
      </c>
      <c r="AF50" s="96">
        <v>0</v>
      </c>
      <c r="AG50" s="96">
        <v>0</v>
      </c>
      <c r="AH50" s="96">
        <f t="shared" si="64"/>
        <v>0</v>
      </c>
      <c r="AI50" s="96">
        <v>0</v>
      </c>
      <c r="AJ50" s="96">
        <v>0</v>
      </c>
      <c r="AK50" s="96">
        <v>0</v>
      </c>
      <c r="AL50" s="96">
        <f t="shared" si="65"/>
        <v>0</v>
      </c>
      <c r="AM50" s="99"/>
    </row>
    <row r="51" spans="2:39" hidden="1" x14ac:dyDescent="0.35">
      <c r="B51" s="90" t="s">
        <v>267</v>
      </c>
      <c r="C51" s="95" t="s">
        <v>268</v>
      </c>
      <c r="D51" s="96">
        <f>'[1]AK Opr Juni GP Des (1)'!D51</f>
        <v>0</v>
      </c>
      <c r="E51" s="96">
        <v>0</v>
      </c>
      <c r="F51" s="96">
        <v>0</v>
      </c>
      <c r="G51" s="96">
        <v>0</v>
      </c>
      <c r="H51" s="97">
        <v>0</v>
      </c>
      <c r="I51" s="96">
        <f t="shared" si="56"/>
        <v>0</v>
      </c>
      <c r="J51" s="96">
        <f>34</f>
        <v>34</v>
      </c>
      <c r="K51" s="96">
        <f>34</f>
        <v>34</v>
      </c>
      <c r="L51" s="96">
        <f>34</f>
        <v>34</v>
      </c>
      <c r="M51" s="96">
        <f t="shared" si="57"/>
        <v>102</v>
      </c>
      <c r="N51" s="98">
        <f t="shared" si="51"/>
        <v>102</v>
      </c>
      <c r="O51" s="73"/>
      <c r="P51" s="73"/>
      <c r="Q51" s="96">
        <f t="shared" si="68"/>
        <v>0</v>
      </c>
      <c r="R51" s="96">
        <f t="shared" si="70"/>
        <v>0</v>
      </c>
      <c r="S51" s="96">
        <f t="shared" si="58"/>
        <v>0</v>
      </c>
      <c r="T51" s="96">
        <f>R51</f>
        <v>0</v>
      </c>
      <c r="U51" s="96">
        <f t="shared" si="60"/>
        <v>0</v>
      </c>
      <c r="V51" s="96">
        <f t="shared" si="61"/>
        <v>0</v>
      </c>
      <c r="W51" s="96">
        <v>0</v>
      </c>
      <c r="X51" s="96">
        <v>0</v>
      </c>
      <c r="Y51" s="96">
        <v>0</v>
      </c>
      <c r="Z51" s="96">
        <f t="shared" si="62"/>
        <v>0</v>
      </c>
      <c r="AA51" s="96">
        <v>0</v>
      </c>
      <c r="AB51" s="96">
        <v>0</v>
      </c>
      <c r="AC51" s="96">
        <v>0</v>
      </c>
      <c r="AD51" s="96">
        <f t="shared" si="63"/>
        <v>0</v>
      </c>
      <c r="AE51" s="96">
        <v>0</v>
      </c>
      <c r="AF51" s="96">
        <v>0</v>
      </c>
      <c r="AG51" s="96">
        <v>0</v>
      </c>
      <c r="AH51" s="96">
        <f t="shared" si="64"/>
        <v>0</v>
      </c>
      <c r="AI51" s="96">
        <v>0</v>
      </c>
      <c r="AJ51" s="96">
        <v>0</v>
      </c>
      <c r="AK51" s="96">
        <v>0</v>
      </c>
      <c r="AL51" s="96">
        <f t="shared" si="65"/>
        <v>0</v>
      </c>
      <c r="AM51" s="99"/>
    </row>
    <row r="52" spans="2:39" hidden="1" x14ac:dyDescent="0.35">
      <c r="B52" s="90" t="s">
        <v>269</v>
      </c>
      <c r="C52" s="95" t="s">
        <v>270</v>
      </c>
      <c r="D52" s="96">
        <f>'[1]AK Opr Juni GP Des (1)'!D52</f>
        <v>0</v>
      </c>
      <c r="E52" s="96">
        <f>'[1]AK Opr Juni GP Des (1)'!E52</f>
        <v>0</v>
      </c>
      <c r="F52" s="96"/>
      <c r="G52" s="96"/>
      <c r="H52" s="97"/>
      <c r="I52" s="96">
        <f t="shared" si="56"/>
        <v>0</v>
      </c>
      <c r="J52" s="96">
        <f>'[1]AK Opr Juni GP Des (1)'!K52</f>
        <v>0</v>
      </c>
      <c r="K52" s="96">
        <f>'[1]AK Opr Juni GP Des (1)'!L52</f>
        <v>0</v>
      </c>
      <c r="L52" s="96">
        <f>'[1]AK Opr Juni GP Des (1)'!M52</f>
        <v>0</v>
      </c>
      <c r="M52" s="96">
        <f t="shared" si="57"/>
        <v>0</v>
      </c>
      <c r="N52" s="98">
        <f t="shared" si="51"/>
        <v>0</v>
      </c>
      <c r="O52" s="73"/>
      <c r="P52" s="73"/>
      <c r="Q52" s="96">
        <f t="shared" si="68"/>
        <v>0</v>
      </c>
      <c r="R52" s="96">
        <f t="shared" si="70"/>
        <v>0</v>
      </c>
      <c r="S52" s="96">
        <f t="shared" si="58"/>
        <v>0</v>
      </c>
      <c r="T52" s="96">
        <f>R52</f>
        <v>0</v>
      </c>
      <c r="U52" s="96">
        <f t="shared" si="60"/>
        <v>0</v>
      </c>
      <c r="V52" s="96">
        <f t="shared" si="61"/>
        <v>0</v>
      </c>
      <c r="W52" s="96">
        <v>0</v>
      </c>
      <c r="X52" s="96">
        <v>0</v>
      </c>
      <c r="Y52" s="96">
        <v>0</v>
      </c>
      <c r="Z52" s="96">
        <f t="shared" si="62"/>
        <v>0</v>
      </c>
      <c r="AA52" s="96">
        <v>0</v>
      </c>
      <c r="AB52" s="96">
        <v>0</v>
      </c>
      <c r="AC52" s="96">
        <v>0</v>
      </c>
      <c r="AD52" s="96">
        <f t="shared" si="63"/>
        <v>0</v>
      </c>
      <c r="AE52" s="96">
        <v>0</v>
      </c>
      <c r="AF52" s="96">
        <v>0</v>
      </c>
      <c r="AG52" s="96">
        <v>0</v>
      </c>
      <c r="AH52" s="96">
        <f t="shared" si="64"/>
        <v>0</v>
      </c>
      <c r="AI52" s="96">
        <v>0</v>
      </c>
      <c r="AJ52" s="96">
        <v>0</v>
      </c>
      <c r="AK52" s="96">
        <v>0</v>
      </c>
      <c r="AL52" s="96">
        <f t="shared" si="65"/>
        <v>0</v>
      </c>
      <c r="AM52" s="99"/>
    </row>
    <row r="53" spans="2:39" x14ac:dyDescent="0.35">
      <c r="B53" s="90" t="s">
        <v>271</v>
      </c>
      <c r="C53" s="95" t="s">
        <v>272</v>
      </c>
      <c r="D53" s="105">
        <f>'[1]AK Opr Juni GP Des (1)'!D53</f>
        <v>6500</v>
      </c>
      <c r="E53" s="105">
        <v>786.63858900000002</v>
      </c>
      <c r="F53" s="105">
        <v>0</v>
      </c>
      <c r="G53" s="105">
        <v>0</v>
      </c>
      <c r="H53" s="106">
        <v>0</v>
      </c>
      <c r="I53" s="96">
        <f t="shared" si="56"/>
        <v>786.63858900000002</v>
      </c>
      <c r="J53" s="105">
        <f>122</f>
        <v>122</v>
      </c>
      <c r="K53" s="105">
        <f>122</f>
        <v>122</v>
      </c>
      <c r="L53" s="105">
        <f>122</f>
        <v>122</v>
      </c>
      <c r="M53" s="96">
        <f t="shared" si="57"/>
        <v>366</v>
      </c>
      <c r="N53" s="107">
        <f t="shared" si="51"/>
        <v>1152.6385890000001</v>
      </c>
      <c r="O53" s="73"/>
      <c r="P53" s="73"/>
      <c r="Q53" s="96">
        <f t="shared" si="68"/>
        <v>0</v>
      </c>
      <c r="R53" s="96">
        <f t="shared" si="70"/>
        <v>0</v>
      </c>
      <c r="S53" s="96">
        <f t="shared" si="58"/>
        <v>786.63858900000002</v>
      </c>
      <c r="T53" s="96">
        <f>R53</f>
        <v>0</v>
      </c>
      <c r="U53" s="96">
        <f t="shared" si="60"/>
        <v>786.63858900000002</v>
      </c>
      <c r="V53" s="96">
        <f t="shared" si="61"/>
        <v>0</v>
      </c>
      <c r="W53" s="96">
        <v>0</v>
      </c>
      <c r="X53" s="96">
        <v>0</v>
      </c>
      <c r="Y53" s="96">
        <v>0</v>
      </c>
      <c r="Z53" s="96">
        <f t="shared" si="62"/>
        <v>0</v>
      </c>
      <c r="AA53" s="96">
        <v>0</v>
      </c>
      <c r="AB53" s="96">
        <v>0</v>
      </c>
      <c r="AC53" s="96">
        <v>0</v>
      </c>
      <c r="AD53" s="96">
        <f t="shared" si="63"/>
        <v>0</v>
      </c>
      <c r="AE53" s="96">
        <v>0</v>
      </c>
      <c r="AF53" s="96">
        <v>0</v>
      </c>
      <c r="AG53" s="96">
        <v>0</v>
      </c>
      <c r="AH53" s="96">
        <f t="shared" si="64"/>
        <v>0</v>
      </c>
      <c r="AI53" s="96">
        <v>0</v>
      </c>
      <c r="AJ53" s="96">
        <v>0</v>
      </c>
      <c r="AK53" s="96">
        <v>0</v>
      </c>
      <c r="AL53" s="96">
        <f t="shared" si="65"/>
        <v>0</v>
      </c>
      <c r="AM53" s="99"/>
    </row>
    <row r="54" spans="2:39" x14ac:dyDescent="0.35">
      <c r="B54" s="113"/>
      <c r="C54" s="114" t="s">
        <v>273</v>
      </c>
      <c r="D54" s="101">
        <f>'[1]AK Opr Juni GP Des (1)'!D54</f>
        <v>135978</v>
      </c>
      <c r="E54" s="101">
        <f t="shared" ref="E54:M54" si="71">SUM(E36:E53)</f>
        <v>11109.239382999998</v>
      </c>
      <c r="F54" s="101">
        <f t="shared" si="71"/>
        <v>474.78519000000006</v>
      </c>
      <c r="G54" s="101">
        <f t="shared" si="71"/>
        <v>42492.397907999999</v>
      </c>
      <c r="H54" s="101">
        <f t="shared" si="71"/>
        <v>173.71907299999998</v>
      </c>
      <c r="I54" s="101">
        <f t="shared" si="71"/>
        <v>54250.141554000002</v>
      </c>
      <c r="J54" s="101">
        <f t="shared" si="71"/>
        <v>465</v>
      </c>
      <c r="K54" s="101">
        <f t="shared" si="71"/>
        <v>465</v>
      </c>
      <c r="L54" s="101">
        <f t="shared" si="71"/>
        <v>465</v>
      </c>
      <c r="M54" s="101">
        <f t="shared" si="71"/>
        <v>1395</v>
      </c>
      <c r="N54" s="103">
        <f t="shared" si="51"/>
        <v>12504.239382999998</v>
      </c>
      <c r="O54" s="73"/>
      <c r="P54" s="73"/>
      <c r="Q54" s="104">
        <f t="shared" ref="Q54:T54" si="72">SUM(Q36:Q53)</f>
        <v>569.35699999999997</v>
      </c>
      <c r="R54" s="104">
        <f t="shared" si="72"/>
        <v>1538.425</v>
      </c>
      <c r="S54" s="104">
        <f t="shared" si="58"/>
        <v>56357.923554000001</v>
      </c>
      <c r="T54" s="104">
        <f t="shared" si="72"/>
        <v>1545.607</v>
      </c>
      <c r="U54" s="104">
        <f t="shared" si="60"/>
        <v>57903.530553999997</v>
      </c>
      <c r="V54" s="101">
        <f>SUM(V36:V53)</f>
        <v>75077.840742036497</v>
      </c>
      <c r="W54" s="101">
        <f t="shared" ref="W54:AL54" si="73">SUM(W36:W53)</f>
        <v>1932.4920371018247</v>
      </c>
      <c r="X54" s="101">
        <f t="shared" si="73"/>
        <v>1932.4920371018247</v>
      </c>
      <c r="Y54" s="101">
        <f t="shared" si="73"/>
        <v>1932.4920371018247</v>
      </c>
      <c r="Z54" s="101">
        <f t="shared" si="73"/>
        <v>5797.4761113054747</v>
      </c>
      <c r="AA54" s="101">
        <f t="shared" si="73"/>
        <v>3220.8200618363821</v>
      </c>
      <c r="AB54" s="101">
        <f t="shared" si="73"/>
        <v>3220.8200618363744</v>
      </c>
      <c r="AC54" s="101">
        <f t="shared" si="73"/>
        <v>39648.820061836377</v>
      </c>
      <c r="AD54" s="101">
        <f t="shared" si="73"/>
        <v>46090.460185509131</v>
      </c>
      <c r="AE54" s="101">
        <f t="shared" si="73"/>
        <v>3864.9840742036486</v>
      </c>
      <c r="AF54" s="101">
        <f t="shared" si="73"/>
        <v>3864.9840742036486</v>
      </c>
      <c r="AG54" s="101">
        <f t="shared" si="73"/>
        <v>3864.9840742036486</v>
      </c>
      <c r="AH54" s="101">
        <f t="shared" si="73"/>
        <v>11594.952222610948</v>
      </c>
      <c r="AI54" s="101">
        <f t="shared" si="73"/>
        <v>3864.9840742036486</v>
      </c>
      <c r="AJ54" s="101">
        <f t="shared" si="73"/>
        <v>3864.9840742036486</v>
      </c>
      <c r="AK54" s="101">
        <f t="shared" si="73"/>
        <v>3864.9840742036486</v>
      </c>
      <c r="AL54" s="101">
        <f t="shared" si="73"/>
        <v>11594.952222610948</v>
      </c>
      <c r="AM54" s="99"/>
    </row>
    <row r="55" spans="2:39" x14ac:dyDescent="0.35">
      <c r="B55" s="90" t="s">
        <v>274</v>
      </c>
      <c r="C55" s="110" t="s">
        <v>275</v>
      </c>
      <c r="D55" s="111">
        <f>'[1]AK Opr Juni GP Des (1)'!D55</f>
        <v>-113255</v>
      </c>
      <c r="E55" s="111">
        <f t="shared" ref="E55:M55" si="74">E34-E54</f>
        <v>-1612.720543999998</v>
      </c>
      <c r="F55" s="111">
        <f t="shared" si="74"/>
        <v>1590.984136</v>
      </c>
      <c r="G55" s="111">
        <f t="shared" si="74"/>
        <v>-41733.521875999999</v>
      </c>
      <c r="H55" s="111">
        <f t="shared" si="74"/>
        <v>662.89725399999998</v>
      </c>
      <c r="I55" s="111">
        <f t="shared" si="74"/>
        <v>-41092.36103</v>
      </c>
      <c r="J55" s="111">
        <f t="shared" si="74"/>
        <v>-251</v>
      </c>
      <c r="K55" s="111">
        <f t="shared" si="74"/>
        <v>-251</v>
      </c>
      <c r="L55" s="111">
        <f t="shared" si="74"/>
        <v>-251</v>
      </c>
      <c r="M55" s="111">
        <f t="shared" si="74"/>
        <v>-753</v>
      </c>
      <c r="N55" s="112">
        <f t="shared" si="51"/>
        <v>-2365.720543999998</v>
      </c>
      <c r="O55" s="73"/>
      <c r="P55" s="73"/>
      <c r="Q55" s="111">
        <f t="shared" ref="Q55:T55" si="75">Q34-Q54</f>
        <v>-264.25699999999995</v>
      </c>
      <c r="R55" s="111">
        <f t="shared" si="75"/>
        <v>-1291.9589999999998</v>
      </c>
      <c r="S55" s="111">
        <f t="shared" si="58"/>
        <v>-42648.57703</v>
      </c>
      <c r="T55" s="111">
        <f t="shared" si="75"/>
        <v>-1490.9290000000001</v>
      </c>
      <c r="U55" s="111">
        <f t="shared" si="60"/>
        <v>-44139.506030000004</v>
      </c>
      <c r="V55" s="111">
        <f>V34-V54</f>
        <v>64185.887070963508</v>
      </c>
      <c r="W55" s="111">
        <f t="shared" ref="W55:AL55" si="76">W34-W54</f>
        <v>-1832.4920371018247</v>
      </c>
      <c r="X55" s="111">
        <f t="shared" si="76"/>
        <v>-1832.4920371018247</v>
      </c>
      <c r="Y55" s="111">
        <f t="shared" si="76"/>
        <v>-832.49203710182474</v>
      </c>
      <c r="Z55" s="111">
        <f t="shared" si="76"/>
        <v>-4497.4761113054747</v>
      </c>
      <c r="AA55" s="111">
        <f t="shared" si="76"/>
        <v>-3170.8200618363821</v>
      </c>
      <c r="AB55" s="111">
        <f t="shared" si="76"/>
        <v>-3170.8200618363744</v>
      </c>
      <c r="AC55" s="111">
        <f t="shared" si="76"/>
        <v>96964.907751163628</v>
      </c>
      <c r="AD55" s="111">
        <f t="shared" si="76"/>
        <v>90623.267627490874</v>
      </c>
      <c r="AE55" s="111">
        <f t="shared" si="76"/>
        <v>-2864.9840742036486</v>
      </c>
      <c r="AF55" s="111">
        <f t="shared" si="76"/>
        <v>-3814.9840742036486</v>
      </c>
      <c r="AG55" s="111">
        <f t="shared" si="76"/>
        <v>-3814.9840742036486</v>
      </c>
      <c r="AH55" s="111">
        <f t="shared" si="76"/>
        <v>-10494.952222610948</v>
      </c>
      <c r="AI55" s="111">
        <f t="shared" si="76"/>
        <v>-3814.9840742036486</v>
      </c>
      <c r="AJ55" s="111">
        <f t="shared" si="76"/>
        <v>-3814.9840742036486</v>
      </c>
      <c r="AK55" s="111">
        <f t="shared" si="76"/>
        <v>-3814.9840742036486</v>
      </c>
      <c r="AL55" s="111">
        <f t="shared" si="76"/>
        <v>-11444.952222610948</v>
      </c>
      <c r="AM55" s="99"/>
    </row>
    <row r="56" spans="2:39" x14ac:dyDescent="0.35">
      <c r="B56" s="90" t="s">
        <v>276</v>
      </c>
      <c r="C56" s="95" t="s">
        <v>277</v>
      </c>
      <c r="D56" s="111">
        <f>'[1]AK Opr Juni GP Des (1)'!D56</f>
        <v>58046</v>
      </c>
      <c r="E56" s="111">
        <f t="shared" ref="E56:M56" si="77">E21+E55</f>
        <v>-301205.56599099998</v>
      </c>
      <c r="F56" s="111">
        <f t="shared" si="77"/>
        <v>-5990.3378510000002</v>
      </c>
      <c r="G56" s="111">
        <f t="shared" si="77"/>
        <v>-42890.740357000002</v>
      </c>
      <c r="H56" s="111">
        <f t="shared" si="77"/>
        <v>-622.08321599999999</v>
      </c>
      <c r="I56" s="111">
        <f t="shared" si="77"/>
        <v>-350708.72741499997</v>
      </c>
      <c r="J56" s="111">
        <f t="shared" si="77"/>
        <v>-1501</v>
      </c>
      <c r="K56" s="111">
        <f t="shared" si="77"/>
        <v>-71121</v>
      </c>
      <c r="L56" s="111">
        <f t="shared" si="77"/>
        <v>18910</v>
      </c>
      <c r="M56" s="111">
        <f t="shared" si="77"/>
        <v>-53712</v>
      </c>
      <c r="N56" s="112">
        <f t="shared" si="51"/>
        <v>-354917.56599099998</v>
      </c>
      <c r="O56" s="73"/>
      <c r="P56" s="73"/>
      <c r="Q56" s="111">
        <f t="shared" ref="Q56:T56" si="78">Q21+Q55</f>
        <v>-3992.9569999999999</v>
      </c>
      <c r="R56" s="111">
        <f t="shared" si="78"/>
        <v>-3242.9589999999998</v>
      </c>
      <c r="S56" s="111">
        <f t="shared" si="58"/>
        <v>-357944.643415</v>
      </c>
      <c r="T56" s="111">
        <f t="shared" si="78"/>
        <v>-112478.929</v>
      </c>
      <c r="U56" s="111">
        <f t="shared" si="60"/>
        <v>-470423.572415</v>
      </c>
      <c r="V56" s="111">
        <f>V21+V55</f>
        <v>226436.51856332767</v>
      </c>
      <c r="W56" s="111">
        <f t="shared" ref="W56:AL56" si="79">W21+W55</f>
        <v>8447.2801276897153</v>
      </c>
      <c r="X56" s="111">
        <f t="shared" si="79"/>
        <v>8447.2801276897153</v>
      </c>
      <c r="Y56" s="111">
        <f t="shared" si="79"/>
        <v>-72303.719872310277</v>
      </c>
      <c r="Z56" s="111">
        <f t="shared" si="79"/>
        <v>-55409.159616930854</v>
      </c>
      <c r="AA56" s="111">
        <f t="shared" si="79"/>
        <v>17135.329395860634</v>
      </c>
      <c r="AB56" s="111">
        <f t="shared" si="79"/>
        <v>17135.329395860641</v>
      </c>
      <c r="AC56" s="111">
        <f t="shared" si="79"/>
        <v>116321.05720886064</v>
      </c>
      <c r="AD56" s="111">
        <f t="shared" si="79"/>
        <v>150591.71600058192</v>
      </c>
      <c r="AE56" s="111">
        <f t="shared" si="79"/>
        <v>22781.723068446096</v>
      </c>
      <c r="AF56" s="111">
        <f t="shared" si="79"/>
        <v>21831.723068446096</v>
      </c>
      <c r="AG56" s="111">
        <f t="shared" si="79"/>
        <v>21831.723068446096</v>
      </c>
      <c r="AH56" s="111">
        <f t="shared" si="79"/>
        <v>66445.169205338287</v>
      </c>
      <c r="AI56" s="111">
        <f t="shared" si="79"/>
        <v>21640.264324779433</v>
      </c>
      <c r="AJ56" s="111">
        <f t="shared" si="79"/>
        <v>21640.264324779433</v>
      </c>
      <c r="AK56" s="111">
        <f t="shared" si="79"/>
        <v>21528.264324779433</v>
      </c>
      <c r="AL56" s="111">
        <f t="shared" si="79"/>
        <v>64808.792974338292</v>
      </c>
      <c r="AM56" s="99"/>
    </row>
    <row r="57" spans="2:39" x14ac:dyDescent="0.35">
      <c r="B57" s="90" t="s">
        <v>278</v>
      </c>
      <c r="C57" s="91" t="s">
        <v>279</v>
      </c>
      <c r="D57" s="111"/>
      <c r="E57" s="111"/>
      <c r="F57" s="96"/>
      <c r="G57" s="96"/>
      <c r="H57" s="97"/>
      <c r="I57" s="96"/>
      <c r="J57" s="96"/>
      <c r="K57" s="96"/>
      <c r="L57" s="96"/>
      <c r="M57" s="96"/>
      <c r="N57" s="98"/>
      <c r="O57" s="73"/>
      <c r="P57" s="73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</row>
    <row r="58" spans="2:39" x14ac:dyDescent="0.35">
      <c r="B58" s="90" t="s">
        <v>207</v>
      </c>
      <c r="C58" s="95" t="s">
        <v>280</v>
      </c>
      <c r="D58" s="111"/>
      <c r="E58" s="111"/>
      <c r="F58" s="96"/>
      <c r="G58" s="96"/>
      <c r="H58" s="97"/>
      <c r="I58" s="96"/>
      <c r="J58" s="96"/>
      <c r="K58" s="96"/>
      <c r="L58" s="96"/>
      <c r="M58" s="96"/>
      <c r="N58" s="98"/>
      <c r="O58" s="73"/>
      <c r="P58" s="73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</row>
    <row r="59" spans="2:39" hidden="1" x14ac:dyDescent="0.35">
      <c r="B59" s="90" t="s">
        <v>209</v>
      </c>
      <c r="C59" s="95" t="s">
        <v>281</v>
      </c>
      <c r="D59" s="96">
        <f>'[1]AK Opr Juni GP Des (1)'!D59</f>
        <v>0</v>
      </c>
      <c r="E59" s="96">
        <f>'[1]AK Opr Juni GP Des (1)'!E59</f>
        <v>0</v>
      </c>
      <c r="F59" s="96"/>
      <c r="G59" s="96"/>
      <c r="H59" s="97"/>
      <c r="I59" s="96"/>
      <c r="J59" s="96">
        <f>'[1]AK Opr Juni GP Des (1)'!K59</f>
        <v>0</v>
      </c>
      <c r="K59" s="96">
        <f>'[1]AK Opr Juni GP Des (1)'!L59</f>
        <v>0</v>
      </c>
      <c r="L59" s="96">
        <f>'[1]AK Opr Juni GP Des (1)'!M59</f>
        <v>0</v>
      </c>
      <c r="M59" s="96">
        <f t="shared" ref="M59:M64" si="80">SUM(F59:L59)</f>
        <v>0</v>
      </c>
      <c r="N59" s="98">
        <f t="shared" ref="N59:N64" si="81">M59+E59</f>
        <v>0</v>
      </c>
      <c r="O59" s="73"/>
      <c r="P59" s="73"/>
      <c r="Q59" s="96"/>
      <c r="R59" s="96"/>
      <c r="S59" s="96"/>
      <c r="T59" s="96"/>
      <c r="U59" s="96"/>
      <c r="V59" s="96"/>
      <c r="W59" s="96">
        <f t="shared" si="13"/>
        <v>0</v>
      </c>
      <c r="X59" s="96">
        <f t="shared" si="14"/>
        <v>0</v>
      </c>
      <c r="Y59" s="96">
        <f t="shared" si="14"/>
        <v>0</v>
      </c>
      <c r="Z59" s="96"/>
      <c r="AA59" s="96">
        <f t="shared" ref="AA59:AC63" si="82">Z59+M59</f>
        <v>0</v>
      </c>
      <c r="AB59" s="96">
        <f t="shared" si="82"/>
        <v>0</v>
      </c>
      <c r="AC59" s="96">
        <f t="shared" si="82"/>
        <v>0</v>
      </c>
      <c r="AD59" s="96"/>
      <c r="AE59" s="96">
        <f t="shared" ref="AE59:AG63" si="83">AD59+Q59</f>
        <v>0</v>
      </c>
      <c r="AF59" s="96">
        <f t="shared" si="83"/>
        <v>0</v>
      </c>
      <c r="AG59" s="96">
        <f t="shared" si="83"/>
        <v>0</v>
      </c>
      <c r="AH59" s="96"/>
      <c r="AI59" s="96">
        <f t="shared" ref="AI59:AI63" si="84">AH59+U59</f>
        <v>0</v>
      </c>
      <c r="AJ59" s="96">
        <f t="shared" ref="AJ59:AK63" si="85">AI59+W59</f>
        <v>0</v>
      </c>
      <c r="AK59" s="96">
        <f t="shared" si="85"/>
        <v>0</v>
      </c>
      <c r="AL59" s="96"/>
    </row>
    <row r="60" spans="2:39" hidden="1" x14ac:dyDescent="0.35">
      <c r="B60" s="90" t="s">
        <v>211</v>
      </c>
      <c r="C60" s="95" t="s">
        <v>282</v>
      </c>
      <c r="D60" s="96">
        <f>'[1]AK Opr Juni GP Des (1)'!D60</f>
        <v>0</v>
      </c>
      <c r="E60" s="96">
        <f>'[1]AK Opr Juni GP Des (1)'!E60</f>
        <v>0</v>
      </c>
      <c r="F60" s="96"/>
      <c r="G60" s="96"/>
      <c r="H60" s="97"/>
      <c r="I60" s="96"/>
      <c r="J60" s="96">
        <f>'[1]AK Opr Juni GP Des (1)'!K60</f>
        <v>0</v>
      </c>
      <c r="K60" s="96">
        <f>'[1]AK Opr Juni GP Des (1)'!L60</f>
        <v>0</v>
      </c>
      <c r="L60" s="96">
        <f>'[1]AK Opr Juni GP Des (1)'!M60</f>
        <v>0</v>
      </c>
      <c r="M60" s="96">
        <f t="shared" si="80"/>
        <v>0</v>
      </c>
      <c r="N60" s="98">
        <f t="shared" si="81"/>
        <v>0</v>
      </c>
      <c r="O60" s="73"/>
      <c r="P60" s="73"/>
      <c r="Q60" s="96"/>
      <c r="R60" s="96"/>
      <c r="S60" s="96"/>
      <c r="T60" s="96"/>
      <c r="U60" s="96"/>
      <c r="V60" s="96"/>
      <c r="W60" s="96">
        <f t="shared" si="13"/>
        <v>0</v>
      </c>
      <c r="X60" s="96">
        <f t="shared" si="14"/>
        <v>0</v>
      </c>
      <c r="Y60" s="96">
        <f t="shared" si="14"/>
        <v>0</v>
      </c>
      <c r="Z60" s="96"/>
      <c r="AA60" s="96">
        <f t="shared" si="82"/>
        <v>0</v>
      </c>
      <c r="AB60" s="96">
        <f t="shared" si="82"/>
        <v>0</v>
      </c>
      <c r="AC60" s="96">
        <f t="shared" si="82"/>
        <v>0</v>
      </c>
      <c r="AD60" s="96"/>
      <c r="AE60" s="96">
        <f t="shared" si="83"/>
        <v>0</v>
      </c>
      <c r="AF60" s="96">
        <f t="shared" si="83"/>
        <v>0</v>
      </c>
      <c r="AG60" s="96">
        <f t="shared" si="83"/>
        <v>0</v>
      </c>
      <c r="AH60" s="96"/>
      <c r="AI60" s="96">
        <f t="shared" si="84"/>
        <v>0</v>
      </c>
      <c r="AJ60" s="96">
        <f t="shared" si="85"/>
        <v>0</v>
      </c>
      <c r="AK60" s="96">
        <f t="shared" si="85"/>
        <v>0</v>
      </c>
      <c r="AL60" s="96"/>
    </row>
    <row r="61" spans="2:39" hidden="1" x14ac:dyDescent="0.35">
      <c r="B61" s="90" t="s">
        <v>213</v>
      </c>
      <c r="C61" s="95" t="s">
        <v>283</v>
      </c>
      <c r="D61" s="96">
        <f>'[1]AK Opr Juni GP Des (1)'!D61</f>
        <v>0</v>
      </c>
      <c r="E61" s="96">
        <f>'[1]AK Opr Juni GP Des (1)'!E61</f>
        <v>0</v>
      </c>
      <c r="F61" s="96"/>
      <c r="G61" s="96"/>
      <c r="H61" s="97"/>
      <c r="I61" s="96"/>
      <c r="J61" s="96">
        <f>'[1]AK Opr Juni GP Des (1)'!K61</f>
        <v>0</v>
      </c>
      <c r="K61" s="96">
        <f>'[1]AK Opr Juni GP Des (1)'!L61</f>
        <v>0</v>
      </c>
      <c r="L61" s="96">
        <f>'[1]AK Opr Juni GP Des (1)'!M61</f>
        <v>0</v>
      </c>
      <c r="M61" s="96">
        <f t="shared" si="80"/>
        <v>0</v>
      </c>
      <c r="N61" s="98">
        <f t="shared" si="81"/>
        <v>0</v>
      </c>
      <c r="O61" s="73"/>
      <c r="P61" s="73"/>
      <c r="Q61" s="96"/>
      <c r="R61" s="96"/>
      <c r="S61" s="96"/>
      <c r="T61" s="96"/>
      <c r="U61" s="96"/>
      <c r="V61" s="96"/>
      <c r="W61" s="96">
        <f t="shared" si="13"/>
        <v>0</v>
      </c>
      <c r="X61" s="96">
        <f t="shared" si="14"/>
        <v>0</v>
      </c>
      <c r="Y61" s="96">
        <f t="shared" si="14"/>
        <v>0</v>
      </c>
      <c r="Z61" s="96"/>
      <c r="AA61" s="96">
        <f t="shared" si="82"/>
        <v>0</v>
      </c>
      <c r="AB61" s="96">
        <f t="shared" si="82"/>
        <v>0</v>
      </c>
      <c r="AC61" s="96">
        <f t="shared" si="82"/>
        <v>0</v>
      </c>
      <c r="AD61" s="96"/>
      <c r="AE61" s="96">
        <f t="shared" si="83"/>
        <v>0</v>
      </c>
      <c r="AF61" s="96">
        <f t="shared" si="83"/>
        <v>0</v>
      </c>
      <c r="AG61" s="96">
        <f t="shared" si="83"/>
        <v>0</v>
      </c>
      <c r="AH61" s="96"/>
      <c r="AI61" s="96">
        <f t="shared" si="84"/>
        <v>0</v>
      </c>
      <c r="AJ61" s="96">
        <f t="shared" si="85"/>
        <v>0</v>
      </c>
      <c r="AK61" s="96">
        <f t="shared" si="85"/>
        <v>0</v>
      </c>
      <c r="AL61" s="96"/>
    </row>
    <row r="62" spans="2:39" hidden="1" x14ac:dyDescent="0.35">
      <c r="B62" s="90" t="s">
        <v>221</v>
      </c>
      <c r="C62" s="95" t="s">
        <v>284</v>
      </c>
      <c r="D62" s="96">
        <f>'[1]AK Opr Juni GP Des (1)'!D62</f>
        <v>0</v>
      </c>
      <c r="E62" s="96">
        <f>'[1]AK Opr Juni GP Des (1)'!E62</f>
        <v>0</v>
      </c>
      <c r="F62" s="96"/>
      <c r="G62" s="96"/>
      <c r="H62" s="97"/>
      <c r="I62" s="96"/>
      <c r="J62" s="96">
        <f>'[1]AK Opr Juni GP Des (1)'!K62</f>
        <v>0</v>
      </c>
      <c r="K62" s="96">
        <f>'[1]AK Opr Juni GP Des (1)'!L62</f>
        <v>0</v>
      </c>
      <c r="L62" s="96">
        <f>'[1]AK Opr Juni GP Des (1)'!M62</f>
        <v>0</v>
      </c>
      <c r="M62" s="96">
        <f t="shared" si="80"/>
        <v>0</v>
      </c>
      <c r="N62" s="98">
        <f t="shared" si="81"/>
        <v>0</v>
      </c>
      <c r="O62" s="73"/>
      <c r="P62" s="73"/>
      <c r="Q62" s="96"/>
      <c r="R62" s="96"/>
      <c r="S62" s="96"/>
      <c r="T62" s="96"/>
      <c r="U62" s="96"/>
      <c r="V62" s="96"/>
      <c r="W62" s="96">
        <f t="shared" si="13"/>
        <v>0</v>
      </c>
      <c r="X62" s="96">
        <f t="shared" si="14"/>
        <v>0</v>
      </c>
      <c r="Y62" s="96">
        <f t="shared" si="14"/>
        <v>0</v>
      </c>
      <c r="Z62" s="96"/>
      <c r="AA62" s="96">
        <f t="shared" si="82"/>
        <v>0</v>
      </c>
      <c r="AB62" s="96">
        <f t="shared" si="82"/>
        <v>0</v>
      </c>
      <c r="AC62" s="96">
        <f t="shared" si="82"/>
        <v>0</v>
      </c>
      <c r="AD62" s="96"/>
      <c r="AE62" s="96">
        <f t="shared" si="83"/>
        <v>0</v>
      </c>
      <c r="AF62" s="96">
        <f t="shared" si="83"/>
        <v>0</v>
      </c>
      <c r="AG62" s="96">
        <f t="shared" si="83"/>
        <v>0</v>
      </c>
      <c r="AH62" s="96"/>
      <c r="AI62" s="96">
        <f t="shared" si="84"/>
        <v>0</v>
      </c>
      <c r="AJ62" s="96">
        <f t="shared" si="85"/>
        <v>0</v>
      </c>
      <c r="AK62" s="96">
        <f t="shared" si="85"/>
        <v>0</v>
      </c>
      <c r="AL62" s="96"/>
    </row>
    <row r="63" spans="2:39" hidden="1" x14ac:dyDescent="0.35">
      <c r="B63" s="90" t="s">
        <v>232</v>
      </c>
      <c r="C63" s="95" t="s">
        <v>285</v>
      </c>
      <c r="D63" s="96">
        <f>'[1]AK Opr Juni GP Des (1)'!D63</f>
        <v>0</v>
      </c>
      <c r="E63" s="96">
        <f>'[1]AK Opr Juni GP Des (1)'!E63</f>
        <v>0</v>
      </c>
      <c r="F63" s="96"/>
      <c r="G63" s="96"/>
      <c r="H63" s="97"/>
      <c r="I63" s="96"/>
      <c r="J63" s="96">
        <f>'[1]AK Opr Juni GP Des (1)'!K63</f>
        <v>0</v>
      </c>
      <c r="K63" s="96">
        <f>'[1]AK Opr Juni GP Des (1)'!L63</f>
        <v>0</v>
      </c>
      <c r="L63" s="96">
        <f>'[1]AK Opr Juni GP Des (1)'!M63</f>
        <v>0</v>
      </c>
      <c r="M63" s="96">
        <f t="shared" si="80"/>
        <v>0</v>
      </c>
      <c r="N63" s="98">
        <f t="shared" si="81"/>
        <v>0</v>
      </c>
      <c r="O63" s="73"/>
      <c r="P63" s="73"/>
      <c r="Q63" s="96"/>
      <c r="R63" s="96"/>
      <c r="S63" s="96"/>
      <c r="T63" s="96"/>
      <c r="U63" s="96"/>
      <c r="V63" s="96"/>
      <c r="W63" s="96">
        <f t="shared" si="13"/>
        <v>0</v>
      </c>
      <c r="X63" s="96">
        <f t="shared" si="14"/>
        <v>0</v>
      </c>
      <c r="Y63" s="96">
        <f t="shared" si="14"/>
        <v>0</v>
      </c>
      <c r="Z63" s="96"/>
      <c r="AA63" s="96">
        <f t="shared" si="82"/>
        <v>0</v>
      </c>
      <c r="AB63" s="96">
        <f t="shared" si="82"/>
        <v>0</v>
      </c>
      <c r="AC63" s="96">
        <f t="shared" si="82"/>
        <v>0</v>
      </c>
      <c r="AD63" s="96"/>
      <c r="AE63" s="96">
        <f t="shared" si="83"/>
        <v>0</v>
      </c>
      <c r="AF63" s="96">
        <f t="shared" si="83"/>
        <v>0</v>
      </c>
      <c r="AG63" s="96">
        <f t="shared" si="83"/>
        <v>0</v>
      </c>
      <c r="AH63" s="96"/>
      <c r="AI63" s="96">
        <f t="shared" si="84"/>
        <v>0</v>
      </c>
      <c r="AJ63" s="96">
        <f t="shared" si="85"/>
        <v>0</v>
      </c>
      <c r="AK63" s="96">
        <f t="shared" si="85"/>
        <v>0</v>
      </c>
      <c r="AL63" s="96"/>
    </row>
    <row r="64" spans="2:39" x14ac:dyDescent="0.35">
      <c r="B64" s="90"/>
      <c r="C64" s="100" t="s">
        <v>286</v>
      </c>
      <c r="D64" s="101" t="str">
        <f>'[1]AK Opr Juni GP Des (1)'!D64</f>
        <v xml:space="preserve"> - </v>
      </c>
      <c r="E64" s="101">
        <f>'[1]AK Opr Juni GP Des (1)'!E64</f>
        <v>0</v>
      </c>
      <c r="F64" s="101">
        <f t="shared" ref="F64:L64" si="86">SUM(F58:F63)</f>
        <v>0</v>
      </c>
      <c r="G64" s="101"/>
      <c r="H64" s="102"/>
      <c r="I64" s="101"/>
      <c r="J64" s="101">
        <f t="shared" si="86"/>
        <v>0</v>
      </c>
      <c r="K64" s="101">
        <f t="shared" si="86"/>
        <v>0</v>
      </c>
      <c r="L64" s="101">
        <f t="shared" si="86"/>
        <v>0</v>
      </c>
      <c r="M64" s="101">
        <f t="shared" si="80"/>
        <v>0</v>
      </c>
      <c r="N64" s="103">
        <f t="shared" si="81"/>
        <v>0</v>
      </c>
      <c r="O64" s="73"/>
      <c r="P64" s="73"/>
      <c r="Q64" s="104"/>
      <c r="R64" s="104"/>
      <c r="S64" s="104"/>
      <c r="T64" s="104"/>
      <c r="U64" s="104">
        <f t="shared" ref="U64" si="87">SUM(Q64:T64)</f>
        <v>0</v>
      </c>
      <c r="V64" s="101">
        <f t="shared" ref="V64:AL64" si="88">SUM(V58:V63)</f>
        <v>0</v>
      </c>
      <c r="W64" s="101">
        <f t="shared" si="88"/>
        <v>0</v>
      </c>
      <c r="X64" s="101">
        <f t="shared" si="88"/>
        <v>0</v>
      </c>
      <c r="Y64" s="101">
        <f t="shared" si="88"/>
        <v>0</v>
      </c>
      <c r="Z64" s="101">
        <f t="shared" si="88"/>
        <v>0</v>
      </c>
      <c r="AA64" s="101">
        <f t="shared" si="88"/>
        <v>0</v>
      </c>
      <c r="AB64" s="101">
        <f t="shared" si="88"/>
        <v>0</v>
      </c>
      <c r="AC64" s="101">
        <f t="shared" si="88"/>
        <v>0</v>
      </c>
      <c r="AD64" s="101">
        <f t="shared" si="88"/>
        <v>0</v>
      </c>
      <c r="AE64" s="101">
        <f t="shared" si="88"/>
        <v>0</v>
      </c>
      <c r="AF64" s="101">
        <f t="shared" si="88"/>
        <v>0</v>
      </c>
      <c r="AG64" s="101">
        <f t="shared" si="88"/>
        <v>0</v>
      </c>
      <c r="AH64" s="101">
        <f t="shared" si="88"/>
        <v>0</v>
      </c>
      <c r="AI64" s="101">
        <f t="shared" si="88"/>
        <v>0</v>
      </c>
      <c r="AJ64" s="101">
        <f t="shared" si="88"/>
        <v>0</v>
      </c>
      <c r="AK64" s="101">
        <f t="shared" si="88"/>
        <v>0</v>
      </c>
      <c r="AL64" s="101">
        <f t="shared" si="88"/>
        <v>0</v>
      </c>
    </row>
    <row r="65" spans="2:40" ht="9.75" customHeight="1" x14ac:dyDescent="0.35">
      <c r="B65" s="90"/>
      <c r="C65" s="95"/>
      <c r="D65" s="105"/>
      <c r="E65" s="105"/>
      <c r="F65" s="105"/>
      <c r="G65" s="105"/>
      <c r="H65" s="106"/>
      <c r="I65" s="105"/>
      <c r="J65" s="105"/>
      <c r="K65" s="105"/>
      <c r="L65" s="105"/>
      <c r="M65" s="105"/>
      <c r="N65" s="107"/>
      <c r="O65" s="73"/>
      <c r="P65" s="73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</row>
    <row r="66" spans="2:40" x14ac:dyDescent="0.35">
      <c r="B66" s="90" t="s">
        <v>216</v>
      </c>
      <c r="C66" s="95" t="s">
        <v>287</v>
      </c>
      <c r="D66" s="105"/>
      <c r="E66" s="105"/>
      <c r="F66" s="105"/>
      <c r="G66" s="105"/>
      <c r="H66" s="106"/>
      <c r="I66" s="105"/>
      <c r="J66" s="105"/>
      <c r="K66" s="105"/>
      <c r="L66" s="105"/>
      <c r="M66" s="105"/>
      <c r="N66" s="107"/>
      <c r="O66" s="73"/>
      <c r="P66" s="73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</row>
    <row r="67" spans="2:40" hidden="1" x14ac:dyDescent="0.35">
      <c r="B67" s="90" t="s">
        <v>209</v>
      </c>
      <c r="C67" s="95" t="s">
        <v>288</v>
      </c>
      <c r="D67" s="96">
        <f>'[1]AK Opr Juni GP Des (1)'!D67</f>
        <v>0</v>
      </c>
      <c r="E67" s="96">
        <f>'[1]AK Opr Juni GP Des (1)'!E67</f>
        <v>0</v>
      </c>
      <c r="F67" s="96"/>
      <c r="G67" s="96"/>
      <c r="H67" s="97"/>
      <c r="I67" s="96"/>
      <c r="J67" s="96">
        <f>'[1]AK Opr Juni GP Des (1)'!K67</f>
        <v>0</v>
      </c>
      <c r="K67" s="96">
        <f>'[1]AK Opr Juni GP Des (1)'!L67</f>
        <v>0</v>
      </c>
      <c r="L67" s="96">
        <f>'[1]AK Opr Juni GP Des (1)'!M67</f>
        <v>0</v>
      </c>
      <c r="M67" s="96">
        <f>SUM(F67:L67)</f>
        <v>0</v>
      </c>
      <c r="N67" s="98">
        <f t="shared" ref="N67:N93" si="89">M67+E67</f>
        <v>0</v>
      </c>
      <c r="O67" s="73"/>
      <c r="P67" s="73"/>
      <c r="Q67" s="96"/>
      <c r="R67" s="96"/>
      <c r="S67" s="96"/>
      <c r="T67" s="96"/>
      <c r="U67" s="96"/>
      <c r="V67" s="96"/>
      <c r="W67" s="96">
        <f t="shared" si="13"/>
        <v>0</v>
      </c>
      <c r="X67" s="96">
        <f t="shared" si="14"/>
        <v>0</v>
      </c>
      <c r="Y67" s="96">
        <f t="shared" si="14"/>
        <v>0</v>
      </c>
      <c r="Z67" s="96"/>
      <c r="AA67" s="96">
        <f t="shared" ref="AA67:AC67" si="90">Z67+M67</f>
        <v>0</v>
      </c>
      <c r="AB67" s="96">
        <f t="shared" si="90"/>
        <v>0</v>
      </c>
      <c r="AC67" s="96">
        <f t="shared" si="90"/>
        <v>0</v>
      </c>
      <c r="AD67" s="96"/>
      <c r="AE67" s="96">
        <f t="shared" ref="AE67:AG67" si="91">AD67+Q67</f>
        <v>0</v>
      </c>
      <c r="AF67" s="96">
        <f t="shared" si="91"/>
        <v>0</v>
      </c>
      <c r="AG67" s="96">
        <f t="shared" si="91"/>
        <v>0</v>
      </c>
      <c r="AH67" s="96"/>
      <c r="AI67" s="96">
        <f t="shared" ref="AI67" si="92">AH67+U67</f>
        <v>0</v>
      </c>
      <c r="AJ67" s="96">
        <f t="shared" ref="AJ67:AK67" si="93">AI67+W67</f>
        <v>0</v>
      </c>
      <c r="AK67" s="96">
        <f t="shared" si="93"/>
        <v>0</v>
      </c>
      <c r="AL67" s="96"/>
    </row>
    <row r="68" spans="2:40" x14ac:dyDescent="0.35">
      <c r="B68" s="90" t="s">
        <v>211</v>
      </c>
      <c r="C68" s="95" t="s">
        <v>289</v>
      </c>
      <c r="D68" s="96">
        <f>'[1]AK Opr Juni GP Des (1)'!D68</f>
        <v>150105</v>
      </c>
      <c r="E68" s="96">
        <v>0</v>
      </c>
      <c r="F68" s="96">
        <v>0</v>
      </c>
      <c r="G68" s="96">
        <v>131.9879</v>
      </c>
      <c r="H68" s="97">
        <v>8885.2800000000007</v>
      </c>
      <c r="I68" s="96">
        <f t="shared" ref="I68:I70" si="94">H68+G68+F68+E68</f>
        <v>9017.2679000000007</v>
      </c>
      <c r="J68" s="96">
        <f>'[3] Investasi ''20'!L17</f>
        <v>0</v>
      </c>
      <c r="K68" s="96">
        <f>'[3] Investasi ''20'!M17</f>
        <v>0</v>
      </c>
      <c r="L68" s="96">
        <f>'[3] Investasi ''20'!N17</f>
        <v>0</v>
      </c>
      <c r="M68" s="96">
        <f t="shared" ref="M68:M70" si="95">J68+K68+L68</f>
        <v>0</v>
      </c>
      <c r="N68" s="98">
        <f t="shared" si="89"/>
        <v>0</v>
      </c>
      <c r="O68" s="73"/>
      <c r="P68" s="73"/>
      <c r="Q68" s="96">
        <v>100</v>
      </c>
      <c r="R68" s="96">
        <v>0</v>
      </c>
      <c r="S68" s="96">
        <f t="shared" ref="S68:S74" si="96">R68+Q68+I68</f>
        <v>9117.2679000000007</v>
      </c>
      <c r="T68" s="96">
        <f>R68</f>
        <v>0</v>
      </c>
      <c r="U68" s="96">
        <f t="shared" ref="U68:U74" si="97">S68+T68</f>
        <v>9117.2679000000007</v>
      </c>
      <c r="V68" s="96">
        <f>AL68+AH68+AD68+Z68</f>
        <v>40000</v>
      </c>
      <c r="W68" s="96">
        <v>0</v>
      </c>
      <c r="X68" s="96">
        <v>0</v>
      </c>
      <c r="Y68" s="96">
        <v>0</v>
      </c>
      <c r="Z68" s="96">
        <f t="shared" ref="Z68:Z70" si="98">Y68+X68+W68</f>
        <v>0</v>
      </c>
      <c r="AA68" s="96">
        <v>0</v>
      </c>
      <c r="AB68" s="96">
        <v>0</v>
      </c>
      <c r="AC68" s="96">
        <v>0</v>
      </c>
      <c r="AD68" s="96">
        <f t="shared" ref="AD68:AD70" si="99">AC68+AB68+AA68</f>
        <v>0</v>
      </c>
      <c r="AE68" s="96">
        <v>0</v>
      </c>
      <c r="AF68" s="96">
        <v>0</v>
      </c>
      <c r="AG68" s="96">
        <v>0</v>
      </c>
      <c r="AH68" s="96">
        <f t="shared" ref="AH68:AH70" si="100">AG68+AF68+AE68</f>
        <v>0</v>
      </c>
      <c r="AI68" s="96">
        <v>0</v>
      </c>
      <c r="AJ68" s="96">
        <v>0</v>
      </c>
      <c r="AK68" s="96">
        <v>40000</v>
      </c>
      <c r="AL68" s="96">
        <f t="shared" ref="AL68:AL70" si="101">AK68+AJ68+AI68</f>
        <v>40000</v>
      </c>
      <c r="AM68" s="99"/>
    </row>
    <row r="69" spans="2:40" x14ac:dyDescent="0.35">
      <c r="B69" s="90" t="s">
        <v>213</v>
      </c>
      <c r="C69" s="95" t="s">
        <v>290</v>
      </c>
      <c r="D69" s="96">
        <f>'[1]AK Opr Juni GP Des (1)'!D69</f>
        <v>134753</v>
      </c>
      <c r="E69" s="96">
        <f>197733-35663</f>
        <v>162070</v>
      </c>
      <c r="F69" s="96">
        <v>126859.38430000001</v>
      </c>
      <c r="G69" s="96">
        <v>42195.554100000001</v>
      </c>
      <c r="H69" s="97">
        <v>0</v>
      </c>
      <c r="I69" s="96">
        <f t="shared" si="94"/>
        <v>331124.93839999998</v>
      </c>
      <c r="J69" s="96">
        <f>'[3] Investasi ''20'!L44-J68</f>
        <v>600</v>
      </c>
      <c r="K69" s="96">
        <f>'[3] Investasi ''20'!M44-K68</f>
        <v>0</v>
      </c>
      <c r="L69" s="96">
        <v>0</v>
      </c>
      <c r="M69" s="96">
        <f t="shared" si="95"/>
        <v>600</v>
      </c>
      <c r="N69" s="98">
        <f t="shared" si="89"/>
        <v>162670</v>
      </c>
      <c r="O69" s="115"/>
      <c r="P69" s="115"/>
      <c r="Q69" s="96">
        <f t="shared" ref="Q69:Q70" si="102">H69</f>
        <v>0</v>
      </c>
      <c r="R69" s="96">
        <f t="shared" ref="R69" si="103">Q69</f>
        <v>0</v>
      </c>
      <c r="S69" s="96">
        <f t="shared" si="96"/>
        <v>331124.93839999998</v>
      </c>
      <c r="T69" s="96">
        <f>R69</f>
        <v>0</v>
      </c>
      <c r="U69" s="96">
        <f t="shared" si="97"/>
        <v>331124.93839999998</v>
      </c>
      <c r="V69" s="96">
        <f>AL69+AH69+AD69+Z69</f>
        <v>0</v>
      </c>
      <c r="W69" s="96">
        <v>0</v>
      </c>
      <c r="X69" s="96">
        <v>0</v>
      </c>
      <c r="Y69" s="96">
        <v>0</v>
      </c>
      <c r="Z69" s="96">
        <f t="shared" si="98"/>
        <v>0</v>
      </c>
      <c r="AA69" s="96">
        <v>0</v>
      </c>
      <c r="AB69" s="96">
        <v>0</v>
      </c>
      <c r="AC69" s="96">
        <v>0</v>
      </c>
      <c r="AD69" s="96">
        <f t="shared" si="99"/>
        <v>0</v>
      </c>
      <c r="AE69" s="96">
        <v>0</v>
      </c>
      <c r="AF69" s="96">
        <v>0</v>
      </c>
      <c r="AG69" s="96">
        <v>0</v>
      </c>
      <c r="AH69" s="96">
        <f t="shared" si="100"/>
        <v>0</v>
      </c>
      <c r="AI69" s="96">
        <v>0</v>
      </c>
      <c r="AJ69" s="96">
        <v>0</v>
      </c>
      <c r="AK69" s="96">
        <v>0</v>
      </c>
      <c r="AL69" s="96">
        <f t="shared" si="101"/>
        <v>0</v>
      </c>
      <c r="AM69" s="99"/>
    </row>
    <row r="70" spans="2:40" x14ac:dyDescent="0.35">
      <c r="B70" s="90" t="s">
        <v>221</v>
      </c>
      <c r="C70" s="95" t="s">
        <v>291</v>
      </c>
      <c r="D70" s="96">
        <f>'[1]AK Opr Juni GP Des (1)'!D70</f>
        <v>42000</v>
      </c>
      <c r="E70" s="96">
        <f>'[1]AK Opr Juni GP Des (1)'!E70</f>
        <v>0</v>
      </c>
      <c r="F70" s="96">
        <v>0</v>
      </c>
      <c r="G70" s="96">
        <v>23.067</v>
      </c>
      <c r="H70" s="97">
        <v>0</v>
      </c>
      <c r="I70" s="96">
        <f t="shared" si="94"/>
        <v>23.067</v>
      </c>
      <c r="J70" s="96">
        <f>'[1]AK Opr Juni GP Des (1)'!K70</f>
        <v>0</v>
      </c>
      <c r="K70" s="96">
        <f>'[1]AK Opr Juni GP Des (1)'!L70</f>
        <v>0</v>
      </c>
      <c r="L70" s="96">
        <f>'[1]AK Opr Juni GP Des (1)'!M70</f>
        <v>0</v>
      </c>
      <c r="M70" s="96">
        <f t="shared" si="95"/>
        <v>0</v>
      </c>
      <c r="N70" s="98">
        <f t="shared" si="89"/>
        <v>0</v>
      </c>
      <c r="O70" s="73"/>
      <c r="P70" s="73"/>
      <c r="Q70" s="96">
        <f t="shared" si="102"/>
        <v>0</v>
      </c>
      <c r="R70" s="96">
        <v>115.33499999999999</v>
      </c>
      <c r="S70" s="96">
        <f t="shared" si="96"/>
        <v>138.40199999999999</v>
      </c>
      <c r="T70" s="96">
        <v>0</v>
      </c>
      <c r="U70" s="96">
        <f t="shared" si="97"/>
        <v>138.40199999999999</v>
      </c>
      <c r="V70" s="96">
        <f>AL70+AH70+AD70+Z70</f>
        <v>0</v>
      </c>
      <c r="W70" s="96">
        <v>0</v>
      </c>
      <c r="X70" s="96">
        <v>0</v>
      </c>
      <c r="Y70" s="96">
        <v>0</v>
      </c>
      <c r="Z70" s="96">
        <f t="shared" si="98"/>
        <v>0</v>
      </c>
      <c r="AA70" s="96">
        <v>0</v>
      </c>
      <c r="AB70" s="96">
        <v>0</v>
      </c>
      <c r="AC70" s="96">
        <v>0</v>
      </c>
      <c r="AD70" s="96">
        <f t="shared" si="99"/>
        <v>0</v>
      </c>
      <c r="AE70" s="96">
        <v>0</v>
      </c>
      <c r="AF70" s="96">
        <v>0</v>
      </c>
      <c r="AG70" s="96">
        <v>0</v>
      </c>
      <c r="AH70" s="96">
        <f t="shared" si="100"/>
        <v>0</v>
      </c>
      <c r="AI70" s="96">
        <v>0</v>
      </c>
      <c r="AJ70" s="96">
        <v>0</v>
      </c>
      <c r="AK70" s="96">
        <v>0</v>
      </c>
      <c r="AL70" s="96">
        <f t="shared" si="101"/>
        <v>0</v>
      </c>
      <c r="AM70" s="99"/>
    </row>
    <row r="71" spans="2:40" hidden="1" x14ac:dyDescent="0.35">
      <c r="B71" s="90" t="s">
        <v>292</v>
      </c>
      <c r="C71" s="95" t="s">
        <v>293</v>
      </c>
      <c r="D71" s="96">
        <f>'[1]AK Opr Juni GP Des (1)'!D71</f>
        <v>0</v>
      </c>
      <c r="E71" s="96">
        <f>'[1]AK Opr Juni GP Des (1)'!E71</f>
        <v>0</v>
      </c>
      <c r="F71" s="96"/>
      <c r="G71" s="96"/>
      <c r="H71" s="97"/>
      <c r="I71" s="96"/>
      <c r="J71" s="96">
        <f>'[1]AK Opr Juni GP Des (1)'!K71</f>
        <v>0</v>
      </c>
      <c r="K71" s="96">
        <f>'[1]AK Opr Juni GP Des (1)'!L71</f>
        <v>0</v>
      </c>
      <c r="L71" s="96">
        <f>'[1]AK Opr Juni GP Des (1)'!M71</f>
        <v>0</v>
      </c>
      <c r="M71" s="96">
        <f>SUM(F71:L71)</f>
        <v>0</v>
      </c>
      <c r="N71" s="98">
        <f t="shared" si="89"/>
        <v>0</v>
      </c>
      <c r="O71" s="73"/>
      <c r="P71" s="73"/>
      <c r="Q71" s="96"/>
      <c r="R71" s="96"/>
      <c r="S71" s="96">
        <f t="shared" si="96"/>
        <v>0</v>
      </c>
      <c r="T71" s="96"/>
      <c r="U71" s="96">
        <f t="shared" si="97"/>
        <v>0</v>
      </c>
      <c r="V71" s="96"/>
      <c r="W71" s="96">
        <f t="shared" si="13"/>
        <v>0</v>
      </c>
      <c r="X71" s="96">
        <f t="shared" si="14"/>
        <v>0</v>
      </c>
      <c r="Y71" s="96">
        <f t="shared" si="14"/>
        <v>0</v>
      </c>
      <c r="Z71" s="96"/>
      <c r="AA71" s="96">
        <f t="shared" ref="AA71:AC71" si="104">Z71+M71</f>
        <v>0</v>
      </c>
      <c r="AB71" s="96">
        <f t="shared" si="104"/>
        <v>0</v>
      </c>
      <c r="AC71" s="96">
        <f t="shared" si="104"/>
        <v>0</v>
      </c>
      <c r="AD71" s="96"/>
      <c r="AE71" s="96">
        <f t="shared" ref="AE71:AG71" si="105">AD71+Q71</f>
        <v>0</v>
      </c>
      <c r="AF71" s="96">
        <f t="shared" si="105"/>
        <v>0</v>
      </c>
      <c r="AG71" s="96">
        <f t="shared" si="105"/>
        <v>0</v>
      </c>
      <c r="AH71" s="96"/>
      <c r="AI71" s="96">
        <f t="shared" ref="AI71" si="106">AH71+U71</f>
        <v>0</v>
      </c>
      <c r="AJ71" s="96">
        <f t="shared" ref="AJ71:AK71" si="107">AI71+W71</f>
        <v>0</v>
      </c>
      <c r="AK71" s="96">
        <f t="shared" si="107"/>
        <v>0</v>
      </c>
      <c r="AL71" s="96"/>
      <c r="AM71" s="99"/>
    </row>
    <row r="72" spans="2:40" x14ac:dyDescent="0.35">
      <c r="B72" s="90"/>
      <c r="C72" s="100" t="s">
        <v>294</v>
      </c>
      <c r="D72" s="101">
        <f>'[1]AK Opr Juni GP Des (1)'!D72</f>
        <v>326858</v>
      </c>
      <c r="E72" s="101">
        <f t="shared" ref="E72:M72" si="108">SUM(E67:E71)</f>
        <v>162070</v>
      </c>
      <c r="F72" s="101">
        <f t="shared" si="108"/>
        <v>126859.38430000001</v>
      </c>
      <c r="G72" s="101">
        <f t="shared" si="108"/>
        <v>42350.609000000004</v>
      </c>
      <c r="H72" s="101">
        <f t="shared" si="108"/>
        <v>8885.2800000000007</v>
      </c>
      <c r="I72" s="101">
        <f t="shared" si="108"/>
        <v>340165.27329999994</v>
      </c>
      <c r="J72" s="101">
        <f t="shared" si="108"/>
        <v>600</v>
      </c>
      <c r="K72" s="101">
        <f t="shared" si="108"/>
        <v>0</v>
      </c>
      <c r="L72" s="101">
        <f t="shared" si="108"/>
        <v>0</v>
      </c>
      <c r="M72" s="101">
        <f t="shared" si="108"/>
        <v>600</v>
      </c>
      <c r="N72" s="103">
        <f t="shared" si="89"/>
        <v>162670</v>
      </c>
      <c r="O72" s="73">
        <f>427119-E72</f>
        <v>265049</v>
      </c>
      <c r="P72" s="73"/>
      <c r="Q72" s="104">
        <f t="shared" ref="Q72:T72" si="109">SUM(Q67:Q71)</f>
        <v>100</v>
      </c>
      <c r="R72" s="104">
        <f t="shared" si="109"/>
        <v>115.33499999999999</v>
      </c>
      <c r="S72" s="104">
        <f t="shared" si="96"/>
        <v>340380.60829999996</v>
      </c>
      <c r="T72" s="104">
        <f t="shared" si="109"/>
        <v>0</v>
      </c>
      <c r="U72" s="104">
        <f t="shared" si="97"/>
        <v>340380.60829999996</v>
      </c>
      <c r="V72" s="101">
        <f>SUM(V67:V71)</f>
        <v>40000</v>
      </c>
      <c r="W72" s="101">
        <f t="shared" ref="W72:AL72" si="110">SUM(W67:W71)</f>
        <v>0</v>
      </c>
      <c r="X72" s="101">
        <f t="shared" si="110"/>
        <v>0</v>
      </c>
      <c r="Y72" s="101">
        <f t="shared" si="110"/>
        <v>0</v>
      </c>
      <c r="Z72" s="101">
        <f t="shared" si="110"/>
        <v>0</v>
      </c>
      <c r="AA72" s="101">
        <f t="shared" si="110"/>
        <v>0</v>
      </c>
      <c r="AB72" s="101">
        <f t="shared" si="110"/>
        <v>0</v>
      </c>
      <c r="AC72" s="101">
        <f t="shared" si="110"/>
        <v>0</v>
      </c>
      <c r="AD72" s="101">
        <f t="shared" si="110"/>
        <v>0</v>
      </c>
      <c r="AE72" s="101">
        <f t="shared" si="110"/>
        <v>0</v>
      </c>
      <c r="AF72" s="101">
        <f t="shared" si="110"/>
        <v>0</v>
      </c>
      <c r="AG72" s="101">
        <f t="shared" si="110"/>
        <v>0</v>
      </c>
      <c r="AH72" s="101">
        <f t="shared" si="110"/>
        <v>0</v>
      </c>
      <c r="AI72" s="101">
        <f t="shared" si="110"/>
        <v>0</v>
      </c>
      <c r="AJ72" s="101">
        <f t="shared" si="110"/>
        <v>0</v>
      </c>
      <c r="AK72" s="101">
        <f t="shared" si="110"/>
        <v>40000</v>
      </c>
      <c r="AL72" s="101">
        <f t="shared" si="110"/>
        <v>40000</v>
      </c>
      <c r="AM72" s="99"/>
    </row>
    <row r="73" spans="2:40" ht="7.5" customHeight="1" x14ac:dyDescent="0.35">
      <c r="B73" s="90"/>
      <c r="C73" s="9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7"/>
      <c r="O73" s="73"/>
      <c r="P73" s="73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</row>
    <row r="74" spans="2:40" x14ac:dyDescent="0.35">
      <c r="B74" s="116" t="s">
        <v>224</v>
      </c>
      <c r="C74" s="117" t="s">
        <v>295</v>
      </c>
      <c r="D74" s="118">
        <f>'[1]AK Opr Juni GP Des (1)'!D74</f>
        <v>-326858</v>
      </c>
      <c r="E74" s="118">
        <f t="shared" ref="E74:M74" si="111">E64-E72</f>
        <v>-162070</v>
      </c>
      <c r="F74" s="118">
        <f t="shared" si="111"/>
        <v>-126859.38430000001</v>
      </c>
      <c r="G74" s="118">
        <f t="shared" si="111"/>
        <v>-42350.609000000004</v>
      </c>
      <c r="H74" s="118">
        <f t="shared" si="111"/>
        <v>-8885.2800000000007</v>
      </c>
      <c r="I74" s="118">
        <f t="shared" si="111"/>
        <v>-340165.27329999994</v>
      </c>
      <c r="J74" s="118">
        <f t="shared" si="111"/>
        <v>-600</v>
      </c>
      <c r="K74" s="118">
        <f t="shared" si="111"/>
        <v>0</v>
      </c>
      <c r="L74" s="118">
        <f t="shared" si="111"/>
        <v>0</v>
      </c>
      <c r="M74" s="118">
        <f t="shared" si="111"/>
        <v>-600</v>
      </c>
      <c r="N74" s="119">
        <f t="shared" si="89"/>
        <v>-162670</v>
      </c>
      <c r="O74" s="73"/>
      <c r="P74" s="73"/>
      <c r="Q74" s="118">
        <f t="shared" ref="Q74:T74" si="112">Q64-Q72</f>
        <v>-100</v>
      </c>
      <c r="R74" s="118">
        <f t="shared" si="112"/>
        <v>-115.33499999999999</v>
      </c>
      <c r="S74" s="118">
        <f t="shared" si="96"/>
        <v>-340380.60829999996</v>
      </c>
      <c r="T74" s="118">
        <f t="shared" si="112"/>
        <v>0</v>
      </c>
      <c r="U74" s="118">
        <f t="shared" si="97"/>
        <v>-340380.60829999996</v>
      </c>
      <c r="V74" s="118">
        <f>V64-V72</f>
        <v>-40000</v>
      </c>
      <c r="W74" s="118">
        <f t="shared" ref="W74:AL74" si="113">W64-W72</f>
        <v>0</v>
      </c>
      <c r="X74" s="118">
        <f t="shared" si="113"/>
        <v>0</v>
      </c>
      <c r="Y74" s="118">
        <f t="shared" si="113"/>
        <v>0</v>
      </c>
      <c r="Z74" s="118">
        <f t="shared" si="113"/>
        <v>0</v>
      </c>
      <c r="AA74" s="118">
        <f t="shared" si="113"/>
        <v>0</v>
      </c>
      <c r="AB74" s="118">
        <f t="shared" si="113"/>
        <v>0</v>
      </c>
      <c r="AC74" s="118">
        <f t="shared" si="113"/>
        <v>0</v>
      </c>
      <c r="AD74" s="118">
        <f t="shared" si="113"/>
        <v>0</v>
      </c>
      <c r="AE74" s="118">
        <f t="shared" si="113"/>
        <v>0</v>
      </c>
      <c r="AF74" s="118">
        <f t="shared" si="113"/>
        <v>0</v>
      </c>
      <c r="AG74" s="118">
        <f t="shared" si="113"/>
        <v>0</v>
      </c>
      <c r="AH74" s="118">
        <f t="shared" si="113"/>
        <v>0</v>
      </c>
      <c r="AI74" s="118">
        <f t="shared" si="113"/>
        <v>0</v>
      </c>
      <c r="AJ74" s="118">
        <f t="shared" si="113"/>
        <v>0</v>
      </c>
      <c r="AK74" s="118">
        <f t="shared" si="113"/>
        <v>-40000</v>
      </c>
      <c r="AL74" s="118">
        <f t="shared" si="113"/>
        <v>-40000</v>
      </c>
      <c r="AM74" s="99"/>
    </row>
    <row r="75" spans="2:40" x14ac:dyDescent="0.35">
      <c r="B75" s="90" t="s">
        <v>296</v>
      </c>
      <c r="C75" s="91" t="s">
        <v>297</v>
      </c>
      <c r="D75" s="105"/>
      <c r="E75" s="105"/>
      <c r="F75" s="105"/>
      <c r="G75" s="105"/>
      <c r="H75" s="106"/>
      <c r="I75" s="105"/>
      <c r="J75" s="105"/>
      <c r="K75" s="105"/>
      <c r="L75" s="105"/>
      <c r="M75" s="105">
        <f>SUM(F75:L75)</f>
        <v>0</v>
      </c>
      <c r="N75" s="107">
        <f t="shared" si="89"/>
        <v>0</v>
      </c>
      <c r="O75" s="73"/>
      <c r="P75" s="73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</row>
    <row r="76" spans="2:40" x14ac:dyDescent="0.35">
      <c r="B76" s="90" t="s">
        <v>207</v>
      </c>
      <c r="C76" s="95" t="s">
        <v>298</v>
      </c>
      <c r="D76" s="105"/>
      <c r="E76" s="105"/>
      <c r="F76" s="105"/>
      <c r="G76" s="105"/>
      <c r="H76" s="106"/>
      <c r="I76" s="105"/>
      <c r="J76" s="105"/>
      <c r="K76" s="105"/>
      <c r="L76" s="105"/>
      <c r="M76" s="105">
        <f>SUM(F76:L76)</f>
        <v>0</v>
      </c>
      <c r="N76" s="107">
        <f t="shared" si="89"/>
        <v>0</v>
      </c>
      <c r="O76" s="73"/>
      <c r="P76" s="73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</row>
    <row r="77" spans="2:40" x14ac:dyDescent="0.35">
      <c r="B77" s="90" t="s">
        <v>209</v>
      </c>
      <c r="C77" s="95" t="s">
        <v>299</v>
      </c>
      <c r="D77" s="96">
        <f>'[1]AK Opr Juni GP Des (1)'!D77</f>
        <v>330000</v>
      </c>
      <c r="E77" s="96">
        <v>366724.09543799999</v>
      </c>
      <c r="F77" s="96">
        <v>90787.674639999997</v>
      </c>
      <c r="G77" s="96">
        <v>66457.774218000006</v>
      </c>
      <c r="H77" s="97">
        <v>0</v>
      </c>
      <c r="I77" s="96">
        <f t="shared" ref="I77:I81" si="114">H77+G77+F77+E77</f>
        <v>523969.54429599998</v>
      </c>
      <c r="J77" s="96">
        <v>0</v>
      </c>
      <c r="K77" s="96">
        <v>0</v>
      </c>
      <c r="L77" s="96">
        <v>0</v>
      </c>
      <c r="M77" s="96">
        <f t="shared" ref="M77:M81" si="115">J77+K77+L77</f>
        <v>0</v>
      </c>
      <c r="N77" s="98">
        <f t="shared" si="89"/>
        <v>366724.09543799999</v>
      </c>
      <c r="O77" s="73"/>
      <c r="P77" s="73"/>
      <c r="Q77" s="96">
        <f t="shared" ref="Q77:Q81" si="116">H77</f>
        <v>0</v>
      </c>
      <c r="R77" s="96">
        <f t="shared" ref="R77:R79" si="117">Q77</f>
        <v>0</v>
      </c>
      <c r="S77" s="96">
        <f t="shared" ref="S77:S82" si="118">R77+Q77+I77</f>
        <v>523969.54429599998</v>
      </c>
      <c r="T77" s="96">
        <v>17610</v>
      </c>
      <c r="U77" s="96">
        <f t="shared" ref="U77:U82" si="119">S77+T77</f>
        <v>541579.54429599992</v>
      </c>
      <c r="V77" s="96">
        <f>AL77+AH77+AD77+Z77</f>
        <v>20419.699999999997</v>
      </c>
      <c r="W77" s="96">
        <v>0</v>
      </c>
      <c r="X77" s="96">
        <v>0</v>
      </c>
      <c r="Y77" s="96">
        <v>20419.699999999997</v>
      </c>
      <c r="Z77" s="96">
        <f t="shared" ref="Z77:Z81" si="120">Y77+X77+W77</f>
        <v>20419.699999999997</v>
      </c>
      <c r="AA77" s="96">
        <v>0</v>
      </c>
      <c r="AB77" s="96">
        <v>0</v>
      </c>
      <c r="AC77" s="96">
        <v>0</v>
      </c>
      <c r="AD77" s="96">
        <f t="shared" ref="AD77:AD81" si="121">AC77+AB77+AA77</f>
        <v>0</v>
      </c>
      <c r="AE77" s="96">
        <v>0</v>
      </c>
      <c r="AF77" s="96">
        <v>0</v>
      </c>
      <c r="AG77" s="96">
        <v>0</v>
      </c>
      <c r="AH77" s="96">
        <f t="shared" ref="AH77:AH79" si="122">AG77+AF77+AE77</f>
        <v>0</v>
      </c>
      <c r="AI77" s="96">
        <v>0</v>
      </c>
      <c r="AJ77" s="96">
        <v>0</v>
      </c>
      <c r="AK77" s="96">
        <v>0</v>
      </c>
      <c r="AL77" s="96">
        <f t="shared" ref="AL77:AL79" si="123">AK77+AJ77+AI77</f>
        <v>0</v>
      </c>
      <c r="AM77" s="99"/>
      <c r="AN77" s="99"/>
    </row>
    <row r="78" spans="2:40" hidden="1" x14ac:dyDescent="0.35">
      <c r="B78" s="90" t="s">
        <v>211</v>
      </c>
      <c r="C78" s="95" t="s">
        <v>300</v>
      </c>
      <c r="D78" s="96">
        <f>'[1]AK Opr Juni GP Des (1)'!D78</f>
        <v>0</v>
      </c>
      <c r="E78" s="96">
        <f>'[1]AK Opr Juni GP Des (1)'!E78</f>
        <v>0</v>
      </c>
      <c r="F78" s="96"/>
      <c r="G78" s="96"/>
      <c r="H78" s="97"/>
      <c r="I78" s="96">
        <f t="shared" si="114"/>
        <v>0</v>
      </c>
      <c r="J78" s="96">
        <f>'[1]AK Opr Juni GP Des (1)'!K78</f>
        <v>0</v>
      </c>
      <c r="K78" s="96">
        <f>'[1]AK Opr Juni GP Des (1)'!L78</f>
        <v>0</v>
      </c>
      <c r="L78" s="96">
        <f>'[1]AK Opr Juni GP Des (1)'!M78</f>
        <v>0</v>
      </c>
      <c r="M78" s="96">
        <f t="shared" si="115"/>
        <v>0</v>
      </c>
      <c r="N78" s="98">
        <f t="shared" si="89"/>
        <v>0</v>
      </c>
      <c r="O78" s="73"/>
      <c r="P78" s="73"/>
      <c r="Q78" s="96">
        <f t="shared" si="116"/>
        <v>0</v>
      </c>
      <c r="R78" s="96">
        <f t="shared" si="117"/>
        <v>0</v>
      </c>
      <c r="S78" s="96">
        <f t="shared" si="118"/>
        <v>0</v>
      </c>
      <c r="T78" s="96">
        <f>R78</f>
        <v>0</v>
      </c>
      <c r="U78" s="96">
        <f t="shared" si="119"/>
        <v>0</v>
      </c>
      <c r="V78" s="96">
        <f>AL78+AH78+AD78+Z78</f>
        <v>0</v>
      </c>
      <c r="W78" s="96">
        <v>0</v>
      </c>
      <c r="X78" s="96">
        <v>0</v>
      </c>
      <c r="Y78" s="96">
        <v>0</v>
      </c>
      <c r="Z78" s="96">
        <f t="shared" si="120"/>
        <v>0</v>
      </c>
      <c r="AA78" s="96">
        <v>0</v>
      </c>
      <c r="AB78" s="96">
        <v>0</v>
      </c>
      <c r="AC78" s="96">
        <v>0</v>
      </c>
      <c r="AD78" s="96">
        <f t="shared" si="121"/>
        <v>0</v>
      </c>
      <c r="AE78" s="96">
        <v>0</v>
      </c>
      <c r="AF78" s="96">
        <v>0</v>
      </c>
      <c r="AG78" s="96">
        <v>0</v>
      </c>
      <c r="AH78" s="96">
        <f t="shared" si="122"/>
        <v>0</v>
      </c>
      <c r="AI78" s="96">
        <v>0</v>
      </c>
      <c r="AJ78" s="96">
        <v>0</v>
      </c>
      <c r="AK78" s="96">
        <v>0</v>
      </c>
      <c r="AL78" s="96">
        <f t="shared" si="123"/>
        <v>0</v>
      </c>
      <c r="AM78" s="99"/>
    </row>
    <row r="79" spans="2:40" hidden="1" x14ac:dyDescent="0.35">
      <c r="B79" s="90" t="s">
        <v>213</v>
      </c>
      <c r="C79" s="95" t="s">
        <v>301</v>
      </c>
      <c r="D79" s="96">
        <f>'[1]AK Opr Juni GP Des (1)'!D79</f>
        <v>0</v>
      </c>
      <c r="E79" s="96">
        <f>'[1]AK Opr Juni GP Des (1)'!E79</f>
        <v>0</v>
      </c>
      <c r="F79" s="96"/>
      <c r="G79" s="96"/>
      <c r="H79" s="97"/>
      <c r="I79" s="96">
        <f t="shared" si="114"/>
        <v>0</v>
      </c>
      <c r="J79" s="96">
        <f>'[1]AK Opr Juni GP Des (1)'!K79</f>
        <v>0</v>
      </c>
      <c r="K79" s="96">
        <f>'[1]AK Opr Juni GP Des (1)'!L79</f>
        <v>0</v>
      </c>
      <c r="L79" s="96">
        <f>'[1]AK Opr Juni GP Des (1)'!M79</f>
        <v>0</v>
      </c>
      <c r="M79" s="96">
        <f t="shared" si="115"/>
        <v>0</v>
      </c>
      <c r="N79" s="98">
        <f t="shared" si="89"/>
        <v>0</v>
      </c>
      <c r="O79" s="73"/>
      <c r="P79" s="73"/>
      <c r="Q79" s="96">
        <f t="shared" si="116"/>
        <v>0</v>
      </c>
      <c r="R79" s="96">
        <f t="shared" si="117"/>
        <v>0</v>
      </c>
      <c r="S79" s="96">
        <f t="shared" si="118"/>
        <v>0</v>
      </c>
      <c r="T79" s="96">
        <f>R79</f>
        <v>0</v>
      </c>
      <c r="U79" s="96">
        <f t="shared" si="119"/>
        <v>0</v>
      </c>
      <c r="V79" s="96">
        <f>AL79+AH79+AD79+Z79</f>
        <v>0</v>
      </c>
      <c r="W79" s="96">
        <v>0</v>
      </c>
      <c r="X79" s="96">
        <v>0</v>
      </c>
      <c r="Y79" s="96">
        <v>0</v>
      </c>
      <c r="Z79" s="96">
        <f t="shared" si="120"/>
        <v>0</v>
      </c>
      <c r="AA79" s="96">
        <v>0</v>
      </c>
      <c r="AB79" s="96">
        <v>0</v>
      </c>
      <c r="AC79" s="96">
        <v>0</v>
      </c>
      <c r="AD79" s="96">
        <f t="shared" si="121"/>
        <v>0</v>
      </c>
      <c r="AE79" s="96">
        <v>0</v>
      </c>
      <c r="AF79" s="96">
        <v>0</v>
      </c>
      <c r="AG79" s="96">
        <v>0</v>
      </c>
      <c r="AH79" s="96">
        <f t="shared" si="122"/>
        <v>0</v>
      </c>
      <c r="AI79" s="96">
        <v>0</v>
      </c>
      <c r="AJ79" s="96">
        <v>0</v>
      </c>
      <c r="AK79" s="96">
        <v>0</v>
      </c>
      <c r="AL79" s="96">
        <f t="shared" si="123"/>
        <v>0</v>
      </c>
      <c r="AM79" s="99"/>
    </row>
    <row r="80" spans="2:40" s="120" customFormat="1" ht="13" x14ac:dyDescent="0.3">
      <c r="B80" s="121"/>
      <c r="C80" s="122" t="s">
        <v>302</v>
      </c>
      <c r="D80" s="96">
        <v>0</v>
      </c>
      <c r="E80" s="96"/>
      <c r="F80" s="96"/>
      <c r="G80" s="96"/>
      <c r="H80" s="97"/>
      <c r="I80" s="96"/>
      <c r="J80" s="96"/>
      <c r="K80" s="96"/>
      <c r="L80" s="96"/>
      <c r="M80" s="96"/>
      <c r="N80" s="98"/>
      <c r="O80" s="73"/>
      <c r="P80" s="73"/>
      <c r="Q80" s="96"/>
      <c r="R80" s="96"/>
      <c r="S80" s="96">
        <v>0</v>
      </c>
      <c r="T80" s="123">
        <v>20000</v>
      </c>
      <c r="U80" s="123">
        <v>0</v>
      </c>
      <c r="V80" s="124">
        <f>AL80+AH80+AD80+Z80</f>
        <v>-20000</v>
      </c>
      <c r="W80" s="123"/>
      <c r="X80" s="123"/>
      <c r="Y80" s="124">
        <v>-20000</v>
      </c>
      <c r="Z80" s="124">
        <f t="shared" si="120"/>
        <v>-20000</v>
      </c>
      <c r="AA80" s="123">
        <v>0</v>
      </c>
      <c r="AB80" s="123">
        <v>0</v>
      </c>
      <c r="AC80" s="124">
        <v>0</v>
      </c>
      <c r="AD80" s="123">
        <f t="shared" si="121"/>
        <v>0</v>
      </c>
      <c r="AE80" s="123">
        <v>0</v>
      </c>
      <c r="AF80" s="123">
        <v>0</v>
      </c>
      <c r="AG80" s="124">
        <v>0</v>
      </c>
      <c r="AH80" s="123"/>
      <c r="AI80" s="123">
        <v>0</v>
      </c>
      <c r="AJ80" s="123">
        <v>0</v>
      </c>
      <c r="AK80" s="123">
        <v>0</v>
      </c>
      <c r="AL80" s="123"/>
      <c r="AM80" s="125"/>
    </row>
    <row r="81" spans="2:39" x14ac:dyDescent="0.35">
      <c r="B81" s="90" t="s">
        <v>221</v>
      </c>
      <c r="C81" s="95" t="s">
        <v>303</v>
      </c>
      <c r="D81" s="96">
        <f>'[1]AK Opr Juni GP Des (1)'!D80</f>
        <v>264000</v>
      </c>
      <c r="E81" s="96">
        <v>239434</v>
      </c>
      <c r="F81" s="96">
        <v>74800</v>
      </c>
      <c r="G81" s="96">
        <v>0</v>
      </c>
      <c r="H81" s="97">
        <v>0</v>
      </c>
      <c r="I81" s="96">
        <f t="shared" si="114"/>
        <v>314234</v>
      </c>
      <c r="J81" s="96">
        <v>0</v>
      </c>
      <c r="K81" s="96">
        <v>0</v>
      </c>
      <c r="L81" s="96">
        <v>0</v>
      </c>
      <c r="M81" s="96">
        <f t="shared" si="115"/>
        <v>0</v>
      </c>
      <c r="N81" s="98">
        <f t="shared" si="89"/>
        <v>239434</v>
      </c>
      <c r="O81" s="73"/>
      <c r="P81" s="73"/>
      <c r="Q81" s="96">
        <f t="shared" si="116"/>
        <v>0</v>
      </c>
      <c r="R81" s="96">
        <f t="shared" ref="R81" si="124">Q81</f>
        <v>0</v>
      </c>
      <c r="S81" s="96">
        <f t="shared" si="118"/>
        <v>314234</v>
      </c>
      <c r="T81" s="96">
        <f>R81</f>
        <v>0</v>
      </c>
      <c r="U81" s="96">
        <f t="shared" si="119"/>
        <v>314234</v>
      </c>
      <c r="V81" s="96">
        <f>AL81+AH81+AD81+Z81</f>
        <v>94000</v>
      </c>
      <c r="W81" s="96">
        <v>0</v>
      </c>
      <c r="X81" s="96">
        <v>0</v>
      </c>
      <c r="Y81" s="96">
        <v>94000</v>
      </c>
      <c r="Z81" s="96">
        <f t="shared" si="120"/>
        <v>94000</v>
      </c>
      <c r="AA81" s="96">
        <v>0</v>
      </c>
      <c r="AB81" s="96">
        <v>0</v>
      </c>
      <c r="AC81" s="96">
        <v>0</v>
      </c>
      <c r="AD81" s="96">
        <f t="shared" si="121"/>
        <v>0</v>
      </c>
      <c r="AE81" s="96">
        <v>0</v>
      </c>
      <c r="AF81" s="96">
        <v>0</v>
      </c>
      <c r="AG81" s="96">
        <v>0</v>
      </c>
      <c r="AH81" s="96">
        <f t="shared" ref="AH81" si="125">AG81+AF81+AE81</f>
        <v>0</v>
      </c>
      <c r="AI81" s="96">
        <v>0</v>
      </c>
      <c r="AJ81" s="96">
        <v>0</v>
      </c>
      <c r="AK81" s="96">
        <v>0</v>
      </c>
      <c r="AL81" s="96">
        <f t="shared" ref="AL81" si="126">AK81+AJ81+AI81</f>
        <v>0</v>
      </c>
      <c r="AM81" s="99"/>
    </row>
    <row r="82" spans="2:39" x14ac:dyDescent="0.35">
      <c r="B82" s="90"/>
      <c r="C82" s="100" t="s">
        <v>304</v>
      </c>
      <c r="D82" s="101">
        <f>'[1]AK Opr Juni GP Des (1)'!D81</f>
        <v>594000</v>
      </c>
      <c r="E82" s="101">
        <f t="shared" ref="E82:M82" si="127">SUM(E77:E81)</f>
        <v>606158.09543800005</v>
      </c>
      <c r="F82" s="101">
        <f t="shared" si="127"/>
        <v>165587.67463999998</v>
      </c>
      <c r="G82" s="101">
        <f t="shared" si="127"/>
        <v>66457.774218000006</v>
      </c>
      <c r="H82" s="101">
        <f t="shared" si="127"/>
        <v>0</v>
      </c>
      <c r="I82" s="101">
        <f t="shared" si="127"/>
        <v>838203.54429599992</v>
      </c>
      <c r="J82" s="101">
        <f t="shared" si="127"/>
        <v>0</v>
      </c>
      <c r="K82" s="101">
        <f t="shared" si="127"/>
        <v>0</v>
      </c>
      <c r="L82" s="101">
        <f t="shared" si="127"/>
        <v>0</v>
      </c>
      <c r="M82" s="101">
        <f t="shared" si="127"/>
        <v>0</v>
      </c>
      <c r="N82" s="103">
        <f t="shared" si="89"/>
        <v>606158.09543800005</v>
      </c>
      <c r="O82" s="73">
        <f>E82-E69-E18</f>
        <v>153402.24999100005</v>
      </c>
      <c r="P82" s="73"/>
      <c r="Q82" s="104">
        <f t="shared" ref="Q82:T82" si="128">SUM(Q77:Q81)</f>
        <v>0</v>
      </c>
      <c r="R82" s="104">
        <f t="shared" si="128"/>
        <v>0</v>
      </c>
      <c r="S82" s="104">
        <f t="shared" si="118"/>
        <v>838203.54429599992</v>
      </c>
      <c r="T82" s="104">
        <f t="shared" si="128"/>
        <v>37610</v>
      </c>
      <c r="U82" s="104">
        <f t="shared" si="119"/>
        <v>875813.54429599992</v>
      </c>
      <c r="V82" s="101">
        <f t="shared" ref="V82:AL82" si="129">SUM(V77:V81)</f>
        <v>94419.7</v>
      </c>
      <c r="W82" s="101">
        <f t="shared" si="129"/>
        <v>0</v>
      </c>
      <c r="X82" s="101">
        <f t="shared" si="129"/>
        <v>0</v>
      </c>
      <c r="Y82" s="101">
        <f t="shared" si="129"/>
        <v>94419.7</v>
      </c>
      <c r="Z82" s="101">
        <f t="shared" si="129"/>
        <v>94419.7</v>
      </c>
      <c r="AA82" s="101">
        <f t="shared" si="129"/>
        <v>0</v>
      </c>
      <c r="AB82" s="101">
        <f t="shared" si="129"/>
        <v>0</v>
      </c>
      <c r="AC82" s="101">
        <f t="shared" si="129"/>
        <v>0</v>
      </c>
      <c r="AD82" s="101">
        <f t="shared" si="129"/>
        <v>0</v>
      </c>
      <c r="AE82" s="101">
        <f t="shared" si="129"/>
        <v>0</v>
      </c>
      <c r="AF82" s="101">
        <f t="shared" si="129"/>
        <v>0</v>
      </c>
      <c r="AG82" s="101">
        <f t="shared" si="129"/>
        <v>0</v>
      </c>
      <c r="AH82" s="101">
        <f t="shared" si="129"/>
        <v>0</v>
      </c>
      <c r="AI82" s="101">
        <f t="shared" si="129"/>
        <v>0</v>
      </c>
      <c r="AJ82" s="101">
        <f t="shared" si="129"/>
        <v>0</v>
      </c>
      <c r="AK82" s="101">
        <f t="shared" si="129"/>
        <v>0</v>
      </c>
      <c r="AL82" s="101">
        <f t="shared" si="129"/>
        <v>0</v>
      </c>
      <c r="AM82" s="99"/>
    </row>
    <row r="83" spans="2:39" ht="6.75" customHeight="1" x14ac:dyDescent="0.35">
      <c r="B83" s="90"/>
      <c r="C83" s="95"/>
      <c r="D83" s="105"/>
      <c r="E83" s="105"/>
      <c r="F83" s="105"/>
      <c r="G83" s="105"/>
      <c r="H83" s="106"/>
      <c r="I83" s="105"/>
      <c r="J83" s="105"/>
      <c r="K83" s="105"/>
      <c r="L83" s="105"/>
      <c r="M83" s="105">
        <f>SUM(F83:L83)</f>
        <v>0</v>
      </c>
      <c r="N83" s="107">
        <f t="shared" si="89"/>
        <v>0</v>
      </c>
      <c r="O83" s="73"/>
      <c r="P83" s="73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</row>
    <row r="84" spans="2:39" x14ac:dyDescent="0.35">
      <c r="B84" s="90" t="s">
        <v>216</v>
      </c>
      <c r="C84" s="95" t="s">
        <v>305</v>
      </c>
      <c r="D84" s="105"/>
      <c r="E84" s="105"/>
      <c r="F84" s="105"/>
      <c r="G84" s="105"/>
      <c r="H84" s="106"/>
      <c r="I84" s="105"/>
      <c r="J84" s="105"/>
      <c r="K84" s="105"/>
      <c r="L84" s="105"/>
      <c r="M84" s="105">
        <f>SUM(F84:L84)</f>
        <v>0</v>
      </c>
      <c r="N84" s="107">
        <f t="shared" si="89"/>
        <v>0</v>
      </c>
      <c r="O84" s="73"/>
      <c r="P84" s="73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</row>
    <row r="85" spans="2:39" x14ac:dyDescent="0.35">
      <c r="B85" s="90" t="s">
        <v>209</v>
      </c>
      <c r="C85" s="95" t="s">
        <v>306</v>
      </c>
      <c r="D85" s="96">
        <f>'[1]AK Opr Juni GP Des (1)'!D84</f>
        <v>6282</v>
      </c>
      <c r="E85" s="96">
        <v>93.893280000000004</v>
      </c>
      <c r="F85" s="96">
        <v>0</v>
      </c>
      <c r="G85" s="96"/>
      <c r="H85" s="97"/>
      <c r="I85" s="96">
        <f t="shared" ref="I85:I88" si="130">H85+G85+F85+E85</f>
        <v>93.893280000000004</v>
      </c>
      <c r="J85" s="96">
        <v>0</v>
      </c>
      <c r="K85" s="96">
        <v>0</v>
      </c>
      <c r="L85" s="96">
        <f>'[2]POKOK &amp;BUNGA BANK'!T15/1000000</f>
        <v>4298.7125999999998</v>
      </c>
      <c r="M85" s="96">
        <f t="shared" ref="M85:M88" si="131">J85+K85+L85</f>
        <v>4298.7125999999998</v>
      </c>
      <c r="N85" s="98">
        <f t="shared" si="89"/>
        <v>4392.6058800000001</v>
      </c>
      <c r="O85" s="73"/>
      <c r="P85" s="73"/>
      <c r="Q85" s="96">
        <f t="shared" ref="Q85:Q88" si="132">H85</f>
        <v>0</v>
      </c>
      <c r="R85" s="96">
        <f t="shared" ref="R85" si="133">Q85</f>
        <v>0</v>
      </c>
      <c r="S85" s="96">
        <f t="shared" ref="S85:S95" si="134">R85+Q85+I85</f>
        <v>93.893280000000004</v>
      </c>
      <c r="T85" s="96">
        <f>'[2]POKOK &amp;BUNGA BANK'!T15/1000000</f>
        <v>4298.7125999999998</v>
      </c>
      <c r="U85" s="96">
        <f t="shared" ref="U85:U95" si="135">S85+T85</f>
        <v>4392.6058800000001</v>
      </c>
      <c r="V85" s="96">
        <f>AL85+AH85+AD85+Z85</f>
        <v>16753.9568</v>
      </c>
      <c r="W85" s="96">
        <v>0</v>
      </c>
      <c r="X85" s="96">
        <v>0</v>
      </c>
      <c r="Y85" s="96">
        <v>4188.4892</v>
      </c>
      <c r="Z85" s="96">
        <f t="shared" ref="Z85:Z88" si="136">Y85+X85+W85</f>
        <v>4188.4892</v>
      </c>
      <c r="AA85" s="96">
        <v>0</v>
      </c>
      <c r="AB85" s="96">
        <v>0</v>
      </c>
      <c r="AC85" s="96">
        <v>4188.4892</v>
      </c>
      <c r="AD85" s="96">
        <f t="shared" ref="AD85:AD88" si="137">AC85+AB85+AA85</f>
        <v>4188.4892</v>
      </c>
      <c r="AE85" s="96">
        <v>0</v>
      </c>
      <c r="AF85" s="96">
        <v>0</v>
      </c>
      <c r="AG85" s="96">
        <v>4188.4892</v>
      </c>
      <c r="AH85" s="96">
        <f t="shared" ref="AH85:AH88" si="138">AG85+AF85+AE85</f>
        <v>4188.4892</v>
      </c>
      <c r="AI85" s="96">
        <v>0</v>
      </c>
      <c r="AJ85" s="96">
        <v>0</v>
      </c>
      <c r="AK85" s="96">
        <v>4188.4892</v>
      </c>
      <c r="AL85" s="96">
        <f t="shared" ref="AL85:AL88" si="139">AK85+AJ85+AI85</f>
        <v>4188.4892</v>
      </c>
      <c r="AM85" s="99"/>
    </row>
    <row r="86" spans="2:39" x14ac:dyDescent="0.35">
      <c r="B86" s="90" t="s">
        <v>211</v>
      </c>
      <c r="C86" s="95" t="s">
        <v>307</v>
      </c>
      <c r="D86" s="96">
        <f>'[1]AK Opr Juni GP Des (1)'!D85</f>
        <v>114361</v>
      </c>
      <c r="E86" s="96">
        <v>31157.322538</v>
      </c>
      <c r="F86" s="96">
        <v>3601.2495739999999</v>
      </c>
      <c r="G86" s="96">
        <v>3717.9134629999999</v>
      </c>
      <c r="H86" s="97">
        <v>10867.203047000001</v>
      </c>
      <c r="I86" s="96">
        <f t="shared" si="130"/>
        <v>49343.688622000001</v>
      </c>
      <c r="J86" s="96">
        <f>'[2]POKOK &amp;BUNGA BANK'!S13/1000000</f>
        <v>10492.675501427319</v>
      </c>
      <c r="K86" s="96">
        <f>'[2]POKOK &amp;BUNGA BANK'!S14/1000000</f>
        <v>10869.666689354157</v>
      </c>
      <c r="L86" s="96">
        <f>'[2]POKOK &amp;BUNGA BANK'!S15/1000000</f>
        <v>10550.641889769457</v>
      </c>
      <c r="M86" s="96">
        <f t="shared" si="131"/>
        <v>31912.984080550934</v>
      </c>
      <c r="N86" s="98">
        <f t="shared" si="89"/>
        <v>63070.306618550938</v>
      </c>
      <c r="O86" s="73"/>
      <c r="P86" s="73"/>
      <c r="Q86" s="96">
        <v>10521.6</v>
      </c>
      <c r="R86" s="96">
        <v>10721.7</v>
      </c>
      <c r="S86" s="96">
        <f t="shared" si="134"/>
        <v>70586.988622000004</v>
      </c>
      <c r="T86" s="96">
        <v>11187</v>
      </c>
      <c r="U86" s="96">
        <f t="shared" si="135"/>
        <v>81773.988622000004</v>
      </c>
      <c r="V86" s="96">
        <f>AL86+AH86+AD86+Z86</f>
        <v>138192.4781147204</v>
      </c>
      <c r="W86" s="96">
        <v>11492.087244552731</v>
      </c>
      <c r="X86" s="96">
        <v>11527.412418949441</v>
      </c>
      <c r="Y86" s="96">
        <v>10783.626362914632</v>
      </c>
      <c r="Z86" s="96">
        <f t="shared" si="136"/>
        <v>33803.126026416809</v>
      </c>
      <c r="AA86" s="96">
        <v>11586.034429534222</v>
      </c>
      <c r="AB86" s="96">
        <v>11359.487093243139</v>
      </c>
      <c r="AC86" s="96">
        <v>11655.545256572912</v>
      </c>
      <c r="AD86" s="96">
        <f t="shared" si="137"/>
        <v>34601.066779350273</v>
      </c>
      <c r="AE86" s="96">
        <v>11418.1458625942</v>
      </c>
      <c r="AF86" s="96">
        <v>11716.446310667157</v>
      </c>
      <c r="AG86" s="96">
        <v>11751.771485063869</v>
      </c>
      <c r="AH86" s="96">
        <f t="shared" si="138"/>
        <v>34886.363658325223</v>
      </c>
      <c r="AI86" s="96">
        <v>11510.990284587242</v>
      </c>
      <c r="AJ86" s="96">
        <v>11812.672539158113</v>
      </c>
      <c r="AK86" s="96">
        <v>11578.258826882748</v>
      </c>
      <c r="AL86" s="96">
        <f t="shared" si="139"/>
        <v>34901.921650628101</v>
      </c>
      <c r="AM86" s="99"/>
    </row>
    <row r="87" spans="2:39" x14ac:dyDescent="0.35">
      <c r="B87" s="90" t="s">
        <v>213</v>
      </c>
      <c r="C87" s="95" t="s">
        <v>308</v>
      </c>
      <c r="D87" s="96">
        <f>'[1]AK Opr Juni GP Des (1)'!D86</f>
        <v>8800</v>
      </c>
      <c r="E87" s="96">
        <f>'[1]AK Opr Juni GP Des (1)'!E86</f>
        <v>0</v>
      </c>
      <c r="F87" s="96">
        <v>0</v>
      </c>
      <c r="G87" s="96">
        <v>0</v>
      </c>
      <c r="H87" s="97">
        <v>0</v>
      </c>
      <c r="I87" s="96">
        <f t="shared" si="130"/>
        <v>0</v>
      </c>
      <c r="J87" s="96">
        <f>'[1]AK Opr Juni GP Des (1)'!K86</f>
        <v>0</v>
      </c>
      <c r="K87" s="96">
        <f>'[1]AK Opr Juni GP Des (1)'!L86</f>
        <v>0</v>
      </c>
      <c r="L87" s="96">
        <f>'[1]AK Opr Juni GP Des (1)'!M86</f>
        <v>0</v>
      </c>
      <c r="M87" s="96">
        <f t="shared" si="131"/>
        <v>0</v>
      </c>
      <c r="N87" s="98">
        <f t="shared" si="89"/>
        <v>0</v>
      </c>
      <c r="O87" s="73"/>
      <c r="P87" s="73"/>
      <c r="Q87" s="96">
        <f t="shared" si="132"/>
        <v>0</v>
      </c>
      <c r="R87" s="96">
        <f t="shared" ref="R87:R88" si="140">Q87</f>
        <v>0</v>
      </c>
      <c r="S87" s="96">
        <f t="shared" si="134"/>
        <v>0</v>
      </c>
      <c r="T87" s="96">
        <f>R87</f>
        <v>0</v>
      </c>
      <c r="U87" s="96">
        <f t="shared" si="135"/>
        <v>0</v>
      </c>
      <c r="V87" s="96">
        <f>AL87+AK87+AJ87</f>
        <v>0</v>
      </c>
      <c r="W87" s="96">
        <v>0</v>
      </c>
      <c r="X87" s="96">
        <v>0</v>
      </c>
      <c r="Y87" s="96">
        <v>0</v>
      </c>
      <c r="Z87" s="96">
        <f t="shared" si="136"/>
        <v>0</v>
      </c>
      <c r="AA87" s="96">
        <v>0</v>
      </c>
      <c r="AB87" s="96">
        <v>0</v>
      </c>
      <c r="AC87" s="96">
        <v>0</v>
      </c>
      <c r="AD87" s="96">
        <f t="shared" si="137"/>
        <v>0</v>
      </c>
      <c r="AE87" s="96">
        <v>0</v>
      </c>
      <c r="AF87" s="96">
        <v>0</v>
      </c>
      <c r="AG87" s="96">
        <v>0</v>
      </c>
      <c r="AH87" s="96">
        <f t="shared" si="138"/>
        <v>0</v>
      </c>
      <c r="AI87" s="96">
        <v>0</v>
      </c>
      <c r="AJ87" s="96">
        <v>0</v>
      </c>
      <c r="AK87" s="96">
        <v>0</v>
      </c>
      <c r="AL87" s="96">
        <f t="shared" si="139"/>
        <v>0</v>
      </c>
      <c r="AM87" s="99"/>
    </row>
    <row r="88" spans="2:39" x14ac:dyDescent="0.35">
      <c r="B88" s="90" t="s">
        <v>221</v>
      </c>
      <c r="C88" s="95" t="s">
        <v>309</v>
      </c>
      <c r="D88" s="96">
        <f>'[1]AK Opr Juni GP Des (1)'!D87</f>
        <v>91460</v>
      </c>
      <c r="E88" s="96">
        <v>0</v>
      </c>
      <c r="F88" s="96">
        <v>0</v>
      </c>
      <c r="G88" s="96">
        <v>0</v>
      </c>
      <c r="H88" s="97">
        <v>0</v>
      </c>
      <c r="I88" s="96">
        <f t="shared" si="130"/>
        <v>0</v>
      </c>
      <c r="J88" s="96">
        <v>0</v>
      </c>
      <c r="K88" s="96">
        <v>0</v>
      </c>
      <c r="L88" s="96">
        <v>0</v>
      </c>
      <c r="M88" s="96">
        <f t="shared" si="131"/>
        <v>0</v>
      </c>
      <c r="N88" s="98">
        <f t="shared" si="89"/>
        <v>0</v>
      </c>
      <c r="O88" s="73"/>
      <c r="P88" s="73"/>
      <c r="Q88" s="96">
        <f t="shared" si="132"/>
        <v>0</v>
      </c>
      <c r="R88" s="96">
        <f t="shared" si="140"/>
        <v>0</v>
      </c>
      <c r="S88" s="96">
        <f t="shared" si="134"/>
        <v>0</v>
      </c>
      <c r="T88" s="96">
        <f>R88</f>
        <v>0</v>
      </c>
      <c r="U88" s="96">
        <f t="shared" si="135"/>
        <v>0</v>
      </c>
      <c r="V88" s="96">
        <f>AL88+AK88+AJ88</f>
        <v>0</v>
      </c>
      <c r="W88" s="96">
        <v>0</v>
      </c>
      <c r="X88" s="96">
        <v>0</v>
      </c>
      <c r="Y88" s="96">
        <v>0</v>
      </c>
      <c r="Z88" s="96">
        <f t="shared" si="136"/>
        <v>0</v>
      </c>
      <c r="AA88" s="96">
        <v>0</v>
      </c>
      <c r="AB88" s="96">
        <v>0</v>
      </c>
      <c r="AC88" s="96">
        <v>0</v>
      </c>
      <c r="AD88" s="96">
        <f t="shared" si="137"/>
        <v>0</v>
      </c>
      <c r="AE88" s="96">
        <v>0</v>
      </c>
      <c r="AF88" s="96">
        <v>0</v>
      </c>
      <c r="AG88" s="96">
        <v>0</v>
      </c>
      <c r="AH88" s="96">
        <f t="shared" si="138"/>
        <v>0</v>
      </c>
      <c r="AI88" s="96">
        <v>0</v>
      </c>
      <c r="AJ88" s="96">
        <v>0</v>
      </c>
      <c r="AK88" s="96">
        <v>0</v>
      </c>
      <c r="AL88" s="96">
        <f t="shared" si="139"/>
        <v>0</v>
      </c>
      <c r="AM88" s="99"/>
    </row>
    <row r="89" spans="2:39" hidden="1" x14ac:dyDescent="0.35">
      <c r="B89" s="90" t="s">
        <v>232</v>
      </c>
      <c r="C89" s="95" t="s">
        <v>310</v>
      </c>
      <c r="D89" s="96">
        <f>'[1]AK Opr Juni GP Des (1)'!D88</f>
        <v>0</v>
      </c>
      <c r="E89" s="96">
        <f>'[1]AK Opr Juni GP Des (1)'!E88</f>
        <v>0</v>
      </c>
      <c r="F89" s="96"/>
      <c r="G89" s="96"/>
      <c r="H89" s="97"/>
      <c r="I89" s="96"/>
      <c r="J89" s="96">
        <f>'[1]AK Opr Juni GP Des (1)'!K88</f>
        <v>0</v>
      </c>
      <c r="K89" s="96">
        <f>'[1]AK Opr Juni GP Des (1)'!L88</f>
        <v>0</v>
      </c>
      <c r="L89" s="96">
        <f>'[1]AK Opr Juni GP Des (1)'!M88</f>
        <v>0</v>
      </c>
      <c r="M89" s="96">
        <f>SUM(F89:L89)</f>
        <v>0</v>
      </c>
      <c r="N89" s="98">
        <f t="shared" si="89"/>
        <v>0</v>
      </c>
      <c r="O89" s="73"/>
      <c r="P89" s="73"/>
      <c r="Q89" s="96"/>
      <c r="R89" s="96"/>
      <c r="S89" s="96">
        <f t="shared" si="134"/>
        <v>0</v>
      </c>
      <c r="T89" s="96"/>
      <c r="U89" s="96">
        <f t="shared" si="135"/>
        <v>0</v>
      </c>
      <c r="V89" s="96"/>
      <c r="W89" s="96">
        <f t="shared" ref="W89:W91" si="141">U89+I89</f>
        <v>0</v>
      </c>
      <c r="X89" s="96">
        <f t="shared" ref="X89:Y91" si="142">W89+J89</f>
        <v>0</v>
      </c>
      <c r="Y89" s="96">
        <f t="shared" si="142"/>
        <v>0</v>
      </c>
      <c r="Z89" s="96"/>
      <c r="AA89" s="96">
        <f t="shared" ref="AA89:AC91" si="143">Z89+M89</f>
        <v>0</v>
      </c>
      <c r="AB89" s="96">
        <f t="shared" si="143"/>
        <v>0</v>
      </c>
      <c r="AC89" s="96">
        <f t="shared" si="143"/>
        <v>0</v>
      </c>
      <c r="AD89" s="96"/>
      <c r="AE89" s="96">
        <f t="shared" ref="AE89:AG91" si="144">AD89+Q89</f>
        <v>0</v>
      </c>
      <c r="AF89" s="96">
        <f t="shared" si="144"/>
        <v>0</v>
      </c>
      <c r="AG89" s="96">
        <f t="shared" si="144"/>
        <v>0</v>
      </c>
      <c r="AH89" s="96"/>
      <c r="AI89" s="96">
        <f t="shared" ref="AI89:AI91" si="145">AH89+U89</f>
        <v>0</v>
      </c>
      <c r="AJ89" s="96">
        <f t="shared" ref="AJ89:AK91" si="146">AI89+W89</f>
        <v>0</v>
      </c>
      <c r="AK89" s="96">
        <f t="shared" si="146"/>
        <v>0</v>
      </c>
      <c r="AL89" s="96"/>
    </row>
    <row r="90" spans="2:39" hidden="1" x14ac:dyDescent="0.35">
      <c r="B90" s="90" t="s">
        <v>234</v>
      </c>
      <c r="C90" s="95" t="s">
        <v>311</v>
      </c>
      <c r="D90" s="96">
        <f>'[1]AK Opr Juni GP Des (1)'!D89</f>
        <v>0</v>
      </c>
      <c r="E90" s="96">
        <f>'[1]AK Opr Juni GP Des (1)'!E89</f>
        <v>0</v>
      </c>
      <c r="F90" s="96"/>
      <c r="G90" s="96"/>
      <c r="H90" s="97"/>
      <c r="I90" s="96"/>
      <c r="J90" s="96">
        <f>'[1]AK Opr Juni GP Des (1)'!K89</f>
        <v>0</v>
      </c>
      <c r="K90" s="96">
        <f>'[1]AK Opr Juni GP Des (1)'!L89</f>
        <v>0</v>
      </c>
      <c r="L90" s="96">
        <f>'[1]AK Opr Juni GP Des (1)'!M89</f>
        <v>0</v>
      </c>
      <c r="M90" s="96">
        <f>SUM(F90:L90)</f>
        <v>0</v>
      </c>
      <c r="N90" s="98">
        <f t="shared" si="89"/>
        <v>0</v>
      </c>
      <c r="O90" s="73"/>
      <c r="P90" s="73"/>
      <c r="Q90" s="96"/>
      <c r="R90" s="96"/>
      <c r="S90" s="96">
        <f t="shared" si="134"/>
        <v>0</v>
      </c>
      <c r="T90" s="96"/>
      <c r="U90" s="96">
        <f t="shared" si="135"/>
        <v>0</v>
      </c>
      <c r="V90" s="96"/>
      <c r="W90" s="96">
        <f t="shared" si="141"/>
        <v>0</v>
      </c>
      <c r="X90" s="96">
        <f t="shared" si="142"/>
        <v>0</v>
      </c>
      <c r="Y90" s="96">
        <f t="shared" si="142"/>
        <v>0</v>
      </c>
      <c r="Z90" s="96"/>
      <c r="AA90" s="96">
        <f t="shared" si="143"/>
        <v>0</v>
      </c>
      <c r="AB90" s="96">
        <f t="shared" si="143"/>
        <v>0</v>
      </c>
      <c r="AC90" s="96">
        <f t="shared" si="143"/>
        <v>0</v>
      </c>
      <c r="AD90" s="96"/>
      <c r="AE90" s="96">
        <f t="shared" si="144"/>
        <v>0</v>
      </c>
      <c r="AF90" s="96">
        <f t="shared" si="144"/>
        <v>0</v>
      </c>
      <c r="AG90" s="96">
        <f t="shared" si="144"/>
        <v>0</v>
      </c>
      <c r="AH90" s="96"/>
      <c r="AI90" s="96">
        <f t="shared" si="145"/>
        <v>0</v>
      </c>
      <c r="AJ90" s="96">
        <f t="shared" si="146"/>
        <v>0</v>
      </c>
      <c r="AK90" s="96">
        <f t="shared" si="146"/>
        <v>0</v>
      </c>
      <c r="AL90" s="96"/>
    </row>
    <row r="91" spans="2:39" hidden="1" x14ac:dyDescent="0.35">
      <c r="B91" s="90"/>
      <c r="C91" s="95"/>
      <c r="D91" s="96"/>
      <c r="E91" s="96"/>
      <c r="F91" s="96"/>
      <c r="G91" s="96"/>
      <c r="H91" s="97"/>
      <c r="I91" s="96"/>
      <c r="J91" s="96"/>
      <c r="K91" s="96"/>
      <c r="L91" s="96"/>
      <c r="M91" s="96">
        <f>SUM(F91:L91)</f>
        <v>0</v>
      </c>
      <c r="N91" s="98">
        <f t="shared" si="89"/>
        <v>0</v>
      </c>
      <c r="O91" s="73"/>
      <c r="P91" s="73"/>
      <c r="Q91" s="96"/>
      <c r="R91" s="96"/>
      <c r="S91" s="96">
        <f t="shared" si="134"/>
        <v>0</v>
      </c>
      <c r="T91" s="96"/>
      <c r="U91" s="96">
        <f t="shared" si="135"/>
        <v>0</v>
      </c>
      <c r="V91" s="96"/>
      <c r="W91" s="96">
        <f t="shared" si="141"/>
        <v>0</v>
      </c>
      <c r="X91" s="96">
        <f t="shared" si="142"/>
        <v>0</v>
      </c>
      <c r="Y91" s="96">
        <f t="shared" si="142"/>
        <v>0</v>
      </c>
      <c r="Z91" s="96"/>
      <c r="AA91" s="96">
        <f t="shared" si="143"/>
        <v>0</v>
      </c>
      <c r="AB91" s="96">
        <f t="shared" si="143"/>
        <v>0</v>
      </c>
      <c r="AC91" s="96">
        <f t="shared" si="143"/>
        <v>0</v>
      </c>
      <c r="AD91" s="96"/>
      <c r="AE91" s="96">
        <f t="shared" si="144"/>
        <v>0</v>
      </c>
      <c r="AF91" s="96">
        <f t="shared" si="144"/>
        <v>0</v>
      </c>
      <c r="AG91" s="96">
        <f t="shared" si="144"/>
        <v>0</v>
      </c>
      <c r="AH91" s="96"/>
      <c r="AI91" s="96">
        <f t="shared" si="145"/>
        <v>0</v>
      </c>
      <c r="AJ91" s="96">
        <f t="shared" si="146"/>
        <v>0</v>
      </c>
      <c r="AK91" s="96">
        <f t="shared" si="146"/>
        <v>0</v>
      </c>
      <c r="AL91" s="96"/>
    </row>
    <row r="92" spans="2:39" x14ac:dyDescent="0.35">
      <c r="B92" s="90"/>
      <c r="C92" s="100" t="s">
        <v>312</v>
      </c>
      <c r="D92" s="101">
        <f>'[1]AK Opr Juni GP Des (1)'!D91</f>
        <v>220903</v>
      </c>
      <c r="E92" s="101">
        <f t="shared" ref="E92:M92" si="147">SUM(E85:E91)</f>
        <v>31251.215818000001</v>
      </c>
      <c r="F92" s="101">
        <f t="shared" si="147"/>
        <v>3601.2495739999999</v>
      </c>
      <c r="G92" s="101">
        <f t="shared" si="147"/>
        <v>3717.9134629999999</v>
      </c>
      <c r="H92" s="101">
        <f t="shared" si="147"/>
        <v>10867.203047000001</v>
      </c>
      <c r="I92" s="101">
        <f t="shared" si="147"/>
        <v>49437.581901999998</v>
      </c>
      <c r="J92" s="101">
        <f t="shared" si="147"/>
        <v>10492.675501427319</v>
      </c>
      <c r="K92" s="101">
        <f t="shared" si="147"/>
        <v>10869.666689354157</v>
      </c>
      <c r="L92" s="101">
        <f t="shared" si="147"/>
        <v>14849.354489769456</v>
      </c>
      <c r="M92" s="101">
        <f t="shared" si="147"/>
        <v>36211.696680550936</v>
      </c>
      <c r="N92" s="103">
        <f t="shared" si="89"/>
        <v>67462.912498550941</v>
      </c>
      <c r="O92" s="73"/>
      <c r="P92" s="73"/>
      <c r="Q92" s="104">
        <f t="shared" ref="Q92:T92" si="148">SUM(Q85:Q91)</f>
        <v>10521.6</v>
      </c>
      <c r="R92" s="104">
        <f t="shared" si="148"/>
        <v>10721.7</v>
      </c>
      <c r="S92" s="104">
        <f t="shared" si="134"/>
        <v>70680.881901999994</v>
      </c>
      <c r="T92" s="104">
        <f t="shared" si="148"/>
        <v>15485.712599999999</v>
      </c>
      <c r="U92" s="104">
        <f t="shared" si="135"/>
        <v>86166.594501999993</v>
      </c>
      <c r="V92" s="101">
        <f t="shared" ref="V92:AL92" si="149">SUM(V85:V91)</f>
        <v>154946.43491472042</v>
      </c>
      <c r="W92" s="101">
        <f t="shared" si="149"/>
        <v>11492.087244552731</v>
      </c>
      <c r="X92" s="101">
        <f t="shared" si="149"/>
        <v>11527.412418949441</v>
      </c>
      <c r="Y92" s="101">
        <f t="shared" si="149"/>
        <v>14972.115562914632</v>
      </c>
      <c r="Z92" s="101">
        <f t="shared" si="149"/>
        <v>37991.615226416805</v>
      </c>
      <c r="AA92" s="101">
        <f t="shared" si="149"/>
        <v>11586.034429534222</v>
      </c>
      <c r="AB92" s="101">
        <f t="shared" si="149"/>
        <v>11359.487093243139</v>
      </c>
      <c r="AC92" s="101">
        <f t="shared" si="149"/>
        <v>15844.034456572912</v>
      </c>
      <c r="AD92" s="101">
        <f t="shared" si="149"/>
        <v>38789.555979350276</v>
      </c>
      <c r="AE92" s="101">
        <f t="shared" si="149"/>
        <v>11418.1458625942</v>
      </c>
      <c r="AF92" s="101">
        <f t="shared" si="149"/>
        <v>11716.446310667157</v>
      </c>
      <c r="AG92" s="101">
        <f t="shared" si="149"/>
        <v>15940.260685063869</v>
      </c>
      <c r="AH92" s="101">
        <f t="shared" si="149"/>
        <v>39074.852858325219</v>
      </c>
      <c r="AI92" s="101">
        <f t="shared" si="149"/>
        <v>11510.990284587242</v>
      </c>
      <c r="AJ92" s="101">
        <f t="shared" si="149"/>
        <v>11812.672539158113</v>
      </c>
      <c r="AK92" s="101">
        <f t="shared" si="149"/>
        <v>15766.748026882748</v>
      </c>
      <c r="AL92" s="101">
        <f t="shared" si="149"/>
        <v>39090.410850628105</v>
      </c>
    </row>
    <row r="93" spans="2:39" x14ac:dyDescent="0.35">
      <c r="B93" s="90" t="s">
        <v>224</v>
      </c>
      <c r="C93" s="95" t="s">
        <v>313</v>
      </c>
      <c r="D93" s="126">
        <f>'[1]AK Opr Juni GP Des (1)'!D92</f>
        <v>373097</v>
      </c>
      <c r="E93" s="126">
        <f t="shared" ref="E93:M93" si="150">E82-E92</f>
        <v>574906.87962000002</v>
      </c>
      <c r="F93" s="126">
        <f t="shared" si="150"/>
        <v>161986.425066</v>
      </c>
      <c r="G93" s="126">
        <f t="shared" si="150"/>
        <v>62739.860755000009</v>
      </c>
      <c r="H93" s="126">
        <f t="shared" si="150"/>
        <v>-10867.203047000001</v>
      </c>
      <c r="I93" s="126">
        <f t="shared" si="150"/>
        <v>788765.96239399991</v>
      </c>
      <c r="J93" s="126">
        <f t="shared" si="150"/>
        <v>-10492.675501427319</v>
      </c>
      <c r="K93" s="126">
        <f t="shared" si="150"/>
        <v>-10869.666689354157</v>
      </c>
      <c r="L93" s="126">
        <f t="shared" si="150"/>
        <v>-14849.354489769456</v>
      </c>
      <c r="M93" s="126">
        <f t="shared" si="150"/>
        <v>-36211.696680550936</v>
      </c>
      <c r="N93" s="127">
        <f t="shared" si="89"/>
        <v>538695.18293944909</v>
      </c>
      <c r="O93" s="73"/>
      <c r="P93" s="73"/>
      <c r="Q93" s="126">
        <f t="shared" ref="Q93:T93" si="151">Q82-Q92</f>
        <v>-10521.6</v>
      </c>
      <c r="R93" s="126">
        <f t="shared" si="151"/>
        <v>-10721.7</v>
      </c>
      <c r="S93" s="126">
        <f t="shared" si="134"/>
        <v>767522.66239399987</v>
      </c>
      <c r="T93" s="126">
        <f t="shared" si="151"/>
        <v>22124.287400000001</v>
      </c>
      <c r="U93" s="126">
        <f t="shared" si="135"/>
        <v>789646.9497939999</v>
      </c>
      <c r="V93" s="126">
        <f t="shared" ref="V93:AL93" si="152">V82-V92</f>
        <v>-60526.734914720422</v>
      </c>
      <c r="W93" s="126">
        <f t="shared" si="152"/>
        <v>-11492.087244552731</v>
      </c>
      <c r="X93" s="126">
        <f t="shared" si="152"/>
        <v>-11527.412418949441</v>
      </c>
      <c r="Y93" s="126">
        <f t="shared" si="152"/>
        <v>79447.584437085359</v>
      </c>
      <c r="Z93" s="126">
        <f t="shared" si="152"/>
        <v>56428.084773583192</v>
      </c>
      <c r="AA93" s="126">
        <f t="shared" si="152"/>
        <v>-11586.034429534222</v>
      </c>
      <c r="AB93" s="126">
        <f t="shared" si="152"/>
        <v>-11359.487093243139</v>
      </c>
      <c r="AC93" s="126">
        <f t="shared" si="152"/>
        <v>-15844.034456572912</v>
      </c>
      <c r="AD93" s="126">
        <f t="shared" si="152"/>
        <v>-38789.555979350276</v>
      </c>
      <c r="AE93" s="126">
        <f t="shared" si="152"/>
        <v>-11418.1458625942</v>
      </c>
      <c r="AF93" s="126">
        <f t="shared" si="152"/>
        <v>-11716.446310667157</v>
      </c>
      <c r="AG93" s="126">
        <f t="shared" si="152"/>
        <v>-15940.260685063869</v>
      </c>
      <c r="AH93" s="126">
        <f t="shared" si="152"/>
        <v>-39074.852858325219</v>
      </c>
      <c r="AI93" s="126">
        <f t="shared" si="152"/>
        <v>-11510.990284587242</v>
      </c>
      <c r="AJ93" s="126">
        <f t="shared" si="152"/>
        <v>-11812.672539158113</v>
      </c>
      <c r="AK93" s="126">
        <f t="shared" si="152"/>
        <v>-15766.748026882748</v>
      </c>
      <c r="AL93" s="126">
        <f t="shared" si="152"/>
        <v>-39090.410850628105</v>
      </c>
    </row>
    <row r="94" spans="2:39" x14ac:dyDescent="0.35">
      <c r="B94" s="90"/>
      <c r="C94" s="95"/>
      <c r="D94" s="105"/>
      <c r="E94" s="105"/>
      <c r="F94" s="105"/>
      <c r="G94" s="105"/>
      <c r="H94" s="106"/>
      <c r="I94" s="105"/>
      <c r="J94" s="105"/>
      <c r="K94" s="105"/>
      <c r="L94" s="105"/>
      <c r="M94" s="105"/>
      <c r="N94" s="107"/>
      <c r="O94" s="73"/>
      <c r="P94" s="73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</row>
    <row r="95" spans="2:39" x14ac:dyDescent="0.35">
      <c r="B95" s="90" t="s">
        <v>314</v>
      </c>
      <c r="C95" s="95" t="s">
        <v>315</v>
      </c>
      <c r="D95" s="126">
        <f>'[1]AK Opr Juni GP Des (1)'!D94</f>
        <v>104285</v>
      </c>
      <c r="E95" s="126">
        <f t="shared" ref="E95:M95" si="153">E93+E74+E56</f>
        <v>111631.31362900004</v>
      </c>
      <c r="F95" s="126">
        <f t="shared" si="153"/>
        <v>29136.702914999991</v>
      </c>
      <c r="G95" s="126">
        <f t="shared" si="153"/>
        <v>-22501.488601999998</v>
      </c>
      <c r="H95" s="126">
        <f t="shared" si="153"/>
        <v>-20374.566263000001</v>
      </c>
      <c r="I95" s="126">
        <f t="shared" si="153"/>
        <v>97891.961679</v>
      </c>
      <c r="J95" s="126">
        <f t="shared" si="153"/>
        <v>-12593.675501427319</v>
      </c>
      <c r="K95" s="126">
        <f t="shared" si="153"/>
        <v>-81990.666689354155</v>
      </c>
      <c r="L95" s="126">
        <f t="shared" si="153"/>
        <v>4060.6455102305445</v>
      </c>
      <c r="M95" s="126">
        <f t="shared" si="153"/>
        <v>-90523.696680550929</v>
      </c>
      <c r="N95" s="127">
        <f>M95+E95</f>
        <v>21107.616948449111</v>
      </c>
      <c r="O95" s="73"/>
      <c r="P95" s="73"/>
      <c r="Q95" s="126">
        <f t="shared" ref="Q95:T95" si="154">Q93+Q74+Q56</f>
        <v>-14614.557000000001</v>
      </c>
      <c r="R95" s="126">
        <f t="shared" si="154"/>
        <v>-14079.993999999999</v>
      </c>
      <c r="S95" s="126">
        <f t="shared" si="134"/>
        <v>69197.410678999993</v>
      </c>
      <c r="T95" s="126">
        <f t="shared" si="154"/>
        <v>-90354.641600000003</v>
      </c>
      <c r="U95" s="126">
        <f t="shared" si="135"/>
        <v>-21157.230921000009</v>
      </c>
      <c r="V95" s="126">
        <f t="shared" ref="V95:AL95" si="155">V93+V74+V56</f>
        <v>125909.78364860725</v>
      </c>
      <c r="W95" s="126">
        <f t="shared" si="155"/>
        <v>-3044.8071168630158</v>
      </c>
      <c r="X95" s="126">
        <f t="shared" si="155"/>
        <v>-3080.1322912597261</v>
      </c>
      <c r="Y95" s="126">
        <f t="shared" si="155"/>
        <v>7143.8645647750818</v>
      </c>
      <c r="Z95" s="126">
        <f t="shared" si="155"/>
        <v>1018.925156652338</v>
      </c>
      <c r="AA95" s="126">
        <f t="shared" si="155"/>
        <v>5549.2949663264117</v>
      </c>
      <c r="AB95" s="126">
        <f t="shared" si="155"/>
        <v>5775.8423026175024</v>
      </c>
      <c r="AC95" s="126">
        <f t="shared" si="155"/>
        <v>100477.02275228772</v>
      </c>
      <c r="AD95" s="126">
        <f t="shared" si="155"/>
        <v>111802.16002123164</v>
      </c>
      <c r="AE95" s="126">
        <f t="shared" si="155"/>
        <v>11363.577205851896</v>
      </c>
      <c r="AF95" s="126">
        <f t="shared" si="155"/>
        <v>10115.276757778938</v>
      </c>
      <c r="AG95" s="126">
        <f t="shared" si="155"/>
        <v>5891.4623833822261</v>
      </c>
      <c r="AH95" s="126">
        <f t="shared" si="155"/>
        <v>27370.316347013068</v>
      </c>
      <c r="AI95" s="126">
        <f t="shared" si="155"/>
        <v>10129.274040192191</v>
      </c>
      <c r="AJ95" s="126">
        <f t="shared" si="155"/>
        <v>9827.59178562132</v>
      </c>
      <c r="AK95" s="126">
        <f t="shared" si="155"/>
        <v>-34238.483702103316</v>
      </c>
      <c r="AL95" s="126">
        <f t="shared" si="155"/>
        <v>-14281.617876289813</v>
      </c>
    </row>
    <row r="96" spans="2:39" ht="8.25" customHeight="1" x14ac:dyDescent="0.35">
      <c r="B96" s="90"/>
      <c r="C96" s="95"/>
      <c r="D96" s="105"/>
      <c r="E96" s="105"/>
      <c r="F96" s="105"/>
      <c r="G96" s="105"/>
      <c r="H96" s="106"/>
      <c r="I96" s="105"/>
      <c r="J96" s="105"/>
      <c r="K96" s="105"/>
      <c r="L96" s="105"/>
      <c r="M96" s="105"/>
      <c r="N96" s="107"/>
      <c r="O96" s="73"/>
      <c r="P96" s="73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</row>
    <row r="97" spans="2:38" x14ac:dyDescent="0.35">
      <c r="B97" s="90" t="s">
        <v>316</v>
      </c>
      <c r="C97" s="91" t="s">
        <v>317</v>
      </c>
      <c r="D97" s="105"/>
      <c r="E97" s="105"/>
      <c r="F97" s="105"/>
      <c r="G97" s="105"/>
      <c r="H97" s="106"/>
      <c r="I97" s="105"/>
      <c r="J97" s="105"/>
      <c r="K97" s="105"/>
      <c r="L97" s="105"/>
      <c r="M97" s="105"/>
      <c r="N97" s="107"/>
      <c r="O97" s="73"/>
      <c r="P97" s="73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</row>
    <row r="98" spans="2:38" hidden="1" x14ac:dyDescent="0.35">
      <c r="B98" s="90" t="s">
        <v>207</v>
      </c>
      <c r="C98" s="95" t="s">
        <v>318</v>
      </c>
      <c r="D98" s="126">
        <f>'[1]AK Opr Juni GP Des (1)'!D97</f>
        <v>500</v>
      </c>
      <c r="E98" s="126">
        <v>40019.215704000002</v>
      </c>
      <c r="F98" s="126"/>
      <c r="G98" s="126">
        <f>F102</f>
        <v>0</v>
      </c>
      <c r="H98" s="106"/>
      <c r="I98" s="126"/>
      <c r="J98" s="126" t="e">
        <f>#REF!</f>
        <v>#REF!</v>
      </c>
      <c r="K98" s="126">
        <f t="shared" ref="K98:L99" si="156">J102</f>
        <v>0</v>
      </c>
      <c r="L98" s="126">
        <f t="shared" si="156"/>
        <v>0</v>
      </c>
      <c r="M98" s="126">
        <f>E102</f>
        <v>61850</v>
      </c>
      <c r="N98" s="127">
        <f>E98</f>
        <v>40019.215704000002</v>
      </c>
      <c r="O98" s="73"/>
      <c r="P98" s="73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</row>
    <row r="99" spans="2:38" hidden="1" x14ac:dyDescent="0.35">
      <c r="B99" s="90" t="s">
        <v>216</v>
      </c>
      <c r="C99" s="95" t="s">
        <v>319</v>
      </c>
      <c r="D99" s="126">
        <f>'[1]AK Opr Juni GP Des (1)'!D98</f>
        <v>55715</v>
      </c>
      <c r="E99" s="126">
        <v>10200</v>
      </c>
      <c r="F99" s="126"/>
      <c r="G99" s="126">
        <f>F103</f>
        <v>0</v>
      </c>
      <c r="H99" s="106"/>
      <c r="I99" s="126"/>
      <c r="J99" s="126" t="e">
        <f>#REF!</f>
        <v>#REF!</v>
      </c>
      <c r="K99" s="126">
        <f t="shared" si="156"/>
        <v>135517.50188157271</v>
      </c>
      <c r="L99" s="126">
        <f t="shared" si="156"/>
        <v>53526.835192218554</v>
      </c>
      <c r="M99" s="126">
        <f>E103</f>
        <v>100000.52933300004</v>
      </c>
      <c r="N99" s="127">
        <f>E99</f>
        <v>10200</v>
      </c>
      <c r="O99" s="73"/>
      <c r="P99" s="73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</row>
    <row r="100" spans="2:38" ht="15" thickBot="1" x14ac:dyDescent="0.4">
      <c r="B100" s="90"/>
      <c r="C100" s="128" t="s">
        <v>320</v>
      </c>
      <c r="D100" s="129">
        <f>'[1]AK Opr Juni GP Des (1)'!D99</f>
        <v>56215</v>
      </c>
      <c r="E100" s="129">
        <f t="shared" ref="E100:N100" si="157">SUM(E98:E99)</f>
        <v>50219.215704000002</v>
      </c>
      <c r="F100" s="129">
        <f>E101</f>
        <v>161850.52933300004</v>
      </c>
      <c r="G100" s="129">
        <f>F101</f>
        <v>190987.23224800004</v>
      </c>
      <c r="H100" s="129">
        <f>G101</f>
        <v>168485.74364600005</v>
      </c>
      <c r="I100" s="129">
        <f>E100</f>
        <v>50219.215704000002</v>
      </c>
      <c r="J100" s="129">
        <f>H101</f>
        <v>148111.17738300003</v>
      </c>
      <c r="K100" s="129">
        <f t="shared" si="157"/>
        <v>135517.50188157271</v>
      </c>
      <c r="L100" s="129">
        <f t="shared" si="157"/>
        <v>53526.835192218554</v>
      </c>
      <c r="M100" s="129">
        <f>I101</f>
        <v>148111.177383</v>
      </c>
      <c r="N100" s="130">
        <f t="shared" si="157"/>
        <v>50219.215704000002</v>
      </c>
      <c r="O100" s="73"/>
      <c r="P100" s="73"/>
      <c r="Q100" s="104">
        <f>I101</f>
        <v>148111.177383</v>
      </c>
      <c r="R100" s="104">
        <f>Q101</f>
        <v>133496.620383</v>
      </c>
      <c r="S100" s="104">
        <f>I100</f>
        <v>50219.215704000002</v>
      </c>
      <c r="T100" s="104">
        <f>R101</f>
        <v>119416.626383</v>
      </c>
      <c r="U100" s="104">
        <f>I100</f>
        <v>50219.215704000002</v>
      </c>
      <c r="V100" s="104">
        <f>W100</f>
        <v>29061.984782999993</v>
      </c>
      <c r="W100" s="104">
        <f>U101</f>
        <v>29061.984782999993</v>
      </c>
      <c r="X100" s="104">
        <f>W101</f>
        <v>26017.177666136977</v>
      </c>
      <c r="Y100" s="104">
        <f>X101</f>
        <v>22937.045374877249</v>
      </c>
      <c r="Z100" s="104">
        <f>W100</f>
        <v>29061.984782999993</v>
      </c>
      <c r="AA100" s="104">
        <f>Z101</f>
        <v>30080.909939652331</v>
      </c>
      <c r="AB100" s="131">
        <f>AA101</f>
        <v>35630.204905978739</v>
      </c>
      <c r="AC100" s="104">
        <f>AB101</f>
        <v>41406.047208596239</v>
      </c>
      <c r="AD100" s="104">
        <f>AA100</f>
        <v>30080.909939652331</v>
      </c>
      <c r="AE100" s="104">
        <f>AD101</f>
        <v>141883.06996088396</v>
      </c>
      <c r="AF100" s="104">
        <f>AE101</f>
        <v>153246.64716673587</v>
      </c>
      <c r="AG100" s="104">
        <f>AF101</f>
        <v>163361.92392451482</v>
      </c>
      <c r="AH100" s="104">
        <f>AE100</f>
        <v>141883.06996088396</v>
      </c>
      <c r="AI100" s="104">
        <f>AH101</f>
        <v>169253.38630789705</v>
      </c>
      <c r="AJ100" s="104">
        <f>AI101</f>
        <v>179382.66034808924</v>
      </c>
      <c r="AK100" s="104">
        <f>AJ101</f>
        <v>189210.25213371054</v>
      </c>
      <c r="AL100" s="104">
        <f>AI100</f>
        <v>169253.38630789705</v>
      </c>
    </row>
    <row r="101" spans="2:38" ht="14.25" customHeight="1" thickBot="1" x14ac:dyDescent="0.4">
      <c r="B101" s="132" t="s">
        <v>321</v>
      </c>
      <c r="C101" s="133" t="s">
        <v>322</v>
      </c>
      <c r="D101" s="134">
        <f>'[1]AK Opr Juni GP Des (1)'!D100</f>
        <v>160500</v>
      </c>
      <c r="E101" s="134">
        <f t="shared" ref="E101:M101" si="158">E100+E95</f>
        <v>161850.52933300004</v>
      </c>
      <c r="F101" s="134">
        <f t="shared" si="158"/>
        <v>190987.23224800004</v>
      </c>
      <c r="G101" s="134">
        <f t="shared" si="158"/>
        <v>168485.74364600005</v>
      </c>
      <c r="H101" s="134">
        <f t="shared" si="158"/>
        <v>148111.17738300003</v>
      </c>
      <c r="I101" s="134">
        <f t="shared" si="158"/>
        <v>148111.177383</v>
      </c>
      <c r="J101" s="134">
        <f t="shared" si="158"/>
        <v>135517.50188157271</v>
      </c>
      <c r="K101" s="134">
        <f t="shared" si="158"/>
        <v>53526.835192218554</v>
      </c>
      <c r="L101" s="134">
        <f t="shared" si="158"/>
        <v>57587.480702449102</v>
      </c>
      <c r="M101" s="134">
        <f t="shared" si="158"/>
        <v>57587.480702449073</v>
      </c>
      <c r="N101" s="135">
        <f>L101</f>
        <v>57587.480702449102</v>
      </c>
      <c r="O101" s="73"/>
      <c r="P101" s="73"/>
      <c r="Q101" s="134">
        <f t="shared" ref="Q101:AL101" si="159">Q100+Q95</f>
        <v>133496.620383</v>
      </c>
      <c r="R101" s="134">
        <f t="shared" si="159"/>
        <v>119416.626383</v>
      </c>
      <c r="S101" s="134">
        <f t="shared" si="159"/>
        <v>119416.626383</v>
      </c>
      <c r="T101" s="134">
        <f t="shared" si="159"/>
        <v>29061.984782999993</v>
      </c>
      <c r="U101" s="134">
        <f t="shared" si="159"/>
        <v>29061.984782999993</v>
      </c>
      <c r="V101" s="134">
        <f t="shared" si="159"/>
        <v>154971.76843160723</v>
      </c>
      <c r="W101" s="134">
        <f t="shared" si="159"/>
        <v>26017.177666136977</v>
      </c>
      <c r="X101" s="134">
        <f t="shared" si="159"/>
        <v>22937.045374877249</v>
      </c>
      <c r="Y101" s="134">
        <f t="shared" si="159"/>
        <v>30080.909939652331</v>
      </c>
      <c r="Z101" s="134">
        <f t="shared" si="159"/>
        <v>30080.909939652331</v>
      </c>
      <c r="AA101" s="134">
        <f t="shared" si="159"/>
        <v>35630.204905978739</v>
      </c>
      <c r="AB101" s="134">
        <f t="shared" si="159"/>
        <v>41406.047208596239</v>
      </c>
      <c r="AC101" s="134">
        <f t="shared" si="159"/>
        <v>141883.06996088396</v>
      </c>
      <c r="AD101" s="134">
        <f t="shared" si="159"/>
        <v>141883.06996088396</v>
      </c>
      <c r="AE101" s="134">
        <f t="shared" si="159"/>
        <v>153246.64716673587</v>
      </c>
      <c r="AF101" s="134">
        <f t="shared" si="159"/>
        <v>163361.92392451482</v>
      </c>
      <c r="AG101" s="134">
        <f t="shared" si="159"/>
        <v>169253.38630789705</v>
      </c>
      <c r="AH101" s="134">
        <f t="shared" si="159"/>
        <v>169253.38630789705</v>
      </c>
      <c r="AI101" s="134">
        <f t="shared" si="159"/>
        <v>179382.66034808924</v>
      </c>
      <c r="AJ101" s="134">
        <f t="shared" si="159"/>
        <v>189210.25213371054</v>
      </c>
      <c r="AK101" s="134">
        <f t="shared" si="159"/>
        <v>154971.76843160723</v>
      </c>
      <c r="AL101" s="134">
        <f t="shared" si="159"/>
        <v>154971.76843160723</v>
      </c>
    </row>
    <row r="102" spans="2:38" hidden="1" x14ac:dyDescent="0.35">
      <c r="B102" s="90" t="s">
        <v>207</v>
      </c>
      <c r="C102" s="136" t="s">
        <v>318</v>
      </c>
      <c r="D102" s="126">
        <f>'[1]AK Opr Juni GP Des (1)'!D101</f>
        <v>500</v>
      </c>
      <c r="E102" s="126">
        <v>61850</v>
      </c>
      <c r="F102" s="126"/>
      <c r="G102" s="126"/>
      <c r="H102" s="106"/>
      <c r="I102" s="126"/>
      <c r="J102" s="126">
        <v>0</v>
      </c>
      <c r="K102" s="126">
        <v>0</v>
      </c>
      <c r="L102" s="126">
        <v>0</v>
      </c>
      <c r="M102" s="126">
        <v>0</v>
      </c>
      <c r="N102" s="126">
        <v>0</v>
      </c>
      <c r="O102" s="73"/>
      <c r="P102" s="73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</row>
    <row r="103" spans="2:38" ht="15" hidden="1" thickBot="1" x14ac:dyDescent="0.4">
      <c r="B103" s="132" t="s">
        <v>216</v>
      </c>
      <c r="C103" s="137" t="s">
        <v>319</v>
      </c>
      <c r="D103" s="138">
        <f>'[1]AK Opr Juni GP Des (1)'!D102</f>
        <v>160000</v>
      </c>
      <c r="E103" s="138">
        <f t="shared" ref="E103:N103" si="160">E101-E102</f>
        <v>100000.52933300004</v>
      </c>
      <c r="F103" s="138"/>
      <c r="G103" s="138"/>
      <c r="H103" s="139"/>
      <c r="I103" s="138"/>
      <c r="J103" s="138">
        <f t="shared" si="160"/>
        <v>135517.50188157271</v>
      </c>
      <c r="K103" s="138">
        <f t="shared" si="160"/>
        <v>53526.835192218554</v>
      </c>
      <c r="L103" s="138">
        <f t="shared" si="160"/>
        <v>57587.480702449102</v>
      </c>
      <c r="M103" s="138">
        <f t="shared" si="160"/>
        <v>57587.480702449073</v>
      </c>
      <c r="N103" s="138">
        <f t="shared" si="160"/>
        <v>57587.480702449102</v>
      </c>
      <c r="O103" s="73"/>
      <c r="P103" s="73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</row>
    <row r="104" spans="2:38" hidden="1" x14ac:dyDescent="0.35">
      <c r="B104" s="140"/>
      <c r="C104" s="74"/>
      <c r="D104" s="141"/>
      <c r="E104" s="141"/>
      <c r="F104" s="142"/>
      <c r="G104" s="142"/>
      <c r="H104" s="143"/>
      <c r="I104" s="142"/>
      <c r="J104" s="142"/>
      <c r="K104" s="142"/>
      <c r="L104" s="142"/>
      <c r="M104" s="142"/>
      <c r="N104" s="141"/>
      <c r="O104" s="73"/>
      <c r="P104" s="73"/>
      <c r="Q104" s="142">
        <v>133497</v>
      </c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</row>
    <row r="105" spans="2:38" hidden="1" x14ac:dyDescent="0.35">
      <c r="B105" s="140"/>
      <c r="C105" s="74"/>
      <c r="D105" s="144"/>
      <c r="E105" s="145"/>
      <c r="F105" s="146"/>
      <c r="G105" s="146"/>
      <c r="H105" s="143"/>
      <c r="I105" s="146"/>
      <c r="J105" s="146"/>
      <c r="K105" s="146"/>
      <c r="L105" s="146"/>
      <c r="M105" s="146"/>
      <c r="N105" s="145"/>
      <c r="O105" s="73"/>
      <c r="P105" s="73"/>
      <c r="Q105" s="146">
        <f>Q101-Q104</f>
        <v>-0.3796169999986887</v>
      </c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</row>
    <row r="106" spans="2:38" ht="14.25" hidden="1" customHeight="1" x14ac:dyDescent="0.35">
      <c r="B106" s="140"/>
      <c r="C106" s="74"/>
      <c r="D106" s="74"/>
      <c r="E106" s="146"/>
      <c r="F106" s="147"/>
      <c r="G106" s="147"/>
      <c r="H106" s="143"/>
      <c r="I106" s="148"/>
      <c r="J106" s="590" t="s">
        <v>323</v>
      </c>
      <c r="K106" s="590"/>
      <c r="L106" s="590"/>
      <c r="M106" s="590"/>
      <c r="N106" s="146"/>
      <c r="O106" s="73"/>
      <c r="P106" s="73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</row>
    <row r="107" spans="2:38" ht="26.75" hidden="1" customHeight="1" x14ac:dyDescent="0.35">
      <c r="B107" s="140"/>
      <c r="C107" s="74"/>
      <c r="D107" s="74"/>
      <c r="E107" s="146"/>
      <c r="F107" s="149"/>
      <c r="G107" s="149"/>
      <c r="H107" s="143"/>
      <c r="I107" s="148"/>
      <c r="J107" s="150" t="s">
        <v>324</v>
      </c>
      <c r="K107" s="151" t="s">
        <v>325</v>
      </c>
      <c r="L107" s="151" t="s">
        <v>326</v>
      </c>
      <c r="M107" s="152" t="s">
        <v>327</v>
      </c>
      <c r="N107" s="146"/>
      <c r="O107" s="73"/>
      <c r="P107" s="73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</row>
    <row r="108" spans="2:38" hidden="1" x14ac:dyDescent="0.35">
      <c r="E108" s="65" t="s">
        <v>328</v>
      </c>
      <c r="I108" s="143"/>
      <c r="J108" s="143">
        <v>0</v>
      </c>
      <c r="K108" s="143">
        <v>79851</v>
      </c>
      <c r="L108" s="149">
        <v>0</v>
      </c>
      <c r="M108" s="149"/>
      <c r="N108" s="146"/>
      <c r="O108" s="73"/>
      <c r="P108" s="7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</row>
    <row r="109" spans="2:38" hidden="1" x14ac:dyDescent="0.35">
      <c r="E109" s="65" t="s">
        <v>329</v>
      </c>
      <c r="G109" s="143"/>
      <c r="H109" s="143"/>
      <c r="I109" s="99"/>
      <c r="J109" s="143">
        <v>0</v>
      </c>
      <c r="K109" s="143">
        <v>0</v>
      </c>
      <c r="L109" s="143">
        <v>52580</v>
      </c>
      <c r="M109" s="147"/>
      <c r="N109" s="146"/>
      <c r="O109" s="73"/>
      <c r="P109" s="73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</row>
    <row r="110" spans="2:38" hidden="1" x14ac:dyDescent="0.35">
      <c r="C110" s="153"/>
      <c r="E110" s="600" t="s">
        <v>330</v>
      </c>
      <c r="F110" s="600"/>
      <c r="G110" s="600"/>
      <c r="H110" s="154"/>
      <c r="I110" s="143"/>
      <c r="J110" s="143">
        <f t="shared" ref="J110" si="161">J109+J108</f>
        <v>0</v>
      </c>
      <c r="K110" s="143">
        <f>K109+K108</f>
        <v>79851</v>
      </c>
      <c r="L110" s="143">
        <f>L109</f>
        <v>52580</v>
      </c>
      <c r="M110" s="147"/>
      <c r="N110" s="146"/>
      <c r="O110" s="73"/>
      <c r="P110" s="7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</row>
    <row r="111" spans="2:38" hidden="1" x14ac:dyDescent="0.35">
      <c r="G111" s="143"/>
      <c r="H111" s="143"/>
      <c r="I111" s="143"/>
      <c r="K111" s="143"/>
      <c r="L111" s="147"/>
      <c r="M111" s="147"/>
      <c r="N111" s="146"/>
      <c r="O111" s="73"/>
      <c r="P111" s="7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</row>
    <row r="112" spans="2:38" hidden="1" x14ac:dyDescent="0.35">
      <c r="E112" s="65" t="s">
        <v>331</v>
      </c>
      <c r="G112" s="143"/>
      <c r="H112" s="143"/>
      <c r="I112" s="143"/>
      <c r="K112" s="143"/>
      <c r="L112" s="147"/>
      <c r="M112" s="147"/>
      <c r="N112" s="146"/>
      <c r="O112" s="73"/>
      <c r="P112" s="7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</row>
    <row r="113" spans="3:38" x14ac:dyDescent="0.35">
      <c r="E113" s="65" t="s">
        <v>82</v>
      </c>
      <c r="G113" s="143"/>
      <c r="H113" s="143"/>
      <c r="I113" s="143"/>
      <c r="K113" s="143"/>
      <c r="L113" s="147"/>
      <c r="M113" s="147"/>
      <c r="N113" s="146"/>
      <c r="O113" s="73"/>
      <c r="P113" s="7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</row>
    <row r="114" spans="3:38" x14ac:dyDescent="0.35">
      <c r="E114" s="65" t="s">
        <v>77</v>
      </c>
      <c r="G114" s="143"/>
      <c r="H114" s="143"/>
      <c r="I114" s="143"/>
      <c r="K114" s="143"/>
      <c r="L114" s="147"/>
      <c r="M114" s="147"/>
      <c r="N114" s="146"/>
      <c r="O114" s="73"/>
      <c r="P114" s="7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</row>
    <row r="115" spans="3:38" x14ac:dyDescent="0.35">
      <c r="E115" s="65" t="s">
        <v>79</v>
      </c>
      <c r="G115" s="143"/>
      <c r="H115" s="143"/>
      <c r="I115" s="143"/>
      <c r="K115" s="143"/>
      <c r="L115" s="147"/>
      <c r="M115" s="147"/>
      <c r="N115" s="146"/>
      <c r="O115" s="73"/>
      <c r="P115" s="7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</row>
    <row r="116" spans="3:38" x14ac:dyDescent="0.35">
      <c r="E116" s="65" t="s">
        <v>332</v>
      </c>
      <c r="G116" s="143"/>
      <c r="H116" s="143"/>
      <c r="I116" s="143"/>
      <c r="K116" s="143"/>
      <c r="L116" s="147"/>
      <c r="M116" s="147"/>
      <c r="N116" s="146"/>
      <c r="O116" s="73"/>
      <c r="P116" s="7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</row>
    <row r="117" spans="3:38" x14ac:dyDescent="0.35">
      <c r="E117" s="65" t="s">
        <v>333</v>
      </c>
      <c r="G117" s="143"/>
      <c r="H117" s="143"/>
      <c r="I117" s="143"/>
      <c r="K117" s="143"/>
      <c r="L117" s="147"/>
      <c r="M117" s="147"/>
      <c r="N117" s="146"/>
      <c r="O117" s="73"/>
      <c r="P117" s="7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</row>
    <row r="118" spans="3:38" x14ac:dyDescent="0.35">
      <c r="C118" s="153"/>
      <c r="E118" s="600" t="s">
        <v>330</v>
      </c>
      <c r="F118" s="600"/>
      <c r="G118" s="600"/>
      <c r="H118" s="154"/>
      <c r="I118" s="143"/>
      <c r="K118" s="143"/>
      <c r="L118" s="147"/>
      <c r="M118" s="147"/>
      <c r="N118" s="146"/>
      <c r="O118" s="73"/>
      <c r="P118" s="7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</row>
    <row r="119" spans="3:38" x14ac:dyDescent="0.35">
      <c r="C119" s="153"/>
      <c r="E119" s="600" t="s">
        <v>334</v>
      </c>
      <c r="F119" s="600"/>
      <c r="G119" s="600"/>
      <c r="H119" s="154"/>
      <c r="I119" s="143"/>
      <c r="K119" s="143"/>
      <c r="L119" s="147"/>
      <c r="M119" s="147"/>
      <c r="N119" s="146"/>
      <c r="O119" s="73"/>
      <c r="P119" s="7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</row>
    <row r="120" spans="3:38" x14ac:dyDescent="0.35">
      <c r="E120" s="146"/>
      <c r="G120" s="143"/>
      <c r="H120" s="143"/>
      <c r="I120" s="143"/>
      <c r="K120" s="143"/>
      <c r="L120" s="147"/>
      <c r="M120" s="147"/>
      <c r="N120" s="146"/>
      <c r="O120" s="73"/>
      <c r="P120" s="7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</row>
    <row r="121" spans="3:38" x14ac:dyDescent="0.35">
      <c r="E121" s="146"/>
      <c r="F121" s="147"/>
      <c r="G121" s="147"/>
      <c r="H121" s="143"/>
      <c r="I121" s="147"/>
      <c r="J121" s="147"/>
      <c r="K121" s="147"/>
      <c r="L121" s="147"/>
      <c r="M121" s="147"/>
      <c r="N121" s="146"/>
      <c r="O121" s="73"/>
      <c r="P121" s="73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</row>
    <row r="122" spans="3:38" x14ac:dyDescent="0.35">
      <c r="E122" s="146"/>
      <c r="F122" s="147"/>
      <c r="G122" s="147"/>
      <c r="H122" s="143"/>
      <c r="I122" s="147"/>
      <c r="J122" s="147"/>
      <c r="K122" s="147"/>
      <c r="L122" s="147"/>
      <c r="M122" s="147"/>
      <c r="N122" s="146"/>
      <c r="O122" s="73"/>
      <c r="P122" s="73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</row>
    <row r="123" spans="3:38" x14ac:dyDescent="0.35">
      <c r="E123" s="146"/>
      <c r="F123" s="147"/>
      <c r="G123" s="147"/>
      <c r="H123" s="143"/>
      <c r="I123" s="147"/>
      <c r="J123" s="147"/>
      <c r="K123" s="147"/>
      <c r="L123" s="147"/>
      <c r="M123" s="147"/>
      <c r="N123" s="146"/>
      <c r="O123" s="73"/>
      <c r="P123" s="73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</row>
    <row r="124" spans="3:38" x14ac:dyDescent="0.35">
      <c r="E124" s="146"/>
      <c r="F124" s="147"/>
      <c r="G124" s="147"/>
      <c r="H124" s="143"/>
      <c r="I124" s="147"/>
      <c r="J124" s="147"/>
      <c r="K124" s="147"/>
      <c r="L124" s="147"/>
      <c r="M124" s="147"/>
      <c r="N124" s="146"/>
      <c r="O124" s="73"/>
      <c r="P124" s="73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</row>
    <row r="125" spans="3:38" x14ac:dyDescent="0.35">
      <c r="E125" s="146"/>
      <c r="F125" s="147"/>
      <c r="G125" s="147"/>
      <c r="H125" s="143"/>
      <c r="I125" s="147"/>
      <c r="J125" s="147"/>
      <c r="K125" s="147"/>
      <c r="L125" s="147"/>
      <c r="M125" s="147"/>
      <c r="N125" s="146"/>
      <c r="O125" s="73"/>
      <c r="P125" s="73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</row>
    <row r="126" spans="3:38" x14ac:dyDescent="0.35">
      <c r="E126" s="146"/>
      <c r="F126" s="147"/>
      <c r="G126" s="147"/>
      <c r="H126" s="143"/>
      <c r="I126" s="147"/>
      <c r="J126" s="147"/>
      <c r="K126" s="147"/>
      <c r="L126" s="147"/>
      <c r="M126" s="147"/>
      <c r="N126" s="146"/>
      <c r="O126" s="73"/>
      <c r="P126" s="73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</row>
    <row r="127" spans="3:38" x14ac:dyDescent="0.35">
      <c r="E127" s="146"/>
      <c r="F127" s="147"/>
      <c r="G127" s="147"/>
      <c r="H127" s="143"/>
      <c r="I127" s="147"/>
      <c r="J127" s="147"/>
      <c r="K127" s="147"/>
      <c r="L127" s="147"/>
      <c r="M127" s="147"/>
      <c r="N127" s="146"/>
      <c r="O127" s="73"/>
      <c r="P127" s="73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</row>
    <row r="128" spans="3:38" x14ac:dyDescent="0.35">
      <c r="E128" s="146"/>
      <c r="F128" s="147"/>
      <c r="G128" s="147"/>
      <c r="H128" s="143"/>
      <c r="I128" s="147"/>
      <c r="J128" s="147"/>
      <c r="K128" s="147"/>
      <c r="L128" s="147"/>
      <c r="M128" s="147"/>
      <c r="N128" s="146"/>
      <c r="O128" s="73"/>
      <c r="P128" s="73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</row>
    <row r="129" spans="5:38" x14ac:dyDescent="0.35">
      <c r="E129" s="146"/>
      <c r="F129" s="147"/>
      <c r="G129" s="147"/>
      <c r="H129" s="143"/>
      <c r="I129" s="147"/>
      <c r="J129" s="147"/>
      <c r="K129" s="147"/>
      <c r="L129" s="147"/>
      <c r="M129" s="147"/>
      <c r="N129" s="146"/>
      <c r="O129" s="73"/>
      <c r="P129" s="73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</row>
    <row r="130" spans="5:38" x14ac:dyDescent="0.35">
      <c r="E130" s="146"/>
      <c r="F130" s="147"/>
      <c r="G130" s="147"/>
      <c r="H130" s="143"/>
      <c r="I130" s="147"/>
      <c r="J130" s="147"/>
      <c r="K130" s="147"/>
      <c r="L130" s="147"/>
      <c r="M130" s="147"/>
      <c r="N130" s="146"/>
      <c r="O130" s="73"/>
      <c r="P130" s="73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</row>
    <row r="131" spans="5:38" x14ac:dyDescent="0.35">
      <c r="E131" s="146"/>
      <c r="F131" s="147"/>
      <c r="G131" s="147"/>
      <c r="H131" s="143"/>
      <c r="I131" s="147"/>
      <c r="J131" s="147"/>
      <c r="K131" s="147"/>
      <c r="L131" s="147"/>
      <c r="M131" s="147"/>
      <c r="N131" s="146"/>
      <c r="O131" s="73"/>
      <c r="P131" s="73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</row>
    <row r="132" spans="5:38" x14ac:dyDescent="0.35">
      <c r="E132" s="146"/>
      <c r="F132" s="147"/>
      <c r="G132" s="147"/>
      <c r="H132" s="143"/>
      <c r="I132" s="147"/>
      <c r="J132" s="147"/>
      <c r="K132" s="147"/>
      <c r="L132" s="147"/>
      <c r="M132" s="147"/>
      <c r="N132" s="146"/>
      <c r="O132" s="73"/>
      <c r="P132" s="73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</row>
    <row r="133" spans="5:38" x14ac:dyDescent="0.35">
      <c r="E133" s="146"/>
      <c r="F133" s="147"/>
      <c r="G133" s="147"/>
      <c r="H133" s="143"/>
      <c r="I133" s="147"/>
      <c r="J133" s="147"/>
      <c r="K133" s="147"/>
      <c r="L133" s="147"/>
      <c r="M133" s="147"/>
      <c r="N133" s="146"/>
      <c r="O133" s="73"/>
      <c r="P133" s="73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</row>
    <row r="134" spans="5:38" x14ac:dyDescent="0.35">
      <c r="E134" s="146"/>
      <c r="F134" s="147"/>
      <c r="G134" s="147"/>
      <c r="H134" s="143"/>
      <c r="I134" s="147"/>
      <c r="J134" s="147"/>
      <c r="K134" s="147"/>
      <c r="L134" s="147"/>
      <c r="M134" s="147"/>
      <c r="N134" s="146"/>
      <c r="O134" s="73"/>
      <c r="P134" s="73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</row>
    <row r="135" spans="5:38" x14ac:dyDescent="0.35">
      <c r="E135" s="146"/>
      <c r="F135" s="147"/>
      <c r="G135" s="147"/>
      <c r="H135" s="143"/>
      <c r="I135" s="147"/>
      <c r="J135" s="147"/>
      <c r="K135" s="147"/>
      <c r="L135" s="147"/>
      <c r="M135" s="147"/>
      <c r="N135" s="146"/>
      <c r="O135" s="73"/>
      <c r="P135" s="73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</row>
    <row r="136" spans="5:38" x14ac:dyDescent="0.35">
      <c r="E136" s="146"/>
      <c r="F136" s="147"/>
      <c r="G136" s="147"/>
      <c r="H136" s="143"/>
      <c r="I136" s="147"/>
      <c r="J136" s="147"/>
      <c r="K136" s="147"/>
      <c r="L136" s="147"/>
      <c r="M136" s="147"/>
      <c r="N136" s="146"/>
      <c r="O136" s="73"/>
      <c r="P136" s="73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</row>
    <row r="137" spans="5:38" x14ac:dyDescent="0.35">
      <c r="E137" s="146"/>
      <c r="F137" s="147"/>
      <c r="G137" s="147"/>
      <c r="H137" s="143"/>
      <c r="I137" s="147"/>
      <c r="J137" s="147"/>
      <c r="K137" s="147"/>
      <c r="L137" s="147"/>
      <c r="M137" s="147"/>
      <c r="N137" s="146"/>
      <c r="O137" s="73"/>
      <c r="P137" s="73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</row>
    <row r="138" spans="5:38" x14ac:dyDescent="0.35">
      <c r="E138" s="146"/>
      <c r="F138" s="147"/>
      <c r="G138" s="147"/>
      <c r="H138" s="143"/>
      <c r="I138" s="147"/>
      <c r="J138" s="147"/>
      <c r="K138" s="147"/>
      <c r="L138" s="147"/>
      <c r="M138" s="147"/>
      <c r="N138" s="146"/>
      <c r="O138" s="73"/>
      <c r="P138" s="73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</row>
    <row r="139" spans="5:38" x14ac:dyDescent="0.35">
      <c r="E139" s="146"/>
      <c r="F139" s="147"/>
      <c r="G139" s="147"/>
      <c r="H139" s="143"/>
      <c r="I139" s="147"/>
      <c r="J139" s="147"/>
      <c r="K139" s="147"/>
      <c r="L139" s="147"/>
      <c r="M139" s="147"/>
      <c r="N139" s="146"/>
      <c r="O139" s="73"/>
      <c r="P139" s="73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</row>
    <row r="140" spans="5:38" x14ac:dyDescent="0.35">
      <c r="E140" s="146"/>
      <c r="F140" s="147"/>
      <c r="G140" s="147"/>
      <c r="H140" s="143"/>
      <c r="I140" s="147"/>
      <c r="J140" s="147"/>
      <c r="K140" s="147"/>
      <c r="L140" s="147"/>
      <c r="M140" s="147"/>
      <c r="N140" s="146"/>
      <c r="O140" s="73"/>
      <c r="P140" s="73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</row>
    <row r="141" spans="5:38" x14ac:dyDescent="0.35">
      <c r="E141" s="146"/>
      <c r="F141" s="147"/>
      <c r="G141" s="147"/>
      <c r="H141" s="143"/>
      <c r="I141" s="147"/>
      <c r="J141" s="147"/>
      <c r="K141" s="147"/>
      <c r="L141" s="147"/>
      <c r="M141" s="147"/>
      <c r="N141" s="146"/>
      <c r="O141" s="73"/>
      <c r="P141" s="73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</row>
    <row r="142" spans="5:38" x14ac:dyDescent="0.35">
      <c r="E142" s="146"/>
      <c r="F142" s="147"/>
      <c r="G142" s="147"/>
      <c r="H142" s="143"/>
      <c r="I142" s="147"/>
      <c r="J142" s="147"/>
      <c r="K142" s="147"/>
      <c r="L142" s="147"/>
      <c r="M142" s="147"/>
      <c r="N142" s="146"/>
      <c r="O142" s="73"/>
      <c r="P142" s="73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</row>
    <row r="143" spans="5:38" x14ac:dyDescent="0.35">
      <c r="E143" s="146"/>
      <c r="F143" s="147"/>
      <c r="G143" s="147"/>
      <c r="H143" s="143"/>
      <c r="I143" s="147"/>
      <c r="J143" s="147"/>
      <c r="K143" s="147"/>
      <c r="L143" s="147"/>
      <c r="M143" s="147"/>
      <c r="N143" s="146"/>
      <c r="O143" s="73"/>
      <c r="P143" s="73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</row>
    <row r="144" spans="5:38" x14ac:dyDescent="0.35">
      <c r="E144" s="146"/>
      <c r="F144" s="147"/>
      <c r="G144" s="147"/>
      <c r="H144" s="143"/>
      <c r="I144" s="147"/>
      <c r="J144" s="147"/>
      <c r="K144" s="147"/>
      <c r="L144" s="147"/>
      <c r="M144" s="147"/>
      <c r="N144" s="146"/>
      <c r="O144" s="73"/>
      <c r="P144" s="73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</row>
    <row r="145" spans="5:38" x14ac:dyDescent="0.35">
      <c r="E145" s="146"/>
      <c r="F145" s="147"/>
      <c r="G145" s="147"/>
      <c r="H145" s="143"/>
      <c r="I145" s="147"/>
      <c r="J145" s="147"/>
      <c r="K145" s="147"/>
      <c r="L145" s="147"/>
      <c r="M145" s="147"/>
      <c r="N145" s="146"/>
      <c r="O145" s="73"/>
      <c r="P145" s="73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</row>
    <row r="146" spans="5:38" x14ac:dyDescent="0.35">
      <c r="E146" s="146"/>
      <c r="F146" s="147"/>
      <c r="G146" s="147"/>
      <c r="H146" s="143"/>
      <c r="I146" s="147"/>
      <c r="J146" s="147"/>
      <c r="K146" s="147"/>
      <c r="L146" s="147"/>
      <c r="M146" s="147"/>
      <c r="N146" s="146"/>
      <c r="O146" s="73"/>
      <c r="P146" s="73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</row>
    <row r="147" spans="5:38" x14ac:dyDescent="0.35">
      <c r="E147" s="146"/>
      <c r="F147" s="147"/>
      <c r="G147" s="147"/>
      <c r="H147" s="143"/>
      <c r="I147" s="147"/>
      <c r="J147" s="147"/>
      <c r="K147" s="147"/>
      <c r="L147" s="147"/>
      <c r="M147" s="147"/>
      <c r="N147" s="146"/>
      <c r="O147" s="73"/>
      <c r="P147" s="73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</row>
    <row r="148" spans="5:38" x14ac:dyDescent="0.35">
      <c r="E148" s="146"/>
      <c r="F148" s="147"/>
      <c r="G148" s="147"/>
      <c r="H148" s="143"/>
      <c r="I148" s="147"/>
      <c r="J148" s="147"/>
      <c r="K148" s="147"/>
      <c r="L148" s="147"/>
      <c r="M148" s="147"/>
      <c r="N148" s="146"/>
      <c r="O148" s="73"/>
      <c r="P148" s="73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</row>
    <row r="149" spans="5:38" x14ac:dyDescent="0.35">
      <c r="E149" s="146"/>
      <c r="F149" s="147"/>
      <c r="G149" s="147"/>
      <c r="H149" s="143"/>
      <c r="I149" s="147"/>
      <c r="J149" s="147"/>
      <c r="K149" s="147"/>
      <c r="L149" s="147"/>
      <c r="M149" s="147"/>
      <c r="N149" s="146"/>
      <c r="O149" s="73"/>
      <c r="P149" s="73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</row>
    <row r="150" spans="5:38" x14ac:dyDescent="0.35">
      <c r="E150" s="146"/>
      <c r="F150" s="147"/>
      <c r="G150" s="147"/>
      <c r="H150" s="143"/>
      <c r="I150" s="147"/>
      <c r="J150" s="147"/>
      <c r="K150" s="147"/>
      <c r="L150" s="147"/>
      <c r="M150" s="147"/>
      <c r="N150" s="146"/>
      <c r="O150" s="73"/>
      <c r="P150" s="73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</row>
    <row r="151" spans="5:38" x14ac:dyDescent="0.35">
      <c r="E151" s="146"/>
      <c r="F151" s="147"/>
      <c r="G151" s="147"/>
      <c r="H151" s="143"/>
      <c r="I151" s="147"/>
      <c r="J151" s="147"/>
      <c r="K151" s="147"/>
      <c r="L151" s="147"/>
      <c r="M151" s="147"/>
      <c r="N151" s="146"/>
      <c r="O151" s="73"/>
      <c r="P151" s="73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</row>
    <row r="152" spans="5:38" x14ac:dyDescent="0.35">
      <c r="E152" s="146"/>
      <c r="F152" s="147"/>
      <c r="G152" s="147"/>
      <c r="H152" s="143"/>
      <c r="I152" s="147"/>
      <c r="J152" s="147"/>
      <c r="K152" s="147"/>
      <c r="L152" s="147"/>
      <c r="M152" s="147"/>
      <c r="N152" s="146"/>
      <c r="O152" s="73"/>
      <c r="P152" s="73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</row>
    <row r="153" spans="5:38" x14ac:dyDescent="0.35">
      <c r="E153" s="146"/>
      <c r="F153" s="147"/>
      <c r="G153" s="147"/>
      <c r="H153" s="143"/>
      <c r="I153" s="147"/>
      <c r="J153" s="147"/>
      <c r="K153" s="147"/>
      <c r="L153" s="147"/>
      <c r="M153" s="147"/>
      <c r="N153" s="146"/>
      <c r="O153" s="73"/>
      <c r="P153" s="73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</row>
    <row r="154" spans="5:38" x14ac:dyDescent="0.35">
      <c r="E154" s="146"/>
      <c r="F154" s="147"/>
      <c r="G154" s="147"/>
      <c r="H154" s="143"/>
      <c r="I154" s="147"/>
      <c r="J154" s="147"/>
      <c r="K154" s="147"/>
      <c r="L154" s="147"/>
      <c r="M154" s="147"/>
      <c r="N154" s="146"/>
      <c r="O154" s="73"/>
      <c r="P154" s="73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</row>
    <row r="155" spans="5:38" x14ac:dyDescent="0.35">
      <c r="E155" s="146"/>
      <c r="F155" s="147"/>
      <c r="G155" s="147"/>
      <c r="H155" s="143"/>
      <c r="I155" s="147"/>
      <c r="J155" s="147"/>
      <c r="K155" s="147"/>
      <c r="L155" s="147"/>
      <c r="M155" s="147"/>
      <c r="N155" s="146"/>
      <c r="O155" s="73"/>
      <c r="P155" s="73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</row>
    <row r="156" spans="5:38" x14ac:dyDescent="0.35">
      <c r="E156" s="146"/>
      <c r="F156" s="147"/>
      <c r="G156" s="147"/>
      <c r="H156" s="143"/>
      <c r="I156" s="147"/>
      <c r="J156" s="147"/>
      <c r="K156" s="147"/>
      <c r="L156" s="147"/>
      <c r="M156" s="147"/>
      <c r="N156" s="146"/>
      <c r="O156" s="73"/>
      <c r="P156" s="73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</row>
    <row r="157" spans="5:38" x14ac:dyDescent="0.35">
      <c r="E157" s="146"/>
      <c r="F157" s="147"/>
      <c r="G157" s="147"/>
      <c r="H157" s="143"/>
      <c r="I157" s="147"/>
      <c r="J157" s="147"/>
      <c r="K157" s="147"/>
      <c r="L157" s="147"/>
      <c r="M157" s="147"/>
      <c r="N157" s="146"/>
      <c r="O157" s="73"/>
      <c r="P157" s="73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</row>
    <row r="158" spans="5:38" x14ac:dyDescent="0.35">
      <c r="E158" s="146"/>
      <c r="F158" s="147"/>
      <c r="G158" s="147"/>
      <c r="H158" s="143"/>
      <c r="I158" s="147"/>
      <c r="J158" s="147"/>
      <c r="K158" s="147"/>
      <c r="L158" s="147"/>
      <c r="M158" s="147"/>
      <c r="N158" s="146"/>
      <c r="O158" s="73"/>
      <c r="P158" s="73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</row>
    <row r="159" spans="5:38" x14ac:dyDescent="0.35">
      <c r="E159" s="146"/>
      <c r="F159" s="147"/>
      <c r="G159" s="147"/>
      <c r="H159" s="143"/>
      <c r="I159" s="147"/>
      <c r="J159" s="147"/>
      <c r="K159" s="147"/>
      <c r="L159" s="147"/>
      <c r="M159" s="147"/>
      <c r="N159" s="146"/>
      <c r="O159" s="73"/>
      <c r="P159" s="73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</row>
    <row r="160" spans="5:38" x14ac:dyDescent="0.35">
      <c r="E160" s="146"/>
      <c r="F160" s="147"/>
      <c r="G160" s="147"/>
      <c r="H160" s="143"/>
      <c r="I160" s="147"/>
      <c r="J160" s="147"/>
      <c r="K160" s="147"/>
      <c r="L160" s="147"/>
      <c r="M160" s="147"/>
      <c r="N160" s="146"/>
      <c r="O160" s="73"/>
      <c r="P160" s="73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</row>
    <row r="161" spans="5:38" x14ac:dyDescent="0.35">
      <c r="E161" s="146"/>
      <c r="F161" s="147"/>
      <c r="G161" s="147"/>
      <c r="H161" s="143"/>
      <c r="I161" s="147"/>
      <c r="J161" s="147"/>
      <c r="K161" s="147"/>
      <c r="L161" s="147"/>
      <c r="M161" s="147"/>
      <c r="N161" s="146"/>
      <c r="O161" s="73"/>
      <c r="P161" s="73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</row>
    <row r="162" spans="5:38" x14ac:dyDescent="0.35">
      <c r="E162" s="146"/>
      <c r="F162" s="147"/>
      <c r="G162" s="147"/>
      <c r="H162" s="143"/>
      <c r="I162" s="147"/>
      <c r="J162" s="147"/>
      <c r="K162" s="147"/>
      <c r="L162" s="147"/>
      <c r="M162" s="147"/>
      <c r="N162" s="146"/>
      <c r="O162" s="73"/>
      <c r="P162" s="73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</row>
    <row r="163" spans="5:38" x14ac:dyDescent="0.35">
      <c r="E163" s="146"/>
      <c r="F163" s="147"/>
      <c r="G163" s="147"/>
      <c r="H163" s="143"/>
      <c r="I163" s="147"/>
      <c r="J163" s="147"/>
      <c r="K163" s="147"/>
      <c r="L163" s="147"/>
      <c r="M163" s="147"/>
      <c r="N163" s="146"/>
      <c r="O163" s="73"/>
      <c r="P163" s="73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</row>
    <row r="164" spans="5:38" x14ac:dyDescent="0.35">
      <c r="E164" s="146"/>
      <c r="F164" s="147"/>
      <c r="G164" s="147"/>
      <c r="H164" s="143"/>
      <c r="I164" s="147"/>
      <c r="J164" s="147"/>
      <c r="K164" s="147"/>
      <c r="L164" s="147"/>
      <c r="M164" s="147"/>
      <c r="N164" s="146"/>
      <c r="O164" s="73"/>
      <c r="P164" s="73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</row>
    <row r="165" spans="5:38" x14ac:dyDescent="0.35">
      <c r="E165" s="146"/>
      <c r="F165" s="147"/>
      <c r="G165" s="147"/>
      <c r="H165" s="143"/>
      <c r="I165" s="147"/>
      <c r="J165" s="147"/>
      <c r="K165" s="147"/>
      <c r="L165" s="147"/>
      <c r="M165" s="147"/>
      <c r="N165" s="146"/>
      <c r="O165" s="73"/>
      <c r="P165" s="73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</row>
    <row r="166" spans="5:38" x14ac:dyDescent="0.35">
      <c r="E166" s="146"/>
      <c r="F166" s="147"/>
      <c r="G166" s="147"/>
      <c r="H166" s="143"/>
      <c r="I166" s="147"/>
      <c r="J166" s="147"/>
      <c r="K166" s="147"/>
      <c r="L166" s="147"/>
      <c r="M166" s="147"/>
      <c r="N166" s="146"/>
      <c r="O166" s="73"/>
      <c r="P166" s="73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</row>
    <row r="167" spans="5:38" x14ac:dyDescent="0.35">
      <c r="E167" s="146"/>
      <c r="F167" s="147"/>
      <c r="G167" s="147"/>
      <c r="H167" s="143"/>
      <c r="I167" s="147"/>
      <c r="J167" s="147"/>
      <c r="K167" s="147"/>
      <c r="L167" s="147"/>
      <c r="M167" s="147"/>
      <c r="N167" s="146"/>
      <c r="O167" s="73"/>
      <c r="P167" s="73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</row>
    <row r="168" spans="5:38" x14ac:dyDescent="0.35">
      <c r="E168" s="146"/>
      <c r="F168" s="147"/>
      <c r="G168" s="147"/>
      <c r="H168" s="143"/>
      <c r="I168" s="147"/>
      <c r="J168" s="147"/>
      <c r="K168" s="147"/>
      <c r="L168" s="147"/>
      <c r="M168" s="147"/>
      <c r="N168" s="146"/>
      <c r="O168" s="73"/>
      <c r="P168" s="73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</row>
    <row r="169" spans="5:38" x14ac:dyDescent="0.35">
      <c r="E169" s="146"/>
      <c r="F169" s="147"/>
      <c r="G169" s="147"/>
      <c r="H169" s="143"/>
      <c r="I169" s="147"/>
      <c r="J169" s="147"/>
      <c r="K169" s="147"/>
      <c r="L169" s="147"/>
      <c r="M169" s="147"/>
      <c r="N169" s="146"/>
      <c r="O169" s="73"/>
      <c r="P169" s="73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</row>
    <row r="170" spans="5:38" x14ac:dyDescent="0.35">
      <c r="E170" s="146"/>
      <c r="F170" s="147"/>
      <c r="G170" s="147"/>
      <c r="H170" s="143"/>
      <c r="I170" s="147"/>
      <c r="J170" s="147"/>
      <c r="K170" s="147"/>
      <c r="L170" s="147"/>
      <c r="M170" s="147"/>
      <c r="N170" s="146"/>
      <c r="O170" s="73"/>
      <c r="P170" s="73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</row>
    <row r="171" spans="5:38" x14ac:dyDescent="0.35">
      <c r="E171" s="146"/>
      <c r="F171" s="147"/>
      <c r="G171" s="147"/>
      <c r="H171" s="143"/>
      <c r="I171" s="147"/>
      <c r="J171" s="147"/>
      <c r="K171" s="147"/>
      <c r="L171" s="147"/>
      <c r="M171" s="147"/>
      <c r="N171" s="146"/>
      <c r="O171" s="73"/>
      <c r="P171" s="73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</row>
    <row r="172" spans="5:38" x14ac:dyDescent="0.35">
      <c r="E172" s="146"/>
      <c r="F172" s="147"/>
      <c r="G172" s="147"/>
      <c r="H172" s="143"/>
      <c r="I172" s="147"/>
      <c r="J172" s="147"/>
      <c r="K172" s="147"/>
      <c r="L172" s="147"/>
      <c r="M172" s="147"/>
      <c r="N172" s="146"/>
      <c r="O172" s="73"/>
      <c r="P172" s="73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</row>
    <row r="173" spans="5:38" x14ac:dyDescent="0.35">
      <c r="E173" s="146"/>
      <c r="F173" s="147"/>
      <c r="G173" s="147"/>
      <c r="H173" s="143"/>
      <c r="I173" s="147"/>
      <c r="J173" s="147"/>
      <c r="K173" s="147"/>
      <c r="L173" s="147"/>
      <c r="M173" s="147"/>
      <c r="N173" s="146"/>
      <c r="O173" s="73"/>
      <c r="P173" s="73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</row>
    <row r="174" spans="5:38" x14ac:dyDescent="0.35">
      <c r="E174" s="146"/>
      <c r="F174" s="147"/>
      <c r="G174" s="147"/>
      <c r="H174" s="143"/>
      <c r="I174" s="147"/>
      <c r="J174" s="147"/>
      <c r="K174" s="147"/>
      <c r="L174" s="147"/>
      <c r="M174" s="147"/>
      <c r="N174" s="146"/>
      <c r="O174" s="73"/>
      <c r="P174" s="73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</row>
    <row r="175" spans="5:38" x14ac:dyDescent="0.35">
      <c r="E175" s="146"/>
      <c r="F175" s="147"/>
      <c r="G175" s="147"/>
      <c r="H175" s="143"/>
      <c r="I175" s="147"/>
      <c r="J175" s="147"/>
      <c r="K175" s="147"/>
      <c r="L175" s="147"/>
      <c r="M175" s="147"/>
      <c r="N175" s="146"/>
      <c r="O175" s="73"/>
      <c r="P175" s="73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</row>
    <row r="176" spans="5:38" x14ac:dyDescent="0.35">
      <c r="E176" s="146"/>
      <c r="F176" s="147"/>
      <c r="G176" s="147"/>
      <c r="H176" s="143"/>
      <c r="I176" s="147"/>
      <c r="J176" s="147"/>
      <c r="K176" s="147"/>
      <c r="L176" s="147"/>
      <c r="M176" s="147"/>
      <c r="N176" s="146"/>
      <c r="O176" s="73"/>
      <c r="P176" s="73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</row>
    <row r="177" spans="5:38" x14ac:dyDescent="0.35">
      <c r="E177" s="146"/>
      <c r="F177" s="147"/>
      <c r="G177" s="147"/>
      <c r="H177" s="143"/>
      <c r="I177" s="147"/>
      <c r="J177" s="147"/>
      <c r="K177" s="147"/>
      <c r="L177" s="147"/>
      <c r="M177" s="147"/>
      <c r="N177" s="146"/>
      <c r="O177" s="73"/>
      <c r="P177" s="73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</row>
    <row r="178" spans="5:38" x14ac:dyDescent="0.35">
      <c r="E178" s="146"/>
      <c r="F178" s="147"/>
      <c r="G178" s="147"/>
      <c r="H178" s="143"/>
      <c r="I178" s="147"/>
      <c r="J178" s="147"/>
      <c r="K178" s="147"/>
      <c r="L178" s="147"/>
      <c r="M178" s="147"/>
      <c r="N178" s="146"/>
      <c r="O178" s="73"/>
      <c r="P178" s="73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</row>
    <row r="179" spans="5:38" x14ac:dyDescent="0.35">
      <c r="E179" s="146"/>
      <c r="F179" s="147"/>
      <c r="G179" s="147"/>
      <c r="H179" s="143"/>
      <c r="I179" s="147"/>
      <c r="J179" s="147"/>
      <c r="K179" s="147"/>
      <c r="L179" s="147"/>
      <c r="M179" s="147"/>
      <c r="N179" s="146"/>
      <c r="O179" s="73"/>
      <c r="P179" s="73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</row>
    <row r="180" spans="5:38" x14ac:dyDescent="0.35">
      <c r="E180" s="146"/>
      <c r="F180" s="147"/>
      <c r="G180" s="147"/>
      <c r="H180" s="143"/>
      <c r="I180" s="147"/>
      <c r="J180" s="147"/>
      <c r="K180" s="147"/>
      <c r="L180" s="147"/>
      <c r="M180" s="147"/>
      <c r="N180" s="146"/>
      <c r="O180" s="73"/>
      <c r="P180" s="73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</row>
    <row r="181" spans="5:38" x14ac:dyDescent="0.35">
      <c r="E181" s="146"/>
      <c r="F181" s="147"/>
      <c r="G181" s="147"/>
      <c r="H181" s="143"/>
      <c r="I181" s="147"/>
      <c r="J181" s="147"/>
      <c r="K181" s="147"/>
      <c r="L181" s="147"/>
      <c r="M181" s="147"/>
      <c r="N181" s="146"/>
      <c r="O181" s="73"/>
      <c r="P181" s="73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</row>
    <row r="182" spans="5:38" x14ac:dyDescent="0.35">
      <c r="E182" s="146"/>
      <c r="F182" s="147"/>
      <c r="G182" s="147"/>
      <c r="H182" s="143"/>
      <c r="I182" s="147"/>
      <c r="J182" s="147"/>
      <c r="K182" s="147"/>
      <c r="L182" s="147"/>
      <c r="M182" s="147"/>
      <c r="N182" s="146"/>
      <c r="O182" s="73"/>
      <c r="P182" s="73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</row>
    <row r="183" spans="5:38" x14ac:dyDescent="0.35">
      <c r="E183" s="146"/>
      <c r="F183" s="147"/>
      <c r="G183" s="147"/>
      <c r="H183" s="143"/>
      <c r="I183" s="147"/>
      <c r="J183" s="147"/>
      <c r="K183" s="147"/>
      <c r="L183" s="147"/>
      <c r="M183" s="147"/>
      <c r="N183" s="146"/>
      <c r="O183" s="73"/>
      <c r="P183" s="73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</row>
    <row r="184" spans="5:38" x14ac:dyDescent="0.35">
      <c r="E184" s="146"/>
      <c r="F184" s="147"/>
      <c r="G184" s="147"/>
      <c r="H184" s="143"/>
      <c r="I184" s="147"/>
      <c r="J184" s="147"/>
      <c r="K184" s="147"/>
      <c r="L184" s="147"/>
      <c r="M184" s="147"/>
      <c r="N184" s="146"/>
      <c r="O184" s="73"/>
      <c r="P184" s="73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</row>
    <row r="185" spans="5:38" x14ac:dyDescent="0.35">
      <c r="E185" s="146"/>
      <c r="F185" s="147"/>
      <c r="G185" s="147"/>
      <c r="H185" s="143"/>
      <c r="I185" s="147"/>
      <c r="J185" s="147"/>
      <c r="K185" s="147"/>
      <c r="L185" s="147"/>
      <c r="M185" s="147"/>
      <c r="N185" s="146"/>
      <c r="O185" s="73"/>
      <c r="P185" s="73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</row>
    <row r="186" spans="5:38" x14ac:dyDescent="0.35">
      <c r="E186" s="146"/>
      <c r="F186" s="147"/>
      <c r="G186" s="147"/>
      <c r="H186" s="143"/>
      <c r="I186" s="147"/>
      <c r="J186" s="147"/>
      <c r="K186" s="147"/>
      <c r="L186" s="147"/>
      <c r="M186" s="147"/>
      <c r="N186" s="146"/>
      <c r="O186" s="73"/>
      <c r="P186" s="73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</row>
    <row r="187" spans="5:38" x14ac:dyDescent="0.35">
      <c r="E187" s="146"/>
      <c r="F187" s="147"/>
      <c r="G187" s="147"/>
      <c r="H187" s="143"/>
      <c r="I187" s="147"/>
      <c r="J187" s="147"/>
      <c r="K187" s="147"/>
      <c r="L187" s="147"/>
      <c r="M187" s="147"/>
      <c r="N187" s="146"/>
      <c r="O187" s="73"/>
      <c r="P187" s="73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</row>
    <row r="188" spans="5:38" x14ac:dyDescent="0.35">
      <c r="E188" s="146"/>
      <c r="F188" s="147"/>
      <c r="G188" s="147"/>
      <c r="H188" s="143"/>
      <c r="I188" s="147"/>
      <c r="J188" s="147"/>
      <c r="K188" s="147"/>
      <c r="L188" s="147"/>
      <c r="M188" s="147"/>
      <c r="N188" s="146"/>
      <c r="O188" s="73"/>
      <c r="P188" s="73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</row>
    <row r="189" spans="5:38" x14ac:dyDescent="0.35">
      <c r="E189" s="146"/>
      <c r="F189" s="147"/>
      <c r="G189" s="147"/>
      <c r="H189" s="143"/>
      <c r="I189" s="147"/>
      <c r="J189" s="147"/>
      <c r="K189" s="147"/>
      <c r="L189" s="147"/>
      <c r="M189" s="147"/>
      <c r="N189" s="146"/>
      <c r="O189" s="73"/>
      <c r="P189" s="73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</row>
    <row r="190" spans="5:38" x14ac:dyDescent="0.35">
      <c r="E190" s="146"/>
      <c r="F190" s="147"/>
      <c r="G190" s="147"/>
      <c r="H190" s="143"/>
      <c r="I190" s="147"/>
      <c r="J190" s="147"/>
      <c r="K190" s="147"/>
      <c r="L190" s="147"/>
      <c r="M190" s="147"/>
      <c r="N190" s="146"/>
      <c r="O190" s="73"/>
      <c r="P190" s="73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</row>
    <row r="191" spans="5:38" x14ac:dyDescent="0.35">
      <c r="E191" s="146"/>
      <c r="F191" s="147"/>
      <c r="G191" s="147"/>
      <c r="H191" s="143"/>
      <c r="I191" s="147"/>
      <c r="J191" s="147"/>
      <c r="K191" s="147"/>
      <c r="L191" s="147"/>
      <c r="M191" s="147"/>
      <c r="N191" s="146"/>
      <c r="O191" s="73"/>
      <c r="P191" s="73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</row>
    <row r="192" spans="5:38" x14ac:dyDescent="0.35">
      <c r="E192" s="146"/>
      <c r="F192" s="147"/>
      <c r="G192" s="147"/>
      <c r="H192" s="143"/>
      <c r="I192" s="147"/>
      <c r="J192" s="147"/>
      <c r="K192" s="147"/>
      <c r="L192" s="147"/>
      <c r="M192" s="147"/>
      <c r="N192" s="146"/>
      <c r="O192" s="73"/>
      <c r="P192" s="73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</row>
    <row r="193" spans="5:38" x14ac:dyDescent="0.35">
      <c r="E193" s="146"/>
      <c r="F193" s="147"/>
      <c r="G193" s="147"/>
      <c r="H193" s="143"/>
      <c r="I193" s="147"/>
      <c r="J193" s="147"/>
      <c r="K193" s="147"/>
      <c r="L193" s="147"/>
      <c r="M193" s="147"/>
      <c r="N193" s="146"/>
      <c r="O193" s="73"/>
      <c r="P193" s="73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</row>
    <row r="194" spans="5:38" x14ac:dyDescent="0.35">
      <c r="E194" s="146"/>
      <c r="F194" s="147"/>
      <c r="G194" s="147"/>
      <c r="H194" s="143"/>
      <c r="I194" s="147"/>
      <c r="J194" s="147"/>
      <c r="K194" s="147"/>
      <c r="L194" s="147"/>
      <c r="M194" s="147"/>
      <c r="N194" s="146"/>
      <c r="O194" s="73"/>
      <c r="P194" s="73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</row>
    <row r="195" spans="5:38" x14ac:dyDescent="0.35">
      <c r="E195" s="146"/>
      <c r="F195" s="147"/>
      <c r="G195" s="147"/>
      <c r="H195" s="143"/>
      <c r="I195" s="147"/>
      <c r="J195" s="147"/>
      <c r="K195" s="147"/>
      <c r="L195" s="147"/>
      <c r="M195" s="147"/>
      <c r="N195" s="146"/>
      <c r="O195" s="73"/>
      <c r="P195" s="73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</row>
    <row r="196" spans="5:38" x14ac:dyDescent="0.35">
      <c r="E196" s="146"/>
      <c r="F196" s="147"/>
      <c r="G196" s="147"/>
      <c r="H196" s="143"/>
      <c r="I196" s="147"/>
      <c r="J196" s="147"/>
      <c r="K196" s="147"/>
      <c r="L196" s="147"/>
      <c r="M196" s="147"/>
      <c r="N196" s="146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</row>
  </sheetData>
  <mergeCells count="29">
    <mergeCell ref="E110:G110"/>
    <mergeCell ref="E118:G118"/>
    <mergeCell ref="E119:G119"/>
    <mergeCell ref="W6:Y6"/>
    <mergeCell ref="Z6:Z7"/>
    <mergeCell ref="N6:N7"/>
    <mergeCell ref="Q6:R6"/>
    <mergeCell ref="S6:S7"/>
    <mergeCell ref="T6:T7"/>
    <mergeCell ref="U6:U7"/>
    <mergeCell ref="V6:V7"/>
    <mergeCell ref="E6:E7"/>
    <mergeCell ref="F6:H6"/>
    <mergeCell ref="I6:I7"/>
    <mergeCell ref="J6:L6"/>
    <mergeCell ref="M6:M7"/>
    <mergeCell ref="B3:AL3"/>
    <mergeCell ref="AD2:AH2"/>
    <mergeCell ref="AI6:AK6"/>
    <mergeCell ref="AL6:AL7"/>
    <mergeCell ref="J106:M106"/>
    <mergeCell ref="AA6:AC6"/>
    <mergeCell ref="AD6:AD7"/>
    <mergeCell ref="AE6:AG6"/>
    <mergeCell ref="AH6:AH7"/>
    <mergeCell ref="B4:N4"/>
    <mergeCell ref="B6:B7"/>
    <mergeCell ref="C6:C7"/>
    <mergeCell ref="D6:D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D102-5EAD-4068-9FB9-08CE19A65EE3}">
  <sheetPr>
    <tabColor rgb="FF00B0F0"/>
  </sheetPr>
  <dimension ref="A5:AJ93"/>
  <sheetViews>
    <sheetView tabSelected="1" topLeftCell="A4" zoomScale="88" zoomScaleNormal="76" workbookViewId="0">
      <pane xSplit="2" ySplit="6" topLeftCell="C10" activePane="bottomRight" state="frozen"/>
      <selection activeCell="A4" sqref="A4"/>
      <selection pane="topRight" activeCell="C4" sqref="C4"/>
      <selection pane="bottomLeft" activeCell="A10" sqref="A10"/>
      <selection pane="bottomRight" activeCell="B5" sqref="A3:W5"/>
    </sheetView>
  </sheetViews>
  <sheetFormatPr defaultColWidth="9.08984375" defaultRowHeight="17.5" x14ac:dyDescent="0.35"/>
  <cols>
    <col min="1" max="1" width="9.08984375" style="160"/>
    <col min="2" max="2" width="44.6328125" style="160" customWidth="1"/>
    <col min="3" max="4" width="17.36328125" style="160" customWidth="1"/>
    <col min="5" max="6" width="14.81640625" style="160" hidden="1" customWidth="1"/>
    <col min="7" max="7" width="18.08984375" style="160" customWidth="1"/>
    <col min="8" max="8" width="20.90625" style="160" customWidth="1"/>
    <col min="9" max="9" width="18.08984375" style="160" customWidth="1"/>
    <col min="10" max="10" width="17.81640625" style="160" customWidth="1"/>
    <col min="11" max="11" width="16.81640625" style="160" customWidth="1"/>
    <col min="12" max="12" width="16" style="158" customWidth="1"/>
    <col min="13" max="13" width="16.453125" style="158" customWidth="1"/>
    <col min="14" max="14" width="14.54296875" style="158" customWidth="1"/>
    <col min="15" max="15" width="15.36328125" style="158" customWidth="1"/>
    <col min="16" max="16" width="13.26953125" style="159" hidden="1" customWidth="1"/>
    <col min="17" max="17" width="14.81640625" style="159" customWidth="1"/>
    <col min="18" max="19" width="13.7265625" style="159" customWidth="1"/>
    <col min="20" max="20" width="14.81640625" style="160" hidden="1" customWidth="1"/>
    <col min="21" max="21" width="16.90625" style="160" customWidth="1"/>
    <col min="22" max="22" width="15.36328125" style="160" customWidth="1"/>
    <col min="23" max="23" width="15.81640625" style="160" customWidth="1"/>
    <col min="24" max="25" width="13.7265625" style="160" hidden="1" customWidth="1"/>
    <col min="26" max="26" width="15.6328125" style="160" customWidth="1"/>
    <col min="27" max="27" width="14.81640625" style="160" hidden="1" customWidth="1"/>
    <col min="28" max="28" width="4.81640625" style="160" hidden="1" customWidth="1"/>
    <col min="29" max="29" width="70.6328125" style="160" hidden="1" customWidth="1"/>
    <col min="30" max="30" width="14.81640625" style="160" hidden="1" customWidth="1"/>
    <col min="31" max="31" width="16.7265625" style="160" hidden="1" customWidth="1"/>
    <col min="32" max="32" width="14.81640625" style="160" hidden="1" customWidth="1"/>
    <col min="33" max="33" width="13.26953125" style="160" hidden="1" customWidth="1"/>
    <col min="34" max="34" width="14.36328125" style="160" hidden="1" customWidth="1"/>
    <col min="35" max="35" width="0" style="160" hidden="1" customWidth="1"/>
    <col min="36" max="36" width="13.6328125" style="160" hidden="1" customWidth="1"/>
    <col min="37" max="40" width="0" style="160" hidden="1" customWidth="1"/>
    <col min="41" max="16384" width="9.08984375" style="160"/>
  </cols>
  <sheetData>
    <row r="5" spans="2:36" ht="22" x14ac:dyDescent="0.4">
      <c r="B5" s="611" t="s">
        <v>583</v>
      </c>
      <c r="C5" s="611"/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  <c r="U5" s="611"/>
      <c r="V5" s="611"/>
      <c r="W5" s="611"/>
    </row>
    <row r="6" spans="2:36" ht="21.4" customHeight="1" thickBot="1" x14ac:dyDescent="0.4">
      <c r="H6" s="161"/>
      <c r="I6" s="161"/>
      <c r="J6" s="161"/>
      <c r="K6" s="161"/>
      <c r="AA6" s="161"/>
      <c r="AB6" s="161"/>
    </row>
    <row r="7" spans="2:36" s="162" customFormat="1" ht="28.9" customHeight="1" thickBot="1" x14ac:dyDescent="0.4">
      <c r="B7" s="613" t="s">
        <v>501</v>
      </c>
      <c r="C7" s="614" t="s">
        <v>585</v>
      </c>
      <c r="D7" s="615" t="s">
        <v>451</v>
      </c>
      <c r="E7" s="616" t="s">
        <v>452</v>
      </c>
      <c r="F7" s="618" t="s">
        <v>502</v>
      </c>
      <c r="G7" s="620" t="s">
        <v>590</v>
      </c>
      <c r="H7" s="621" t="s">
        <v>584</v>
      </c>
      <c r="I7" s="625" t="s">
        <v>400</v>
      </c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7"/>
      <c r="AA7" s="620" t="s">
        <v>399</v>
      </c>
      <c r="AB7" s="628" t="s">
        <v>401</v>
      </c>
      <c r="AC7" s="628" t="s">
        <v>21</v>
      </c>
      <c r="AD7" s="612" t="s">
        <v>402</v>
      </c>
      <c r="AE7" s="612" t="s">
        <v>403</v>
      </c>
      <c r="AF7" s="612" t="s">
        <v>404</v>
      </c>
      <c r="AG7" s="622" t="s">
        <v>405</v>
      </c>
      <c r="AH7" s="622"/>
    </row>
    <row r="8" spans="2:36" s="162" customFormat="1" ht="38.25" customHeight="1" thickBot="1" x14ac:dyDescent="0.4">
      <c r="B8" s="613"/>
      <c r="C8" s="614"/>
      <c r="D8" s="615"/>
      <c r="E8" s="617"/>
      <c r="F8" s="619"/>
      <c r="G8" s="620"/>
      <c r="H8" s="621"/>
      <c r="I8" s="164" t="s">
        <v>406</v>
      </c>
      <c r="J8" s="164" t="s">
        <v>407</v>
      </c>
      <c r="K8" s="164" t="s">
        <v>408</v>
      </c>
      <c r="L8" s="165" t="s">
        <v>409</v>
      </c>
      <c r="M8" s="164" t="s">
        <v>199</v>
      </c>
      <c r="N8" s="164" t="s">
        <v>200</v>
      </c>
      <c r="O8" s="164" t="s">
        <v>201</v>
      </c>
      <c r="P8" s="165" t="s">
        <v>410</v>
      </c>
      <c r="Q8" s="164" t="s">
        <v>202</v>
      </c>
      <c r="R8" s="164" t="s">
        <v>191</v>
      </c>
      <c r="S8" s="164" t="s">
        <v>192</v>
      </c>
      <c r="T8" s="165" t="s">
        <v>411</v>
      </c>
      <c r="U8" s="164" t="s">
        <v>193</v>
      </c>
      <c r="V8" s="164" t="s">
        <v>194</v>
      </c>
      <c r="W8" s="164" t="s">
        <v>204</v>
      </c>
      <c r="X8" s="165" t="s">
        <v>412</v>
      </c>
      <c r="AA8" s="620"/>
      <c r="AB8" s="628"/>
      <c r="AC8" s="628"/>
      <c r="AD8" s="612"/>
      <c r="AE8" s="612"/>
      <c r="AF8" s="612"/>
      <c r="AG8" s="166" t="s">
        <v>413</v>
      </c>
      <c r="AH8" s="166" t="s">
        <v>414</v>
      </c>
    </row>
    <row r="9" spans="2:36" s="162" customFormat="1" ht="27.4" hidden="1" customHeight="1" thickBot="1" x14ac:dyDescent="0.4">
      <c r="B9" s="167"/>
      <c r="C9" s="168"/>
      <c r="D9" s="168"/>
      <c r="E9" s="169"/>
      <c r="F9" s="169"/>
      <c r="G9" s="168"/>
      <c r="H9" s="170"/>
      <c r="I9" s="170"/>
      <c r="J9" s="170"/>
      <c r="K9" s="170"/>
      <c r="L9" s="168"/>
      <c r="M9" s="170"/>
      <c r="N9" s="170"/>
      <c r="O9" s="170"/>
      <c r="P9" s="168"/>
      <c r="Q9" s="170"/>
      <c r="R9" s="170"/>
      <c r="S9" s="170"/>
      <c r="T9" s="168"/>
      <c r="U9" s="170"/>
      <c r="V9" s="170"/>
      <c r="W9" s="170"/>
      <c r="X9" s="168"/>
      <c r="AA9" s="171"/>
      <c r="AB9" s="172">
        <v>1</v>
      </c>
      <c r="AC9" s="172">
        <v>2</v>
      </c>
      <c r="AD9" s="173">
        <v>3</v>
      </c>
      <c r="AE9" s="173">
        <v>4</v>
      </c>
      <c r="AF9" s="173">
        <v>5</v>
      </c>
      <c r="AG9" s="174" t="s">
        <v>415</v>
      </c>
      <c r="AH9" s="174" t="s">
        <v>416</v>
      </c>
    </row>
    <row r="10" spans="2:36" s="162" customFormat="1" ht="20" customHeight="1" x14ac:dyDescent="0.35">
      <c r="B10" s="175" t="s">
        <v>417</v>
      </c>
      <c r="C10" s="176"/>
      <c r="L10" s="177"/>
      <c r="M10" s="177"/>
      <c r="N10" s="177"/>
      <c r="O10" s="177"/>
      <c r="P10" s="178"/>
      <c r="Q10" s="178"/>
      <c r="R10" s="178"/>
      <c r="S10" s="178"/>
      <c r="AB10" s="179">
        <v>1</v>
      </c>
      <c r="AC10" s="175" t="s">
        <v>417</v>
      </c>
      <c r="AE10" s="180"/>
    </row>
    <row r="11" spans="2:36" ht="20" customHeight="1" x14ac:dyDescent="0.35">
      <c r="B11" s="160" t="s">
        <v>418</v>
      </c>
      <c r="C11" s="181">
        <f>'[1]AK Opr Juni GP Des (1)'!D11</f>
        <v>337309</v>
      </c>
      <c r="D11" s="181">
        <v>31442</v>
      </c>
      <c r="E11" s="181">
        <f>'[3]Rincian Arus Kas 20'!F11</f>
        <v>0</v>
      </c>
      <c r="F11" s="181">
        <v>0</v>
      </c>
      <c r="G11" s="181">
        <f>F11+E11</f>
        <v>0</v>
      </c>
      <c r="H11" s="181">
        <f>L11+P11+T11+X11</f>
        <v>314029.95602904644</v>
      </c>
      <c r="I11" s="181">
        <f>Sheet1!J11/2</f>
        <v>8052.0501545909356</v>
      </c>
      <c r="J11" s="181">
        <f>Sheet1!K11</f>
        <v>16104.100309181871</v>
      </c>
      <c r="K11" s="181">
        <f>Sheet1!L11</f>
        <v>16104.100309181871</v>
      </c>
      <c r="L11" s="181">
        <f>K11+J11+I11</f>
        <v>40260.250772954678</v>
      </c>
      <c r="M11" s="181">
        <f>'[2]AKAS 2021'!K14</f>
        <v>26840.167181969784</v>
      </c>
      <c r="N11" s="181">
        <f>'[2]AKAS 2021'!L14</f>
        <v>26840.167181969784</v>
      </c>
      <c r="O11" s="181">
        <f>'[2]AKAS 2021'!M14</f>
        <v>26840.167181969784</v>
      </c>
      <c r="P11" s="181">
        <f>O11+N11+M11</f>
        <v>80520.501545909356</v>
      </c>
      <c r="Q11" s="181">
        <f>'[2]AKAS 2021'!O14</f>
        <v>32208.200618363739</v>
      </c>
      <c r="R11" s="181">
        <f>'[2]AKAS 2021'!P14</f>
        <v>32208.200618363739</v>
      </c>
      <c r="S11" s="181">
        <f>'[2]AKAS 2021'!Q14</f>
        <v>32208.200618363739</v>
      </c>
      <c r="T11" s="181">
        <f>S11+R11+Q11</f>
        <v>96624.601855091212</v>
      </c>
      <c r="U11" s="181">
        <f>'[2]AKAS 2021'!S14</f>
        <v>32208.200618363739</v>
      </c>
      <c r="V11" s="181">
        <f>'[2]AKAS 2021'!T14</f>
        <v>32208.200618363739</v>
      </c>
      <c r="W11" s="181">
        <f>'[2]AKAS 2021'!U14</f>
        <v>32208.200618363739</v>
      </c>
      <c r="X11" s="181">
        <f>W11+V11+U11</f>
        <v>96624.601855091212</v>
      </c>
      <c r="Y11" s="180">
        <f>X11+T11+P11+L11</f>
        <v>314029.95602904644</v>
      </c>
      <c r="AA11" s="181">
        <f>H11</f>
        <v>314029.95602904644</v>
      </c>
      <c r="AB11" s="181"/>
      <c r="AC11" s="182" t="s">
        <v>418</v>
      </c>
      <c r="AD11" s="183">
        <f>'[2]Resume Akas 2020'!C10</f>
        <v>337309</v>
      </c>
      <c r="AE11" s="183">
        <f>'[2]Resume Akas 2020'!N10</f>
        <v>31442</v>
      </c>
      <c r="AF11" s="183">
        <f>H11</f>
        <v>314029.95602904644</v>
      </c>
      <c r="AG11" s="184">
        <f>AE11/AD11*100</f>
        <v>9.3214233833072946</v>
      </c>
      <c r="AH11" s="184">
        <f>AF11/AE11*100</f>
        <v>998.75948104143004</v>
      </c>
    </row>
    <row r="12" spans="2:36" ht="20" hidden="1" customHeight="1" x14ac:dyDescent="0.35">
      <c r="B12" s="160" t="s">
        <v>419</v>
      </c>
      <c r="C12" s="181">
        <f>'[1]AK Opr Juni GP Des (1)'!D12</f>
        <v>0</v>
      </c>
      <c r="D12" s="181">
        <v>0</v>
      </c>
      <c r="E12" s="181">
        <v>0</v>
      </c>
      <c r="F12" s="181">
        <v>0</v>
      </c>
      <c r="G12" s="181"/>
      <c r="H12" s="181">
        <f t="shared" ref="H12:H37" si="0">X12+T12+P12+L12</f>
        <v>0</v>
      </c>
      <c r="I12" s="181">
        <v>0</v>
      </c>
      <c r="J12" s="181">
        <v>0</v>
      </c>
      <c r="K12" s="181">
        <v>0</v>
      </c>
      <c r="L12" s="181">
        <f t="shared" ref="L12:L19" si="1">K12+J12+I12</f>
        <v>0</v>
      </c>
      <c r="M12" s="181">
        <v>0</v>
      </c>
      <c r="N12" s="181">
        <v>0</v>
      </c>
      <c r="O12" s="181">
        <v>0</v>
      </c>
      <c r="P12" s="181">
        <f t="shared" ref="P12:P19" si="2">O12+N12+M12</f>
        <v>0</v>
      </c>
      <c r="Q12" s="181">
        <v>0</v>
      </c>
      <c r="R12" s="181">
        <v>0</v>
      </c>
      <c r="S12" s="181">
        <v>0</v>
      </c>
      <c r="T12" s="181">
        <f t="shared" ref="T12:T19" si="3">S12+R12+Q12</f>
        <v>0</v>
      </c>
      <c r="U12" s="181">
        <v>0</v>
      </c>
      <c r="V12" s="181">
        <v>0</v>
      </c>
      <c r="W12" s="181">
        <v>0</v>
      </c>
      <c r="X12" s="181">
        <f t="shared" ref="X12:X19" si="4">W12+V12+U12</f>
        <v>0</v>
      </c>
      <c r="Y12" s="180">
        <f t="shared" ref="Y12:Y37" si="5">X12+T12+P12+L12</f>
        <v>0</v>
      </c>
      <c r="AA12" s="181">
        <f t="shared" ref="AA12:AA40" si="6">H12</f>
        <v>0</v>
      </c>
      <c r="AB12" s="181"/>
      <c r="AC12" s="182" t="s">
        <v>419</v>
      </c>
      <c r="AD12" s="183">
        <f>'[2]Resume Akas 2020'!C11</f>
        <v>0</v>
      </c>
      <c r="AE12" s="183">
        <f>'[2]Resume Akas 2020'!N11</f>
        <v>0</v>
      </c>
      <c r="AF12" s="183">
        <f t="shared" ref="AF12:AF41" si="7">H12</f>
        <v>0</v>
      </c>
      <c r="AG12" s="184">
        <v>0</v>
      </c>
      <c r="AH12" s="184">
        <v>0</v>
      </c>
    </row>
    <row r="13" spans="2:36" ht="20" customHeight="1" x14ac:dyDescent="0.35">
      <c r="B13" s="160" t="s">
        <v>420</v>
      </c>
      <c r="C13" s="181">
        <f>+'[1]AK Opr Juni GP Des (1)'!D12</f>
        <v>0</v>
      </c>
      <c r="D13" s="181">
        <f>'[2]EST Akas BLNN 2020'!E33</f>
        <v>0</v>
      </c>
      <c r="E13" s="181">
        <v>5</v>
      </c>
      <c r="F13" s="181">
        <v>0</v>
      </c>
      <c r="G13" s="181">
        <f t="shared" ref="G13:G20" si="8">F13+E13</f>
        <v>5</v>
      </c>
      <c r="H13" s="181">
        <f t="shared" ref="H13:H20" si="9">L13+P13+T13+X13</f>
        <v>0</v>
      </c>
      <c r="I13" s="181">
        <f>Sheet1!J13</f>
        <v>0</v>
      </c>
      <c r="J13" s="181">
        <f>Sheet1!K13</f>
        <v>0</v>
      </c>
      <c r="K13" s="181">
        <f>Sheet1!L13</f>
        <v>0</v>
      </c>
      <c r="L13" s="181">
        <f t="shared" si="1"/>
        <v>0</v>
      </c>
      <c r="M13" s="181">
        <v>0</v>
      </c>
      <c r="N13" s="181">
        <v>0</v>
      </c>
      <c r="O13" s="181">
        <v>0</v>
      </c>
      <c r="P13" s="181">
        <f t="shared" si="2"/>
        <v>0</v>
      </c>
      <c r="Q13" s="181">
        <v>0</v>
      </c>
      <c r="R13" s="181">
        <v>0</v>
      </c>
      <c r="S13" s="181">
        <v>0</v>
      </c>
      <c r="T13" s="181">
        <f t="shared" si="3"/>
        <v>0</v>
      </c>
      <c r="U13" s="181">
        <v>0</v>
      </c>
      <c r="V13" s="181">
        <v>0</v>
      </c>
      <c r="W13" s="181">
        <v>0</v>
      </c>
      <c r="X13" s="181">
        <f t="shared" si="4"/>
        <v>0</v>
      </c>
      <c r="Y13" s="180">
        <f t="shared" si="5"/>
        <v>0</v>
      </c>
      <c r="AA13" s="181">
        <f t="shared" si="6"/>
        <v>0</v>
      </c>
      <c r="AB13" s="181"/>
      <c r="AC13" s="182" t="s">
        <v>420</v>
      </c>
      <c r="AD13" s="183">
        <f>'[2]Resume Akas 2020'!C12</f>
        <v>0</v>
      </c>
      <c r="AE13" s="183">
        <f>'[2]Resume Akas 2020'!N12</f>
        <v>0</v>
      </c>
      <c r="AF13" s="183">
        <f t="shared" si="7"/>
        <v>0</v>
      </c>
      <c r="AG13" s="184">
        <v>0</v>
      </c>
      <c r="AH13" s="184">
        <v>0</v>
      </c>
    </row>
    <row r="14" spans="2:36" ht="20" customHeight="1" x14ac:dyDescent="0.35">
      <c r="B14" s="160" t="s">
        <v>453</v>
      </c>
      <c r="C14" s="181">
        <v>0</v>
      </c>
      <c r="D14" s="181">
        <v>1305</v>
      </c>
      <c r="E14" s="181">
        <v>1079</v>
      </c>
      <c r="F14" s="181">
        <v>0</v>
      </c>
      <c r="G14" s="181">
        <f t="shared" si="8"/>
        <v>1079</v>
      </c>
      <c r="H14" s="181">
        <f t="shared" si="9"/>
        <v>0</v>
      </c>
      <c r="I14" s="181">
        <f>Sheet1!J14</f>
        <v>0</v>
      </c>
      <c r="J14" s="181">
        <f>Sheet1!K14</f>
        <v>0</v>
      </c>
      <c r="K14" s="181">
        <f>Sheet1!L14</f>
        <v>0</v>
      </c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0"/>
      <c r="AA14" s="181"/>
      <c r="AB14" s="181"/>
      <c r="AC14" s="182"/>
      <c r="AD14" s="183"/>
      <c r="AE14" s="183"/>
      <c r="AF14" s="183"/>
      <c r="AG14" s="184"/>
      <c r="AH14" s="184"/>
    </row>
    <row r="15" spans="2:36" ht="20" customHeight="1" x14ac:dyDescent="0.35">
      <c r="B15" s="160" t="s">
        <v>421</v>
      </c>
      <c r="C15" s="181">
        <f>'[1]AK Opr Juni GP Des (1)'!D13+'[1]AK Opr Juni GP Des (1)'!D23+'[1]AK Opr Juni GP Des (1)'!D24+'[1]AK Opr Juni GP Des (1)'!D25+'[1]AK Opr Juni GP Des (1)'!D26+'[1]AK Opr Juni GP Des (1)'!D27+'[1]AK Opr Juni GP Des (1)'!D28+'[1]AK Opr Juni GP Des (1)'!D29+'[1]AK Opr Juni GP Des (1)'!D30+'[1]AK Opr Juni GP Des (1)'!D31+'[1]AK Opr Juni GP Des (1)'!D32+'[1]AK Opr Juni GP Des (1)'!D33</f>
        <v>22723</v>
      </c>
      <c r="D15" s="181">
        <v>8833</v>
      </c>
      <c r="E15" s="181">
        <v>12626</v>
      </c>
      <c r="F15" s="181">
        <v>392.1</v>
      </c>
      <c r="G15" s="181">
        <f t="shared" si="8"/>
        <v>13018.1</v>
      </c>
      <c r="H15" s="181">
        <f t="shared" si="9"/>
        <v>138613.727813</v>
      </c>
      <c r="I15" s="181">
        <f>Sheet1!J15</f>
        <v>50</v>
      </c>
      <c r="J15" s="181">
        <f>Sheet1!K15</f>
        <v>50</v>
      </c>
      <c r="K15" s="181">
        <f>Sheet1!L15</f>
        <v>550</v>
      </c>
      <c r="L15" s="181">
        <f t="shared" si="1"/>
        <v>650</v>
      </c>
      <c r="M15" s="181">
        <f>'[2]AKAS 2021'!K30+'[2]AKAS 2021'!K27+'[2]AKAS 2021'!K33</f>
        <v>50</v>
      </c>
      <c r="N15" s="181">
        <f>'[2]AKAS 2021'!L30+'[2]AKAS 2021'!L27+'[2]AKAS 2021'!L33</f>
        <v>50</v>
      </c>
      <c r="O15" s="181">
        <f>'[2]AKAS 2021'!M30+'[2]AKAS 2021'!M27+'[2]AKAS 2021'!M33</f>
        <v>50</v>
      </c>
      <c r="P15" s="181">
        <f t="shared" si="2"/>
        <v>150</v>
      </c>
      <c r="Q15" s="537">
        <f>'[2]AKAS 2021'!O30+'[2]AKAS 2021'!O27</f>
        <v>137563.727813</v>
      </c>
      <c r="R15" s="181">
        <f>'[2]AKAS 2021'!P30</f>
        <v>50</v>
      </c>
      <c r="S15" s="181">
        <f>'[2]AKAS 2021'!Q30</f>
        <v>50</v>
      </c>
      <c r="T15" s="188">
        <f t="shared" si="3"/>
        <v>137663.727813</v>
      </c>
      <c r="U15" s="181">
        <f>'[2]AKAS 2021'!S30</f>
        <v>50</v>
      </c>
      <c r="V15" s="181">
        <f>'[2]AKAS 2021'!T30</f>
        <v>50</v>
      </c>
      <c r="W15" s="181">
        <f>'[2]AKAS 2021'!U30</f>
        <v>50</v>
      </c>
      <c r="X15" s="181">
        <f t="shared" si="4"/>
        <v>150</v>
      </c>
      <c r="Y15" s="180">
        <f t="shared" si="5"/>
        <v>138613.727813</v>
      </c>
      <c r="AA15" s="181">
        <f t="shared" si="6"/>
        <v>138613.727813</v>
      </c>
      <c r="AB15" s="181"/>
      <c r="AC15" s="182" t="s">
        <v>421</v>
      </c>
      <c r="AD15" s="183">
        <f>'[2]Resume Akas 2020'!C13</f>
        <v>22723</v>
      </c>
      <c r="AE15" s="183">
        <f>'[2]Resume Akas 2020'!N13</f>
        <v>13799.780524</v>
      </c>
      <c r="AF15" s="183">
        <f t="shared" si="7"/>
        <v>138613.727813</v>
      </c>
      <c r="AG15" s="184">
        <f t="shared" ref="AG15:AH41" si="10">AE15/AD15*100</f>
        <v>60.730451630506529</v>
      </c>
      <c r="AH15" s="184">
        <f t="shared" si="10"/>
        <v>1004.4632780349573</v>
      </c>
    </row>
    <row r="16" spans="2:36" ht="20" customHeight="1" x14ac:dyDescent="0.35">
      <c r="B16" s="160" t="s">
        <v>422</v>
      </c>
      <c r="C16" s="186">
        <f>-'[1]AK Opr Juni GP Des (1)'!D16-'[1]AK Opr Juni GP Des (1)'!D17-'[1]AK Opr Juni GP Des (1)'!D18-'[1]AK Opr Juni GP Des (1)'!D19</f>
        <v>-166008</v>
      </c>
      <c r="D16" s="186">
        <f>-370537-25000</f>
        <v>-395537</v>
      </c>
      <c r="E16" s="186">
        <v>-298656</v>
      </c>
      <c r="F16" s="186">
        <v>-47026.6</v>
      </c>
      <c r="G16" s="186">
        <f t="shared" si="8"/>
        <v>-345682.6</v>
      </c>
      <c r="H16" s="536">
        <f t="shared" si="9"/>
        <v>-142884</v>
      </c>
      <c r="I16" s="186">
        <f>-27157-(79581-40000-2170)</f>
        <v>-64568</v>
      </c>
      <c r="J16" s="186">
        <f>Sheet1!K16</f>
        <v>0</v>
      </c>
      <c r="K16" s="193">
        <f>-54328+27157-(52580*0)</f>
        <v>-27171</v>
      </c>
      <c r="L16" s="186">
        <f t="shared" si="1"/>
        <v>-91739</v>
      </c>
      <c r="M16" s="186">
        <f>-'[2]AKAS 2021'!K18</f>
        <v>0</v>
      </c>
      <c r="N16" s="186">
        <f>-'[2]AKAS 2021'!L18</f>
        <v>0</v>
      </c>
      <c r="O16" s="186">
        <f>-'[2]AKAS 2021'!M18</f>
        <v>0</v>
      </c>
      <c r="P16" s="181">
        <f t="shared" si="2"/>
        <v>0</v>
      </c>
      <c r="Q16" s="186">
        <f>-52580+1435</f>
        <v>-51145</v>
      </c>
      <c r="R16" s="186">
        <f>-'[2]AKAS 2021'!P18</f>
        <v>0</v>
      </c>
      <c r="S16" s="186">
        <f>-'[2]AKAS 2021'!Q18</f>
        <v>0</v>
      </c>
      <c r="T16" s="181">
        <f t="shared" si="3"/>
        <v>-51145</v>
      </c>
      <c r="U16" s="186">
        <f>-'[2]AKAS 2021'!S18</f>
        <v>0</v>
      </c>
      <c r="V16" s="188">
        <f>-'[2]AKAS 2021'!T18</f>
        <v>0</v>
      </c>
      <c r="W16" s="186">
        <f>-'[2]AKAS 2021'!U18</f>
        <v>0</v>
      </c>
      <c r="X16" s="186">
        <f t="shared" si="4"/>
        <v>0</v>
      </c>
      <c r="Y16" s="180">
        <f t="shared" si="5"/>
        <v>-142884</v>
      </c>
      <c r="AA16" s="186">
        <f t="shared" si="6"/>
        <v>-142884</v>
      </c>
      <c r="AB16" s="189"/>
      <c r="AC16" s="182" t="s">
        <v>422</v>
      </c>
      <c r="AD16" s="190">
        <f>'[2]Resume Akas 2020'!C14</f>
        <v>-166008</v>
      </c>
      <c r="AE16" s="190">
        <f>'[2]Resume Akas 2020'!N14</f>
        <v>-375468.04922599997</v>
      </c>
      <c r="AF16" s="190">
        <f t="shared" si="7"/>
        <v>-142884</v>
      </c>
      <c r="AG16" s="184">
        <f t="shared" si="10"/>
        <v>226.17467183870653</v>
      </c>
      <c r="AH16" s="184">
        <f t="shared" si="10"/>
        <v>38.054902486255479</v>
      </c>
      <c r="AJ16" s="180">
        <f>AF11+AF15</f>
        <v>452643.68384204642</v>
      </c>
    </row>
    <row r="17" spans="1:36" ht="20" customHeight="1" x14ac:dyDescent="0.35">
      <c r="B17" s="160" t="s">
        <v>423</v>
      </c>
      <c r="C17" s="186">
        <v>0</v>
      </c>
      <c r="D17" s="186">
        <v>-13457</v>
      </c>
      <c r="E17" s="186">
        <v>-16640</v>
      </c>
      <c r="F17" s="186">
        <v>-1655.9</v>
      </c>
      <c r="G17" s="186">
        <f t="shared" si="8"/>
        <v>-18295.900000000001</v>
      </c>
      <c r="H17" s="186">
        <f t="shared" si="9"/>
        <v>-23058</v>
      </c>
      <c r="I17" s="186">
        <f>Sheet1!J17</f>
        <v>-1840</v>
      </c>
      <c r="J17" s="186">
        <f>Sheet1!K17</f>
        <v>-1840</v>
      </c>
      <c r="K17" s="186">
        <f>Sheet1!L17</f>
        <v>-1840</v>
      </c>
      <c r="L17" s="186">
        <f t="shared" si="1"/>
        <v>-5520</v>
      </c>
      <c r="M17" s="186">
        <f>-'[2]LR BLN 2021'!L15</f>
        <v>-1840</v>
      </c>
      <c r="N17" s="186">
        <f>-'[2]LR BLN 2021'!M15</f>
        <v>-1840</v>
      </c>
      <c r="O17" s="186">
        <f>-'[2]LR BLN 2021'!N15</f>
        <v>-2790</v>
      </c>
      <c r="P17" s="186">
        <f t="shared" si="2"/>
        <v>-6470</v>
      </c>
      <c r="Q17" s="186">
        <f>-'[2]LR BLN 2021'!P15</f>
        <v>-1840</v>
      </c>
      <c r="R17" s="186">
        <f>-'[2]LR BLN 2021'!Q15</f>
        <v>-1840</v>
      </c>
      <c r="S17" s="186">
        <f>-'[2]LR BLN 2021'!R15</f>
        <v>-1840</v>
      </c>
      <c r="T17" s="186">
        <f t="shared" si="3"/>
        <v>-5520</v>
      </c>
      <c r="U17" s="186">
        <f>-'[2]LR BLN 2021'!T15</f>
        <v>-1840</v>
      </c>
      <c r="V17" s="186">
        <f>-'[2]LR BLN 2021'!U15</f>
        <v>-1840</v>
      </c>
      <c r="W17" s="186">
        <f>-'[2]LR BLN 2021'!V15</f>
        <v>-1868</v>
      </c>
      <c r="X17" s="186">
        <f t="shared" si="4"/>
        <v>-5548</v>
      </c>
      <c r="Y17" s="180">
        <f t="shared" si="5"/>
        <v>-23058</v>
      </c>
      <c r="AA17" s="186">
        <f t="shared" si="6"/>
        <v>-23058</v>
      </c>
      <c r="AB17" s="189"/>
      <c r="AC17" s="182" t="s">
        <v>423</v>
      </c>
      <c r="AD17" s="183">
        <f>'[2]Resume Akas 2020'!C15</f>
        <v>0</v>
      </c>
      <c r="AE17" s="190">
        <f>'[2]Resume Akas 2020'!N15</f>
        <v>-18549.317158999998</v>
      </c>
      <c r="AF17" s="190">
        <f t="shared" si="7"/>
        <v>-23058</v>
      </c>
      <c r="AG17" s="184">
        <v>0</v>
      </c>
      <c r="AH17" s="184">
        <f t="shared" si="10"/>
        <v>124.30646261720972</v>
      </c>
    </row>
    <row r="18" spans="1:36" ht="20" customHeight="1" x14ac:dyDescent="0.35">
      <c r="B18" s="160" t="s">
        <v>424</v>
      </c>
      <c r="C18" s="186">
        <f>-'[1]AK Opr Juni GP Des (1)'!D49</f>
        <v>-10503</v>
      </c>
      <c r="D18" s="186">
        <v>-1668</v>
      </c>
      <c r="E18" s="186">
        <v>-2065</v>
      </c>
      <c r="F18" s="186">
        <v>-31.5</v>
      </c>
      <c r="G18" s="186">
        <f t="shared" si="8"/>
        <v>-2096.5</v>
      </c>
      <c r="H18" s="186">
        <f t="shared" si="9"/>
        <v>-51823.894283776041</v>
      </c>
      <c r="I18" s="186">
        <f>-I11*0.13</f>
        <v>-1046.7665200968218</v>
      </c>
      <c r="J18" s="186">
        <f t="shared" ref="J18:W18" si="11">-J11*0.13</f>
        <v>-2093.5330401936435</v>
      </c>
      <c r="K18" s="186">
        <f t="shared" si="11"/>
        <v>-2093.5330401936435</v>
      </c>
      <c r="L18" s="186">
        <f t="shared" si="1"/>
        <v>-5233.8326004841092</v>
      </c>
      <c r="M18" s="208">
        <f>-M11*0.13-16000+5000</f>
        <v>-14489.221733656072</v>
      </c>
      <c r="N18" s="186">
        <f t="shared" si="11"/>
        <v>-3489.221733656072</v>
      </c>
      <c r="O18" s="186">
        <f t="shared" si="11"/>
        <v>-3489.221733656072</v>
      </c>
      <c r="P18" s="186">
        <f t="shared" si="2"/>
        <v>-21467.665200968215</v>
      </c>
      <c r="Q18" s="186">
        <f t="shared" si="11"/>
        <v>-4187.0660803872861</v>
      </c>
      <c r="R18" s="186">
        <f t="shared" si="11"/>
        <v>-4187.0660803872861</v>
      </c>
      <c r="S18" s="186">
        <f t="shared" si="11"/>
        <v>-4187.0660803872861</v>
      </c>
      <c r="T18" s="186">
        <f t="shared" si="3"/>
        <v>-12561.198241161859</v>
      </c>
      <c r="U18" s="186">
        <f t="shared" si="11"/>
        <v>-4187.0660803872861</v>
      </c>
      <c r="V18" s="186">
        <f t="shared" si="11"/>
        <v>-4187.0660803872861</v>
      </c>
      <c r="W18" s="186">
        <f t="shared" si="11"/>
        <v>-4187.0660803872861</v>
      </c>
      <c r="X18" s="186">
        <f t="shared" si="4"/>
        <v>-12561.198241161859</v>
      </c>
      <c r="Y18" s="180">
        <f t="shared" si="5"/>
        <v>-51823.894283776041</v>
      </c>
      <c r="AA18" s="186">
        <f t="shared" si="6"/>
        <v>-51823.894283776041</v>
      </c>
      <c r="AB18" s="189"/>
      <c r="AC18" s="182" t="s">
        <v>424</v>
      </c>
      <c r="AD18" s="190">
        <f>'[2]Resume Akas 2020'!C16</f>
        <v>-10503</v>
      </c>
      <c r="AE18" s="190">
        <f>'[2]Resume Akas 2020'!N16</f>
        <v>-4637.7702060000001</v>
      </c>
      <c r="AF18" s="190">
        <f t="shared" si="7"/>
        <v>-51823.894283776041</v>
      </c>
      <c r="AG18" s="184">
        <f t="shared" si="10"/>
        <v>44.15662387889175</v>
      </c>
      <c r="AH18" s="184">
        <f t="shared" si="10"/>
        <v>1117.4312650663494</v>
      </c>
    </row>
    <row r="19" spans="1:36" ht="20" customHeight="1" thickBot="1" x14ac:dyDescent="0.4">
      <c r="B19" s="160" t="s">
        <v>425</v>
      </c>
      <c r="C19" s="193">
        <f>-'[1]AK Opr Juni GP Des (1)'!D36-'[1]AK Opr Juni GP Des (1)'!D37-'[1]AK Opr Juni GP Des (1)'!D38-'[1]AK Opr Juni GP Des (1)'!D39-'[1]AK Opr Juni GP Des (1)'!D40-'[1]AK Opr Juni GP Des (1)'!D41-'[1]AK Opr Juni GP Des (1)'!D42-'[1]AK Opr Juni GP Des (1)'!D43-'[1]AK Opr Juni GP Des (1)'!D44-'[1]AK Opr Juni GP Des (1)'!D45-'[1]AK Opr Juni GP Des (1)'!D46-'[1]AK Opr Juni GP Des (1)'!D47-'[1]AK Opr Juni GP Des (1)'!D48-'[1]AK Opr Juni GP Des (1)'!D50-'[1]AK Opr Juni GP Des (1)'!D51-'[1]AK Opr Juni GP Des (1)'!D52-'[1]AK Opr Juni GP Des (1)'!D53</f>
        <v>-125475</v>
      </c>
      <c r="D19" s="193">
        <v>-10836</v>
      </c>
      <c r="E19" s="193">
        <v>-54293</v>
      </c>
      <c r="F19" s="193">
        <f>-704.1-F18</f>
        <v>-672.6</v>
      </c>
      <c r="G19" s="193">
        <f t="shared" si="8"/>
        <v>-54965.599999999999</v>
      </c>
      <c r="H19" s="193">
        <f t="shared" si="9"/>
        <v>-55022.37469127326</v>
      </c>
      <c r="I19" s="186">
        <f>Sheet1!J19</f>
        <v>-3984.3281443903306</v>
      </c>
      <c r="J19" s="186">
        <f>Sheet1!K19</f>
        <v>-3984.3281443903306</v>
      </c>
      <c r="K19" s="186">
        <f>Sheet1!L19</f>
        <v>-3984.3281443903306</v>
      </c>
      <c r="L19" s="193">
        <f t="shared" si="1"/>
        <v>-11952.984433170992</v>
      </c>
      <c r="M19" s="193">
        <f>-'[2]AKAS 2021'!K16-M17</f>
        <v>-4694.0177242727705</v>
      </c>
      <c r="N19" s="193">
        <f>-'[2]AKAS 2021'!L16-N17</f>
        <v>-4694.0177242727705</v>
      </c>
      <c r="O19" s="193">
        <f>-'[2]AKAS 2021'!M16-O17</f>
        <v>-4694.0177242727705</v>
      </c>
      <c r="P19" s="193">
        <f t="shared" si="2"/>
        <v>-14082.053172818312</v>
      </c>
      <c r="Q19" s="186">
        <f>-'[2]AKAS 2021'!O16-Q17</f>
        <v>-4721.4934757139936</v>
      </c>
      <c r="R19" s="186">
        <f>-'[2]AKAS 2021'!P16-R17</f>
        <v>-4721.4934757139936</v>
      </c>
      <c r="S19" s="186">
        <f>-'[2]AKAS 2021'!Q16-S17</f>
        <v>-4721.4934757139936</v>
      </c>
      <c r="T19" s="186">
        <f t="shared" si="3"/>
        <v>-14164.480427141982</v>
      </c>
      <c r="U19" s="193">
        <f>-'[2]AKAS 2021'!S16-U17</f>
        <v>-4912.9522193806588</v>
      </c>
      <c r="V19" s="193">
        <f>-'[2]AKAS 2021'!T16-V17</f>
        <v>-4912.9522193806588</v>
      </c>
      <c r="W19" s="193">
        <f>-'[2]AKAS 2021'!U16-W17</f>
        <v>-4996.9522193806588</v>
      </c>
      <c r="X19" s="193">
        <f t="shared" si="4"/>
        <v>-14822.856658141976</v>
      </c>
      <c r="Y19" s="180">
        <f t="shared" si="5"/>
        <v>-55022.37469127326</v>
      </c>
      <c r="AA19" s="193">
        <f t="shared" si="6"/>
        <v>-55022.37469127326</v>
      </c>
      <c r="AB19" s="189"/>
      <c r="AC19" s="194" t="s">
        <v>425</v>
      </c>
      <c r="AD19" s="195">
        <f>'[2]Resume Akas 2020'!C17</f>
        <v>-125475</v>
      </c>
      <c r="AE19" s="195">
        <f>'[2]Resume Akas 2020'!N17</f>
        <v>-51007.371348000001</v>
      </c>
      <c r="AF19" s="195">
        <f t="shared" si="7"/>
        <v>-55022.37469127326</v>
      </c>
      <c r="AG19" s="196">
        <f t="shared" si="10"/>
        <v>40.651421676031077</v>
      </c>
      <c r="AH19" s="196">
        <f t="shared" si="10"/>
        <v>107.87141786994026</v>
      </c>
    </row>
    <row r="20" spans="1:36" s="162" customFormat="1" ht="35.65" customHeight="1" thickBot="1" x14ac:dyDescent="0.4">
      <c r="C20" s="198">
        <f>SUM(C11:C19)</f>
        <v>58046</v>
      </c>
      <c r="D20" s="198">
        <f>SUM(D11:D19)</f>
        <v>-379918</v>
      </c>
      <c r="E20" s="198">
        <f t="shared" ref="E20:F20" si="12">SUM(E11:E19)</f>
        <v>-357944</v>
      </c>
      <c r="F20" s="198">
        <f t="shared" si="12"/>
        <v>-48994.5</v>
      </c>
      <c r="G20" s="198">
        <f t="shared" si="8"/>
        <v>-406938.5</v>
      </c>
      <c r="H20" s="198">
        <f t="shared" si="9"/>
        <v>179855.41486699716</v>
      </c>
      <c r="I20" s="198">
        <f t="shared" ref="I20:K20" si="13">SUM(I11:I19)</f>
        <v>-63337.044509896215</v>
      </c>
      <c r="J20" s="198">
        <f t="shared" si="13"/>
        <v>8236.2391245978961</v>
      </c>
      <c r="K20" s="198">
        <f t="shared" si="13"/>
        <v>-18434.760875402106</v>
      </c>
      <c r="L20" s="198">
        <f>SUM(L11:L19)</f>
        <v>-73535.56626070042</v>
      </c>
      <c r="M20" s="198">
        <f t="shared" ref="M20:O20" si="14">SUM(M11:M19)</f>
        <v>5866.9277240409419</v>
      </c>
      <c r="N20" s="198">
        <f t="shared" si="14"/>
        <v>16866.927724040943</v>
      </c>
      <c r="O20" s="198">
        <f t="shared" si="14"/>
        <v>15916.927724040943</v>
      </c>
      <c r="P20" s="198">
        <f>SUM(P11:P19)</f>
        <v>38650.783172122829</v>
      </c>
      <c r="Q20" s="198">
        <f>SUM(Q11:Q19)</f>
        <v>107878.36887526246</v>
      </c>
      <c r="R20" s="198">
        <f t="shared" ref="R20:X20" si="15">SUM(R11:R19)</f>
        <v>21509.641062262461</v>
      </c>
      <c r="S20" s="198">
        <f t="shared" si="15"/>
        <v>21509.641062262461</v>
      </c>
      <c r="T20" s="198">
        <f t="shared" si="15"/>
        <v>150897.65099978738</v>
      </c>
      <c r="U20" s="198">
        <f t="shared" si="15"/>
        <v>21318.182318595795</v>
      </c>
      <c r="V20" s="198">
        <f t="shared" si="15"/>
        <v>21318.182318595795</v>
      </c>
      <c r="W20" s="198">
        <f t="shared" si="15"/>
        <v>21206.182318595795</v>
      </c>
      <c r="X20" s="198">
        <f t="shared" si="15"/>
        <v>63842.546955787373</v>
      </c>
      <c r="Y20" s="180">
        <f t="shared" si="5"/>
        <v>179855.41486699716</v>
      </c>
      <c r="AA20" s="199">
        <f t="shared" si="6"/>
        <v>179855.41486699716</v>
      </c>
      <c r="AB20" s="200"/>
      <c r="AC20" s="201" t="s">
        <v>426</v>
      </c>
      <c r="AD20" s="202">
        <f>'[2]Resume Akas 2020'!C18</f>
        <v>58046</v>
      </c>
      <c r="AE20" s="203">
        <f>'[2]Resume Akas 2020'!N18</f>
        <v>-404420.72741500003</v>
      </c>
      <c r="AF20" s="203">
        <f t="shared" si="7"/>
        <v>179855.41486699716</v>
      </c>
      <c r="AG20" s="204">
        <f t="shared" si="10"/>
        <v>-696.72454159632014</v>
      </c>
      <c r="AH20" s="204">
        <f t="shared" si="10"/>
        <v>-44.472353337725167</v>
      </c>
      <c r="AJ20" s="205">
        <f>(AF11+AF15)+AF16+AF17+AF18+AF19</f>
        <v>179855.4148669971</v>
      </c>
    </row>
    <row r="21" spans="1:36" ht="7.15" customHeight="1" x14ac:dyDescent="0.35">
      <c r="D21" s="181"/>
      <c r="E21" s="181"/>
      <c r="F21" s="181"/>
      <c r="G21" s="181"/>
      <c r="H21" s="181">
        <f t="shared" si="0"/>
        <v>0</v>
      </c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0">
        <f t="shared" si="5"/>
        <v>0</v>
      </c>
      <c r="AA21" s="160">
        <f t="shared" si="6"/>
        <v>0</v>
      </c>
      <c r="AD21" s="180"/>
      <c r="AE21" s="180"/>
      <c r="AF21" s="180"/>
      <c r="AG21" s="206"/>
      <c r="AH21" s="206"/>
      <c r="AJ21" s="180">
        <f>SUM(AE11:AE19)</f>
        <v>-404420.72741500003</v>
      </c>
    </row>
    <row r="22" spans="1:36" ht="20" customHeight="1" x14ac:dyDescent="0.35">
      <c r="B22" s="175" t="s">
        <v>427</v>
      </c>
      <c r="C22" s="175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180">
        <f t="shared" si="5"/>
        <v>0</v>
      </c>
      <c r="AA22" s="175">
        <f t="shared" si="6"/>
        <v>0</v>
      </c>
      <c r="AB22" s="157">
        <v>2</v>
      </c>
      <c r="AC22" s="175" t="s">
        <v>427</v>
      </c>
      <c r="AD22" s="180"/>
      <c r="AE22" s="180"/>
      <c r="AF22" s="180"/>
      <c r="AG22" s="206"/>
      <c r="AH22" s="206"/>
    </row>
    <row r="23" spans="1:36" ht="20" customHeight="1" x14ac:dyDescent="0.35">
      <c r="B23" s="160" t="s">
        <v>428</v>
      </c>
      <c r="C23" s="186">
        <f>-'[1]AK Opr Juni GP Des (1)'!D67-'[1]AK Opr Juni GP Des (1)'!D69-'[1]AK Opr Juni GP Des (1)'!D70-'[1]AK Opr Juni GP Des (1)'!D71</f>
        <v>-176753</v>
      </c>
      <c r="D23" s="186">
        <v>-162670</v>
      </c>
      <c r="E23" s="186">
        <f>-331125-9117-138</f>
        <v>-340380</v>
      </c>
      <c r="F23" s="186">
        <v>-57</v>
      </c>
      <c r="G23" s="186">
        <f>F23+E23</f>
        <v>-340437</v>
      </c>
      <c r="H23" s="186">
        <f t="shared" ref="H23:H26" si="16">L23+P23+T23+X23</f>
        <v>0</v>
      </c>
      <c r="I23" s="186">
        <f>-'[2]AKAS 2021'!G68</f>
        <v>0</v>
      </c>
      <c r="J23" s="186">
        <f>-'[2]AKAS 2021'!H68</f>
        <v>0</v>
      </c>
      <c r="K23" s="186">
        <f>-'[2]AKAS 2021'!I68</f>
        <v>0</v>
      </c>
      <c r="L23" s="181">
        <f t="shared" ref="L23:L25" si="17">K23+J23+I23</f>
        <v>0</v>
      </c>
      <c r="M23" s="181">
        <f>-'[2]AKAS 2021'!K68</f>
        <v>0</v>
      </c>
      <c r="N23" s="181">
        <f>-'[2]AKAS 2021'!L68</f>
        <v>0</v>
      </c>
      <c r="O23" s="181">
        <f>-'[2]AKAS 2021'!M68</f>
        <v>0</v>
      </c>
      <c r="P23" s="186">
        <f t="shared" ref="P23:P25" si="18">O23+N23+M23</f>
        <v>0</v>
      </c>
      <c r="Q23" s="186">
        <f>-'[2]AKAS 2021'!O68</f>
        <v>0</v>
      </c>
      <c r="R23" s="186">
        <f>-'[2]AKAS 2021'!P68</f>
        <v>0</v>
      </c>
      <c r="S23" s="186">
        <f>-'[2]AKAS 2021'!Q68</f>
        <v>0</v>
      </c>
      <c r="T23" s="186">
        <f t="shared" ref="T23:T25" si="19">S23+R23+Q23</f>
        <v>0</v>
      </c>
      <c r="U23" s="186">
        <f>-'[2]AKAS 2021'!S68</f>
        <v>0</v>
      </c>
      <c r="V23" s="186">
        <f>-'[2]AKAS 2021'!T68</f>
        <v>0</v>
      </c>
      <c r="W23" s="208">
        <v>0</v>
      </c>
      <c r="X23" s="186">
        <f t="shared" ref="X23:X25" si="20">W23+V23+U23</f>
        <v>0</v>
      </c>
      <c r="Y23" s="180">
        <f t="shared" si="5"/>
        <v>0</v>
      </c>
      <c r="AA23" s="186">
        <f t="shared" si="6"/>
        <v>0</v>
      </c>
      <c r="AB23" s="189"/>
      <c r="AC23" s="182" t="s">
        <v>428</v>
      </c>
      <c r="AD23" s="190">
        <f>'[2]Resume Akas 2020'!C21</f>
        <v>-176753</v>
      </c>
      <c r="AE23" s="190">
        <f>'[2]Resume Akas 2020'!N21</f>
        <v>-331724.93839999998</v>
      </c>
      <c r="AF23" s="190">
        <f t="shared" si="7"/>
        <v>0</v>
      </c>
      <c r="AG23" s="184">
        <f t="shared" si="10"/>
        <v>187.67711914366373</v>
      </c>
      <c r="AH23" s="184">
        <f t="shared" si="10"/>
        <v>0</v>
      </c>
    </row>
    <row r="24" spans="1:36" ht="20" customHeight="1" x14ac:dyDescent="0.35">
      <c r="B24" s="160" t="s">
        <v>429</v>
      </c>
      <c r="C24" s="181">
        <v>0</v>
      </c>
      <c r="D24" s="181">
        <v>0</v>
      </c>
      <c r="E24" s="181">
        <f>-'[3]Rincian Arus Kas 20'!F70</f>
        <v>0</v>
      </c>
      <c r="F24" s="181">
        <v>0</v>
      </c>
      <c r="G24" s="181">
        <f>F24+E24</f>
        <v>0</v>
      </c>
      <c r="H24" s="186">
        <f t="shared" si="16"/>
        <v>-40000</v>
      </c>
      <c r="I24" s="186">
        <f>-'[2]AKAS 2021'!G69</f>
        <v>0</v>
      </c>
      <c r="J24" s="186">
        <f>-'[2]AKAS 2021'!H69</f>
        <v>0</v>
      </c>
      <c r="K24" s="186">
        <f>-'[2]AKAS 2021'!I69</f>
        <v>0</v>
      </c>
      <c r="L24" s="181">
        <f t="shared" si="17"/>
        <v>0</v>
      </c>
      <c r="M24" s="181">
        <f>-'[2]AKAS 2021'!K69</f>
        <v>0</v>
      </c>
      <c r="N24" s="181">
        <f>-'[2]AKAS 2021'!L69</f>
        <v>0</v>
      </c>
      <c r="O24" s="181">
        <f>-'[2]AKAS 2021'!M69</f>
        <v>0</v>
      </c>
      <c r="P24" s="186">
        <f t="shared" si="18"/>
        <v>0</v>
      </c>
      <c r="Q24" s="186">
        <f>-'[2]AKAS 2021'!O69</f>
        <v>0</v>
      </c>
      <c r="R24" s="186">
        <f>-'[2]AKAS 2021'!P69</f>
        <v>0</v>
      </c>
      <c r="S24" s="186">
        <f>-'[2]AKAS 2021'!Q69</f>
        <v>0</v>
      </c>
      <c r="T24" s="186">
        <f t="shared" si="19"/>
        <v>0</v>
      </c>
      <c r="U24" s="181">
        <f>-'[2]AKAS 2021'!S69</f>
        <v>0</v>
      </c>
      <c r="V24" s="181">
        <f>-'[2]AKAS 2021'!T69</f>
        <v>0</v>
      </c>
      <c r="W24" s="208">
        <f>-'[2]AKAS 2021'!U68</f>
        <v>-40000</v>
      </c>
      <c r="X24" s="186">
        <f t="shared" si="20"/>
        <v>-40000</v>
      </c>
      <c r="Y24" s="180">
        <f t="shared" si="5"/>
        <v>-40000</v>
      </c>
      <c r="AA24" s="181">
        <f t="shared" si="6"/>
        <v>-40000</v>
      </c>
      <c r="AB24" s="181"/>
      <c r="AC24" s="182" t="s">
        <v>429</v>
      </c>
      <c r="AD24" s="190">
        <f>'[2]Resume Akas 2020'!C22</f>
        <v>0</v>
      </c>
      <c r="AE24" s="190">
        <f>'[2]Resume Akas 2020'!N22</f>
        <v>-23.067</v>
      </c>
      <c r="AF24" s="190">
        <v>0</v>
      </c>
      <c r="AG24" s="184">
        <v>0</v>
      </c>
      <c r="AH24" s="184">
        <f t="shared" si="10"/>
        <v>0</v>
      </c>
    </row>
    <row r="25" spans="1:36" ht="20" customHeight="1" thickBot="1" x14ac:dyDescent="0.4">
      <c r="B25" s="160" t="s">
        <v>430</v>
      </c>
      <c r="C25" s="186">
        <f>-'[1]AK Opr Juni GP Des (1)'!D68</f>
        <v>-150105</v>
      </c>
      <c r="D25" s="186">
        <f>-'[3]Rincian Arus Kas 20'!E68</f>
        <v>0</v>
      </c>
      <c r="E25" s="186">
        <f>-'[3]Rincian Arus Kas 20'!F68</f>
        <v>0</v>
      </c>
      <c r="F25" s="186">
        <v>0</v>
      </c>
      <c r="G25" s="186">
        <f>F25+E25</f>
        <v>0</v>
      </c>
      <c r="H25" s="186">
        <f t="shared" si="16"/>
        <v>0</v>
      </c>
      <c r="I25" s="186">
        <f>-'[2]AKAS 2021'!G70</f>
        <v>0</v>
      </c>
      <c r="J25" s="186">
        <f>-'[2]AKAS 2021'!H70</f>
        <v>0</v>
      </c>
      <c r="K25" s="186">
        <f>-'[2]AKAS 2021'!I70</f>
        <v>0</v>
      </c>
      <c r="L25" s="181">
        <f t="shared" si="17"/>
        <v>0</v>
      </c>
      <c r="M25" s="181">
        <f>-'[2]AKAS 2021'!K70</f>
        <v>0</v>
      </c>
      <c r="N25" s="181">
        <f>-'[2]AKAS 2021'!L70</f>
        <v>0</v>
      </c>
      <c r="O25" s="181">
        <f>-'[2]AKAS 2021'!M70</f>
        <v>0</v>
      </c>
      <c r="P25" s="186">
        <f t="shared" si="18"/>
        <v>0</v>
      </c>
      <c r="Q25" s="186">
        <f>-'[2]AKAS 2021'!O70</f>
        <v>0</v>
      </c>
      <c r="R25" s="186">
        <f>-'[2]AKAS 2021'!P70</f>
        <v>0</v>
      </c>
      <c r="S25" s="186">
        <f>-'[2]AKAS 2021'!Q70</f>
        <v>0</v>
      </c>
      <c r="T25" s="186">
        <f t="shared" si="19"/>
        <v>0</v>
      </c>
      <c r="U25" s="186">
        <f>-'[2]AKAS 2021'!S70</f>
        <v>0</v>
      </c>
      <c r="V25" s="186">
        <f>-'[2]AKAS 2021'!T70</f>
        <v>0</v>
      </c>
      <c r="W25" s="186">
        <f>-'[2]AKAS 2021'!U70</f>
        <v>0</v>
      </c>
      <c r="X25" s="186">
        <f t="shared" si="20"/>
        <v>0</v>
      </c>
      <c r="Y25" s="180">
        <f t="shared" si="5"/>
        <v>0</v>
      </c>
      <c r="AA25" s="186">
        <f t="shared" si="6"/>
        <v>0</v>
      </c>
      <c r="AB25" s="189"/>
      <c r="AC25" s="182" t="s">
        <v>430</v>
      </c>
      <c r="AD25" s="190">
        <f>'[2]Resume Akas 2020'!C23</f>
        <v>-150105</v>
      </c>
      <c r="AE25" s="190">
        <f>'[2]Resume Akas 2020'!N23</f>
        <v>-9017.2679000000007</v>
      </c>
      <c r="AF25" s="190">
        <f>W24</f>
        <v>-40000</v>
      </c>
      <c r="AG25" s="184">
        <f t="shared" si="10"/>
        <v>6.0073068185603411</v>
      </c>
      <c r="AH25" s="184">
        <f t="shared" si="10"/>
        <v>443.5933416151471</v>
      </c>
    </row>
    <row r="26" spans="1:36" s="162" customFormat="1" ht="20" customHeight="1" thickBot="1" x14ac:dyDescent="0.4">
      <c r="B26" s="197" t="s">
        <v>431</v>
      </c>
      <c r="C26" s="198">
        <f>SUM(C23:C25)</f>
        <v>-326858</v>
      </c>
      <c r="D26" s="198">
        <f>SUM(D23:D25)</f>
        <v>-162670</v>
      </c>
      <c r="E26" s="198">
        <f t="shared" ref="E26:F26" si="21">SUM(E23:E25)</f>
        <v>-340380</v>
      </c>
      <c r="F26" s="198">
        <f t="shared" si="21"/>
        <v>-57</v>
      </c>
      <c r="G26" s="198">
        <f>F26+E26</f>
        <v>-340437</v>
      </c>
      <c r="H26" s="198">
        <f t="shared" si="16"/>
        <v>-40000</v>
      </c>
      <c r="I26" s="198">
        <f>SUM(I23:I25)</f>
        <v>0</v>
      </c>
      <c r="J26" s="198">
        <f t="shared" ref="J26:K26" si="22">SUM(J23:J25)</f>
        <v>0</v>
      </c>
      <c r="K26" s="198">
        <f t="shared" si="22"/>
        <v>0</v>
      </c>
      <c r="L26" s="198">
        <f>SUM(L23:L25)</f>
        <v>0</v>
      </c>
      <c r="M26" s="198">
        <f t="shared" ref="M26:O26" si="23">SUM(M23:M25)</f>
        <v>0</v>
      </c>
      <c r="N26" s="198">
        <f t="shared" si="23"/>
        <v>0</v>
      </c>
      <c r="O26" s="198">
        <f t="shared" si="23"/>
        <v>0</v>
      </c>
      <c r="P26" s="198">
        <f>SUM(P23:P25)</f>
        <v>0</v>
      </c>
      <c r="Q26" s="198">
        <f>SUM(Q23:Q25)</f>
        <v>0</v>
      </c>
      <c r="R26" s="198">
        <f t="shared" ref="R26:X26" si="24">SUM(R23:R25)</f>
        <v>0</v>
      </c>
      <c r="S26" s="198">
        <f t="shared" si="24"/>
        <v>0</v>
      </c>
      <c r="T26" s="198">
        <f t="shared" si="24"/>
        <v>0</v>
      </c>
      <c r="U26" s="198">
        <f t="shared" si="24"/>
        <v>0</v>
      </c>
      <c r="V26" s="198">
        <f t="shared" si="24"/>
        <v>0</v>
      </c>
      <c r="W26" s="198">
        <f t="shared" si="24"/>
        <v>-40000</v>
      </c>
      <c r="X26" s="198">
        <f t="shared" si="24"/>
        <v>-40000</v>
      </c>
      <c r="Y26" s="180">
        <f t="shared" si="5"/>
        <v>-40000</v>
      </c>
      <c r="AA26" s="198">
        <f t="shared" si="6"/>
        <v>-40000</v>
      </c>
      <c r="AB26" s="200"/>
      <c r="AC26" s="201" t="s">
        <v>431</v>
      </c>
      <c r="AD26" s="203">
        <f>'[2]Resume Akas 2020'!C24</f>
        <v>-326858</v>
      </c>
      <c r="AE26" s="203">
        <f>'[2]Resume Akas 2020'!N24</f>
        <v>-340765.27329999994</v>
      </c>
      <c r="AF26" s="203">
        <f t="shared" si="7"/>
        <v>-40000</v>
      </c>
      <c r="AG26" s="209">
        <f t="shared" si="10"/>
        <v>104.25483644273659</v>
      </c>
      <c r="AH26" s="210">
        <f t="shared" si="10"/>
        <v>11.738285304906979</v>
      </c>
    </row>
    <row r="27" spans="1:36" ht="9" customHeight="1" thickBot="1" x14ac:dyDescent="0.4">
      <c r="A27" s="197" t="s">
        <v>426</v>
      </c>
      <c r="D27" s="181"/>
      <c r="E27" s="181"/>
      <c r="F27" s="181"/>
      <c r="G27" s="181"/>
      <c r="H27" s="181">
        <f t="shared" si="0"/>
        <v>0</v>
      </c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0">
        <f t="shared" si="5"/>
        <v>0</v>
      </c>
      <c r="AA27" s="160">
        <f t="shared" si="6"/>
        <v>0</v>
      </c>
      <c r="AD27" s="180"/>
      <c r="AE27" s="180"/>
      <c r="AF27" s="180"/>
      <c r="AG27" s="206"/>
      <c r="AH27" s="206"/>
    </row>
    <row r="28" spans="1:36" ht="20" customHeight="1" x14ac:dyDescent="0.35">
      <c r="B28" s="175" t="s">
        <v>432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80">
        <f t="shared" si="5"/>
        <v>0</v>
      </c>
      <c r="AA28" s="175">
        <f t="shared" si="6"/>
        <v>0</v>
      </c>
      <c r="AB28" s="157">
        <v>3</v>
      </c>
      <c r="AC28" s="175" t="s">
        <v>432</v>
      </c>
      <c r="AD28" s="180"/>
      <c r="AE28" s="180"/>
      <c r="AF28" s="180"/>
      <c r="AG28" s="206"/>
      <c r="AH28" s="206"/>
    </row>
    <row r="29" spans="1:36" ht="20" customHeight="1" x14ac:dyDescent="0.35">
      <c r="B29" s="160" t="s">
        <v>433</v>
      </c>
      <c r="C29" s="180">
        <f>'[1]AK Opr Juni GP Des (1)'!D80+'[1]AK Opr Juni GP Des (1)'!D79</f>
        <v>264000</v>
      </c>
      <c r="D29" s="180">
        <f>'[3]Rincian Arus Kas 20'!E80</f>
        <v>239434</v>
      </c>
      <c r="E29" s="180">
        <v>314234</v>
      </c>
      <c r="F29" s="180">
        <v>0</v>
      </c>
      <c r="G29" s="180">
        <f>F29+E29</f>
        <v>314234</v>
      </c>
      <c r="H29" s="180">
        <f t="shared" ref="H29:H33" si="25">L29+P29+T29+X29</f>
        <v>0</v>
      </c>
      <c r="I29" s="180">
        <f>'[2]AKAS 2021'!G80</f>
        <v>0</v>
      </c>
      <c r="J29" s="180">
        <f>'[2]AKAS 2021'!H80</f>
        <v>0</v>
      </c>
      <c r="K29" s="435">
        <v>0</v>
      </c>
      <c r="L29" s="181">
        <f t="shared" ref="L29:L34" si="26">K29+J29+I29</f>
        <v>0</v>
      </c>
      <c r="M29" s="181">
        <f>'[2]AKAS 2021'!K80</f>
        <v>0</v>
      </c>
      <c r="N29" s="181">
        <f>'[2]AKAS 2021'!L80</f>
        <v>0</v>
      </c>
      <c r="O29" s="181">
        <f>'[2]AKAS 2021'!M80</f>
        <v>0</v>
      </c>
      <c r="P29" s="186">
        <f t="shared" ref="P29:P34" si="27">O29+N29+M29</f>
        <v>0</v>
      </c>
      <c r="Q29" s="189">
        <f>'[2]AKAS 2021'!O80</f>
        <v>0</v>
      </c>
      <c r="R29" s="189">
        <f>'[2]AKAS 2021'!P80</f>
        <v>0</v>
      </c>
      <c r="S29" s="189">
        <f>'[2]AKAS 2021'!Q80</f>
        <v>0</v>
      </c>
      <c r="T29" s="186">
        <f t="shared" ref="T29:T34" si="28">S29+R29+Q29</f>
        <v>0</v>
      </c>
      <c r="U29" s="186">
        <f>'[2]AKAS 2021'!S80</f>
        <v>0</v>
      </c>
      <c r="V29" s="186">
        <f>'[2]AKAS 2021'!T80</f>
        <v>0</v>
      </c>
      <c r="W29" s="186">
        <f>'[2]AKAS 2021'!U80</f>
        <v>0</v>
      </c>
      <c r="X29" s="186">
        <f t="shared" ref="X29:X34" si="29">W29+V29+U29</f>
        <v>0</v>
      </c>
      <c r="Y29" s="180">
        <f t="shared" si="5"/>
        <v>0</v>
      </c>
      <c r="AA29" s="180">
        <f t="shared" si="6"/>
        <v>0</v>
      </c>
      <c r="AB29" s="180"/>
      <c r="AC29" s="182" t="s">
        <v>433</v>
      </c>
      <c r="AD29" s="190">
        <f>'[2]Resume Akas 2020'!C27</f>
        <v>264000</v>
      </c>
      <c r="AE29" s="190">
        <f>'[2]Resume Akas 2020'!N27</f>
        <v>314234</v>
      </c>
      <c r="AF29" s="190">
        <f t="shared" si="7"/>
        <v>0</v>
      </c>
      <c r="AG29" s="184">
        <f t="shared" si="10"/>
        <v>119.02803030303031</v>
      </c>
      <c r="AH29" s="184">
        <f t="shared" si="10"/>
        <v>0</v>
      </c>
    </row>
    <row r="30" spans="1:36" s="240" customFormat="1" ht="20" customHeight="1" x14ac:dyDescent="0.35">
      <c r="B30" s="240" t="s">
        <v>486</v>
      </c>
      <c r="C30" s="241">
        <v>0</v>
      </c>
      <c r="D30" s="241">
        <v>0</v>
      </c>
      <c r="E30" s="241">
        <v>0</v>
      </c>
      <c r="F30" s="241">
        <v>0</v>
      </c>
      <c r="G30" s="241">
        <f>F30+E30</f>
        <v>0</v>
      </c>
      <c r="H30" s="243">
        <f t="shared" si="25"/>
        <v>40000</v>
      </c>
      <c r="I30" s="241">
        <v>40000</v>
      </c>
      <c r="J30" s="241">
        <v>0</v>
      </c>
      <c r="K30" s="241">
        <f>(94000-I30)*0</f>
        <v>0</v>
      </c>
      <c r="L30" s="181">
        <f t="shared" si="26"/>
        <v>40000</v>
      </c>
      <c r="M30" s="181">
        <f>'[2]AKAS 2021'!K81</f>
        <v>0</v>
      </c>
      <c r="N30" s="181">
        <f>'[2]AKAS 2021'!L81</f>
        <v>0</v>
      </c>
      <c r="O30" s="181">
        <f>'[2]AKAS 2021'!M81</f>
        <v>0</v>
      </c>
      <c r="P30" s="186">
        <f t="shared" ref="P30:P32" si="30">O30+N30+M30</f>
        <v>0</v>
      </c>
      <c r="Q30" s="244">
        <v>0</v>
      </c>
      <c r="R30" s="189">
        <f>'[2]AKAS 2021'!P81</f>
        <v>0</v>
      </c>
      <c r="S30" s="189">
        <f>'[2]AKAS 2021'!Q81</f>
        <v>0</v>
      </c>
      <c r="T30" s="186">
        <f t="shared" si="28"/>
        <v>0</v>
      </c>
      <c r="U30" s="186">
        <f>'[2]AKAS 2021'!S81</f>
        <v>0</v>
      </c>
      <c r="V30" s="186">
        <f>'[2]AKAS 2021'!T81</f>
        <v>0</v>
      </c>
      <c r="W30" s="186">
        <f>'[2]AKAS 2021'!U81</f>
        <v>0</v>
      </c>
      <c r="X30" s="186">
        <f t="shared" ref="X30:X31" si="31">W30+V30+U30</f>
        <v>0</v>
      </c>
      <c r="Y30" s="241"/>
      <c r="AA30" s="241"/>
      <c r="AB30" s="241"/>
      <c r="AC30" s="245"/>
      <c r="AD30" s="246"/>
      <c r="AE30" s="246"/>
      <c r="AF30" s="246"/>
      <c r="AG30" s="247"/>
      <c r="AH30" s="247"/>
    </row>
    <row r="31" spans="1:36" s="240" customFormat="1" ht="20" customHeight="1" x14ac:dyDescent="0.35">
      <c r="B31" s="223" t="s">
        <v>505</v>
      </c>
      <c r="C31" s="222"/>
      <c r="D31" s="222"/>
      <c r="E31" s="222"/>
      <c r="F31" s="222"/>
      <c r="G31" s="222"/>
      <c r="H31" s="239">
        <f t="shared" si="25"/>
        <v>-40000</v>
      </c>
      <c r="I31" s="241">
        <v>0</v>
      </c>
      <c r="J31" s="241">
        <v>0</v>
      </c>
      <c r="K31" s="241">
        <v>0</v>
      </c>
      <c r="L31" s="181">
        <f t="shared" si="26"/>
        <v>0</v>
      </c>
      <c r="M31" s="181">
        <f>'[2]AKAS 2021'!K82</f>
        <v>0</v>
      </c>
      <c r="N31" s="181">
        <f>'[2]AKAS 2021'!L82</f>
        <v>0</v>
      </c>
      <c r="O31" s="181">
        <f>'[2]AKAS 2021'!M82</f>
        <v>0</v>
      </c>
      <c r="P31" s="186">
        <f t="shared" si="30"/>
        <v>0</v>
      </c>
      <c r="Q31" s="244">
        <f>-L30</f>
        <v>-40000</v>
      </c>
      <c r="R31" s="189">
        <f>'[2]AKAS 2021'!P82</f>
        <v>0</v>
      </c>
      <c r="S31" s="189">
        <f>'[2]AKAS 2021'!Q82</f>
        <v>0</v>
      </c>
      <c r="T31" s="186">
        <f t="shared" ref="T31:T32" si="32">S31+R31+Q31</f>
        <v>-40000</v>
      </c>
      <c r="U31" s="186">
        <f>'[2]AKAS 2021'!S82</f>
        <v>0</v>
      </c>
      <c r="V31" s="186">
        <f>'[2]AKAS 2021'!T82</f>
        <v>0</v>
      </c>
      <c r="W31" s="186">
        <f>'[2]AKAS 2021'!U82</f>
        <v>0</v>
      </c>
      <c r="X31" s="186">
        <f t="shared" si="31"/>
        <v>0</v>
      </c>
      <c r="Y31" s="241"/>
      <c r="AA31" s="241"/>
      <c r="AB31" s="241"/>
      <c r="AC31" s="245"/>
      <c r="AD31" s="246"/>
      <c r="AE31" s="246"/>
      <c r="AF31" s="246"/>
      <c r="AG31" s="247"/>
      <c r="AH31" s="247"/>
    </row>
    <row r="32" spans="1:36" ht="20" customHeight="1" x14ac:dyDescent="0.35">
      <c r="B32" s="160" t="s">
        <v>434</v>
      </c>
      <c r="C32" s="180">
        <f>+'[1]AK Opr Juni GP Des (1)'!D77</f>
        <v>330000</v>
      </c>
      <c r="D32" s="180">
        <f>'[3]Rincian Arus Kas 20'!E77</f>
        <v>366724.09543799999</v>
      </c>
      <c r="E32" s="180">
        <v>523970</v>
      </c>
      <c r="F32" s="180">
        <v>0</v>
      </c>
      <c r="G32" s="180">
        <f>F32+E32</f>
        <v>523970</v>
      </c>
      <c r="H32" s="186">
        <f t="shared" si="25"/>
        <v>36629.599999999991</v>
      </c>
      <c r="I32" s="180">
        <f>25157*0.7</f>
        <v>17609.899999999998</v>
      </c>
      <c r="J32" s="180">
        <f>'[2]AKAS 2021'!H77</f>
        <v>0</v>
      </c>
      <c r="K32" s="435">
        <f>27171*0.7</f>
        <v>19019.699999999997</v>
      </c>
      <c r="L32" s="188">
        <f t="shared" si="26"/>
        <v>36629.599999999991</v>
      </c>
      <c r="M32" s="181">
        <f>'[2]AKAS 2021'!K83</f>
        <v>0</v>
      </c>
      <c r="N32" s="181">
        <f>'[2]AKAS 2021'!L83</f>
        <v>0</v>
      </c>
      <c r="O32" s="181">
        <f>'[2]AKAS 2021'!M83</f>
        <v>0</v>
      </c>
      <c r="P32" s="186">
        <f t="shared" si="30"/>
        <v>0</v>
      </c>
      <c r="Q32" s="189">
        <f>'[2]AKAS 2021'!O77</f>
        <v>0</v>
      </c>
      <c r="R32" s="189">
        <f>'[2]AKAS 2021'!P83</f>
        <v>0</v>
      </c>
      <c r="S32" s="189">
        <f>'[2]AKAS 2021'!Q83</f>
        <v>0</v>
      </c>
      <c r="T32" s="186">
        <f t="shared" si="32"/>
        <v>0</v>
      </c>
      <c r="U32" s="186">
        <f>'[2]AKAS 2021'!S77</f>
        <v>0</v>
      </c>
      <c r="V32" s="186">
        <f>'[2]AKAS 2021'!T77</f>
        <v>0</v>
      </c>
      <c r="W32" s="186">
        <f>'[2]AKAS 2021'!U77</f>
        <v>0</v>
      </c>
      <c r="X32" s="186">
        <f t="shared" si="29"/>
        <v>0</v>
      </c>
      <c r="Y32" s="180">
        <f t="shared" si="5"/>
        <v>36629.599999999991</v>
      </c>
      <c r="AA32" s="180">
        <f t="shared" si="6"/>
        <v>36629.599999999991</v>
      </c>
      <c r="AB32" s="180"/>
      <c r="AC32" s="182" t="s">
        <v>434</v>
      </c>
      <c r="AD32" s="190">
        <f>'[2]Resume Akas 2020'!C28</f>
        <v>330000</v>
      </c>
      <c r="AE32" s="190">
        <f>'[2]Resume Akas 2020'!N28</f>
        <v>519670.83169599995</v>
      </c>
      <c r="AF32" s="190">
        <f t="shared" si="7"/>
        <v>36629.599999999991</v>
      </c>
      <c r="AG32" s="184">
        <f t="shared" si="10"/>
        <v>157.47600960484846</v>
      </c>
      <c r="AH32" s="184">
        <f t="shared" si="10"/>
        <v>7.048615732473472</v>
      </c>
    </row>
    <row r="33" spans="2:34" ht="20" customHeight="1" x14ac:dyDescent="0.35">
      <c r="B33" s="160" t="s">
        <v>586</v>
      </c>
      <c r="C33" s="180">
        <v>0</v>
      </c>
      <c r="D33" s="193">
        <v>-4393</v>
      </c>
      <c r="E33" s="193">
        <v>-94</v>
      </c>
      <c r="F33" s="193">
        <v>-3904.34888</v>
      </c>
      <c r="G33" s="186">
        <f>F33+E33</f>
        <v>-3998.34888</v>
      </c>
      <c r="H33" s="186">
        <f t="shared" si="25"/>
        <v>-16753.9568</v>
      </c>
      <c r="I33" s="186">
        <f>-'[2]AKAS 2021'!G84</f>
        <v>0</v>
      </c>
      <c r="J33" s="186">
        <f>-'[2]AKAS 2021'!H84</f>
        <v>0</v>
      </c>
      <c r="K33" s="186">
        <f>-'[2]AKAS 2021'!I84</f>
        <v>-4188.4892</v>
      </c>
      <c r="L33" s="186">
        <f t="shared" si="26"/>
        <v>-4188.4892</v>
      </c>
      <c r="M33" s="181">
        <f>-'[2]AKAS 2021'!K84</f>
        <v>0</v>
      </c>
      <c r="N33" s="181">
        <f>-'[2]AKAS 2021'!L84</f>
        <v>0</v>
      </c>
      <c r="O33" s="193">
        <f>-'[2]AKAS 2021'!M84</f>
        <v>-4188.4892</v>
      </c>
      <c r="P33" s="186">
        <f t="shared" si="27"/>
        <v>-4188.4892</v>
      </c>
      <c r="Q33" s="189">
        <f>-'[2]AKAS 2021'!O84</f>
        <v>0</v>
      </c>
      <c r="R33" s="189">
        <f>-'[2]AKAS 2021'!P84</f>
        <v>0</v>
      </c>
      <c r="S33" s="189">
        <f>-'[2]AKAS 2021'!Q84</f>
        <v>-4188.4892</v>
      </c>
      <c r="T33" s="186">
        <f t="shared" si="28"/>
        <v>-4188.4892</v>
      </c>
      <c r="U33" s="186">
        <f>-'[2]AKAS 2021'!S84</f>
        <v>0</v>
      </c>
      <c r="V33" s="186">
        <f>-'[2]AKAS 2021'!T84</f>
        <v>0</v>
      </c>
      <c r="W33" s="186">
        <f>-'[2]AKAS 2021'!U84</f>
        <v>-4188.4892</v>
      </c>
      <c r="X33" s="186">
        <f t="shared" si="29"/>
        <v>-4188.4892</v>
      </c>
      <c r="Y33" s="180">
        <f t="shared" si="5"/>
        <v>-16753.9568</v>
      </c>
      <c r="AA33" s="186">
        <f t="shared" si="6"/>
        <v>-16753.9568</v>
      </c>
      <c r="AB33" s="189"/>
      <c r="AC33" s="182" t="s">
        <v>435</v>
      </c>
      <c r="AD33" s="190">
        <f>'[2]Resume Akas 2020'!C29</f>
        <v>-220903</v>
      </c>
      <c r="AE33" s="190">
        <f>'[2]Resume Akas 2020'!N29</f>
        <v>-81350.565982550936</v>
      </c>
      <c r="AF33" s="190">
        <f t="shared" si="7"/>
        <v>-16753.9568</v>
      </c>
      <c r="AG33" s="184">
        <f t="shared" si="10"/>
        <v>36.82637446415437</v>
      </c>
      <c r="AH33" s="184">
        <f t="shared" si="10"/>
        <v>20.594763659780309</v>
      </c>
    </row>
    <row r="34" spans="2:34" ht="20" customHeight="1" thickBot="1" x14ac:dyDescent="0.4">
      <c r="B34" s="160" t="s">
        <v>587</v>
      </c>
      <c r="C34" s="193">
        <f>-'[1]AK Opr Juni GP Des (1)'!D84-'[1]AK Opr Juni GP Des (1)'!D85-'[1]AK Opr Juni GP Des (1)'!D86-'[1]AK Opr Juni GP Des (1)'!D87-'[1]AK Opr Juni GP Des (1)'!D88-'[1]AK Opr Juni GP Des (1)'!D89</f>
        <v>-220903</v>
      </c>
      <c r="D34" s="193">
        <v>-63070</v>
      </c>
      <c r="E34" s="193">
        <v>-70587</v>
      </c>
      <c r="F34" s="193">
        <v>-10678.131882</v>
      </c>
      <c r="G34" s="193">
        <f>F34+E34</f>
        <v>-81265.131882000001</v>
      </c>
      <c r="H34" s="186">
        <f>-'[2]AKAS 2021'!F85-'[2]AKAS 2021'!F86-'[2]AKAS 2021'!F87</f>
        <v>-138192.4781147204</v>
      </c>
      <c r="I34" s="193">
        <f>-'[2]AKAS 2021'!G85-'[2]AKAS 2021'!G86-'[2]AKAS 2021'!G87</f>
        <v>-11492.087244552731</v>
      </c>
      <c r="J34" s="193">
        <f>-'[2]AKAS 2021'!H85-'[2]AKAS 2021'!H86-'[2]AKAS 2021'!H87</f>
        <v>-11527.412418949441</v>
      </c>
      <c r="K34" s="193">
        <f>-'[2]AKAS 2021'!I85-'[2]AKAS 2021'!I86-'[2]AKAS 2021'!I87</f>
        <v>-10783.626362914632</v>
      </c>
      <c r="L34" s="193">
        <f t="shared" si="26"/>
        <v>-33803.126026416809</v>
      </c>
      <c r="M34" s="193">
        <f>-'[2]AKAS 2021'!K85-'[2]AKAS 2021'!K86-'[2]AKAS 2021'!K87</f>
        <v>-11586.034429534222</v>
      </c>
      <c r="N34" s="193">
        <f>-'[2]AKAS 2021'!L85-'[2]AKAS 2021'!L86-'[2]AKAS 2021'!L87</f>
        <v>-11359.487093243139</v>
      </c>
      <c r="O34" s="193">
        <f>-'[2]AKAS 2021'!M85-'[2]AKAS 2021'!M86-'[2]AKAS 2021'!M87</f>
        <v>-11655.545256572912</v>
      </c>
      <c r="P34" s="186">
        <f t="shared" si="27"/>
        <v>-34601.066779350273</v>
      </c>
      <c r="Q34" s="193">
        <f>-'[2]AKAS 2021'!O85-'[2]AKAS 2021'!O86-'[2]AKAS 2021'!O87</f>
        <v>-11418.1458625942</v>
      </c>
      <c r="R34" s="193">
        <f>-'[2]AKAS 2021'!P85-'[2]AKAS 2021'!P86-'[2]AKAS 2021'!P87</f>
        <v>-11716.446310667157</v>
      </c>
      <c r="S34" s="193">
        <f>-'[2]AKAS 2021'!Q85-'[2]AKAS 2021'!Q86-'[2]AKAS 2021'!Q87</f>
        <v>-11751.771485063869</v>
      </c>
      <c r="T34" s="186">
        <f t="shared" si="28"/>
        <v>-34886.363658325223</v>
      </c>
      <c r="U34" s="186">
        <f>-'[2]AKAS 2021'!S85-'[2]AKAS 2021'!S86-'[2]AKAS 2021'!S87</f>
        <v>-11510.990284587242</v>
      </c>
      <c r="V34" s="186">
        <f>-'[2]AKAS 2021'!T85-'[2]AKAS 2021'!T86-'[2]AKAS 2021'!T87</f>
        <v>-11812.672539158113</v>
      </c>
      <c r="W34" s="186">
        <f>-'[2]AKAS 2021'!U85-'[2]AKAS 2021'!U86-'[2]AKAS 2021'!U87</f>
        <v>-11578.258826882748</v>
      </c>
      <c r="X34" s="186">
        <f t="shared" si="29"/>
        <v>-34901.921650628101</v>
      </c>
      <c r="Y34" s="180">
        <f t="shared" si="5"/>
        <v>-138192.4781147204</v>
      </c>
      <c r="AA34" s="193">
        <f t="shared" si="6"/>
        <v>-138192.4781147204</v>
      </c>
      <c r="AB34" s="189"/>
      <c r="AC34" s="182" t="s">
        <v>436</v>
      </c>
      <c r="AD34" s="190">
        <v>0</v>
      </c>
      <c r="AE34" s="190">
        <v>0</v>
      </c>
      <c r="AF34" s="190">
        <f t="shared" si="7"/>
        <v>-138192.4781147204</v>
      </c>
      <c r="AG34" s="184">
        <v>0</v>
      </c>
      <c r="AH34" s="184">
        <v>0</v>
      </c>
    </row>
    <row r="35" spans="2:34" s="162" customFormat="1" ht="20" customHeight="1" thickBot="1" x14ac:dyDescent="0.4">
      <c r="B35" s="197" t="s">
        <v>437</v>
      </c>
      <c r="C35" s="211">
        <f>SUM(C29:C34)</f>
        <v>373097</v>
      </c>
      <c r="D35" s="211">
        <f>SUM(D29:D34)</f>
        <v>538695.09543800005</v>
      </c>
      <c r="E35" s="211">
        <f t="shared" ref="E35:F35" si="33">SUM(E29:E34)</f>
        <v>767523</v>
      </c>
      <c r="F35" s="198">
        <f t="shared" si="33"/>
        <v>-14582.480761999999</v>
      </c>
      <c r="G35" s="211">
        <f>F35+E35</f>
        <v>752940.51923800004</v>
      </c>
      <c r="H35" s="198">
        <f t="shared" si="0"/>
        <v>-118316.83491472041</v>
      </c>
      <c r="I35" s="198">
        <f>SUM(I29:I34)</f>
        <v>46117.812755447259</v>
      </c>
      <c r="J35" s="198">
        <f t="shared" ref="J35:K35" si="34">SUM(J29:J34)</f>
        <v>-11527.412418949441</v>
      </c>
      <c r="K35" s="198">
        <f t="shared" si="34"/>
        <v>4047.5844370853647</v>
      </c>
      <c r="L35" s="198">
        <f>SUM(L29:L34)</f>
        <v>38637.984773583186</v>
      </c>
      <c r="M35" s="198">
        <f>SUM(M29:M34)</f>
        <v>-11586.034429534222</v>
      </c>
      <c r="N35" s="198">
        <f t="shared" ref="N35:O35" si="35">SUM(N29:N34)</f>
        <v>-11359.487093243139</v>
      </c>
      <c r="O35" s="198">
        <f t="shared" si="35"/>
        <v>-15844.034456572912</v>
      </c>
      <c r="P35" s="198">
        <f>SUM(P29:P34)</f>
        <v>-38789.555979350276</v>
      </c>
      <c r="Q35" s="198">
        <f t="shared" ref="Q35:X35" si="36">SUM(Q29:Q34)</f>
        <v>-51418.145862594203</v>
      </c>
      <c r="R35" s="198">
        <f t="shared" si="36"/>
        <v>-11716.446310667157</v>
      </c>
      <c r="S35" s="198">
        <f t="shared" si="36"/>
        <v>-15940.260685063869</v>
      </c>
      <c r="T35" s="198">
        <f t="shared" si="36"/>
        <v>-79074.852858325219</v>
      </c>
      <c r="U35" s="198">
        <f t="shared" si="36"/>
        <v>-11510.990284587242</v>
      </c>
      <c r="V35" s="198">
        <f t="shared" si="36"/>
        <v>-11812.672539158113</v>
      </c>
      <c r="W35" s="198">
        <f t="shared" si="36"/>
        <v>-15766.748026882748</v>
      </c>
      <c r="X35" s="198">
        <f t="shared" si="36"/>
        <v>-39090.410850628105</v>
      </c>
      <c r="Y35" s="180">
        <f t="shared" si="5"/>
        <v>-118316.83491472041</v>
      </c>
      <c r="AA35" s="198">
        <f t="shared" si="6"/>
        <v>-118316.83491472041</v>
      </c>
      <c r="AB35" s="200"/>
      <c r="AC35" s="201" t="s">
        <v>437</v>
      </c>
      <c r="AD35" s="202">
        <f>'[2]Resume Akas 2020'!C30</f>
        <v>373097</v>
      </c>
      <c r="AE35" s="203">
        <f>'[2]Resume Akas 2020'!N30</f>
        <v>752554.26571344899</v>
      </c>
      <c r="AF35" s="203">
        <f t="shared" si="7"/>
        <v>-118316.83491472041</v>
      </c>
      <c r="AG35" s="209">
        <f t="shared" si="10"/>
        <v>201.70472175156834</v>
      </c>
      <c r="AH35" s="204">
        <f t="shared" si="10"/>
        <v>-15.722033653287676</v>
      </c>
    </row>
    <row r="36" spans="2:34" ht="7.5" customHeight="1" thickBot="1" x14ac:dyDescent="0.4"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0">
        <f t="shared" si="5"/>
        <v>0</v>
      </c>
      <c r="AA36" s="160">
        <f t="shared" si="6"/>
        <v>0</v>
      </c>
      <c r="AD36" s="180"/>
      <c r="AE36" s="180"/>
      <c r="AF36" s="180"/>
      <c r="AG36" s="212"/>
      <c r="AH36" s="212"/>
    </row>
    <row r="37" spans="2:34" s="162" customFormat="1" ht="20" customHeight="1" thickBot="1" x14ac:dyDescent="0.4">
      <c r="B37" s="213" t="s">
        <v>438</v>
      </c>
      <c r="C37" s="214">
        <f>C35+C26+C20</f>
        <v>104285</v>
      </c>
      <c r="D37" s="198">
        <f>D35+D26+D20</f>
        <v>-3892.9045619999524</v>
      </c>
      <c r="E37" s="214">
        <f>E35+E26+E20</f>
        <v>69199</v>
      </c>
      <c r="F37" s="198">
        <f t="shared" ref="F37" si="37">F35+F26+F20</f>
        <v>-63633.980761999999</v>
      </c>
      <c r="G37" s="198">
        <f>F37+E37</f>
        <v>5565.0192380000008</v>
      </c>
      <c r="H37" s="214">
        <f t="shared" si="0"/>
        <v>21538.579952276748</v>
      </c>
      <c r="I37" s="198">
        <f>I35+I26+I20</f>
        <v>-17219.231754448956</v>
      </c>
      <c r="J37" s="198">
        <f>J35+J26+J20</f>
        <v>-3291.1732943515453</v>
      </c>
      <c r="K37" s="198">
        <f>K35+K26+K20</f>
        <v>-14387.176438316741</v>
      </c>
      <c r="L37" s="198">
        <f>L35+L26+L20</f>
        <v>-34897.581487117233</v>
      </c>
      <c r="M37" s="198">
        <f>M35+M26+M20</f>
        <v>-5719.1067054932801</v>
      </c>
      <c r="N37" s="198">
        <f t="shared" ref="N37:X37" si="38">N35+N26+N20</f>
        <v>5507.4406307978043</v>
      </c>
      <c r="O37" s="198">
        <f t="shared" si="38"/>
        <v>72.893267468030899</v>
      </c>
      <c r="P37" s="198">
        <f t="shared" si="38"/>
        <v>-138.77280722744763</v>
      </c>
      <c r="Q37" s="198">
        <f t="shared" si="38"/>
        <v>56460.223012668255</v>
      </c>
      <c r="R37" s="198">
        <f t="shared" si="38"/>
        <v>9793.1947515953034</v>
      </c>
      <c r="S37" s="198">
        <f t="shared" si="38"/>
        <v>5569.3803771985913</v>
      </c>
      <c r="T37" s="198">
        <f t="shared" si="38"/>
        <v>71822.798141462161</v>
      </c>
      <c r="U37" s="214">
        <f t="shared" si="38"/>
        <v>9807.1920340085526</v>
      </c>
      <c r="V37" s="214">
        <f t="shared" si="38"/>
        <v>9505.5097794376816</v>
      </c>
      <c r="W37" s="198">
        <f t="shared" si="38"/>
        <v>-34560.565708286958</v>
      </c>
      <c r="X37" s="198">
        <f t="shared" si="38"/>
        <v>-15247.863894840732</v>
      </c>
      <c r="Y37" s="180">
        <f t="shared" si="5"/>
        <v>21538.579952276748</v>
      </c>
      <c r="AA37" s="198">
        <f t="shared" si="6"/>
        <v>21538.579952276748</v>
      </c>
      <c r="AB37" s="200">
        <v>4</v>
      </c>
      <c r="AC37" s="201" t="s">
        <v>438</v>
      </c>
      <c r="AD37" s="202">
        <f>'[2]Resume Akas 2020'!C32</f>
        <v>104285</v>
      </c>
      <c r="AE37" s="203">
        <f>'[2]Resume Akas 2020'!N32</f>
        <v>7368.2649984490126</v>
      </c>
      <c r="AF37" s="203">
        <f t="shared" si="7"/>
        <v>21538.579952276748</v>
      </c>
      <c r="AG37" s="209">
        <f t="shared" si="10"/>
        <v>7.0655079814441315</v>
      </c>
      <c r="AH37" s="210">
        <f t="shared" si="10"/>
        <v>292.3154902383468</v>
      </c>
    </row>
    <row r="38" spans="2:34" ht="7.9" customHeight="1" thickBot="1" x14ac:dyDescent="0.4">
      <c r="L38" s="160"/>
      <c r="M38" s="160"/>
      <c r="N38" s="160"/>
      <c r="O38" s="160"/>
      <c r="P38" s="160"/>
      <c r="Q38" s="160"/>
      <c r="R38" s="160"/>
      <c r="S38" s="160"/>
      <c r="AA38" s="160">
        <f t="shared" si="6"/>
        <v>0</v>
      </c>
      <c r="AD38" s="180"/>
      <c r="AE38" s="180"/>
      <c r="AF38" s="180"/>
      <c r="AG38" s="212"/>
      <c r="AH38" s="212"/>
    </row>
    <row r="39" spans="2:34" s="162" customFormat="1" ht="20" customHeight="1" thickBot="1" x14ac:dyDescent="0.4">
      <c r="B39" s="213" t="s">
        <v>439</v>
      </c>
      <c r="C39" s="215">
        <f>'[1]AK Opr Juni GP Des (1)'!D99</f>
        <v>56215</v>
      </c>
      <c r="D39" s="215">
        <f>'[1]AK Opr Juni GP Des (1)'!E99</f>
        <v>50219.215704000002</v>
      </c>
      <c r="E39" s="215">
        <f>D39</f>
        <v>50219.215704000002</v>
      </c>
      <c r="F39" s="215">
        <f t="shared" ref="F39" si="39">E41</f>
        <v>119418.215704</v>
      </c>
      <c r="G39" s="215">
        <f>'[2]Resume Akas 2020'!N34</f>
        <v>50219.215704000002</v>
      </c>
      <c r="H39" s="215">
        <f>G41</f>
        <v>55783.234942000003</v>
      </c>
      <c r="I39" s="215">
        <f>H39</f>
        <v>55783.234942000003</v>
      </c>
      <c r="J39" s="215">
        <f t="shared" ref="J39:K39" si="40">I41</f>
        <v>38564.003187551047</v>
      </c>
      <c r="K39" s="215">
        <f t="shared" si="40"/>
        <v>35272.829893199501</v>
      </c>
      <c r="L39" s="215">
        <f>H39</f>
        <v>55783.234942000003</v>
      </c>
      <c r="M39" s="215">
        <f>L41</f>
        <v>20885.653454882769</v>
      </c>
      <c r="N39" s="198">
        <f>M41</f>
        <v>15166.54674938949</v>
      </c>
      <c r="O39" s="198">
        <f>N41</f>
        <v>20673.987380187296</v>
      </c>
      <c r="P39" s="215">
        <f>L41</f>
        <v>20885.653454882769</v>
      </c>
      <c r="Q39" s="198">
        <f>P41</f>
        <v>20746.880647655322</v>
      </c>
      <c r="R39" s="215">
        <f t="shared" ref="R39:S39" si="41">Q41</f>
        <v>77207.10366032357</v>
      </c>
      <c r="S39" s="215">
        <f t="shared" si="41"/>
        <v>87000.298411918877</v>
      </c>
      <c r="T39" s="198">
        <f>P41</f>
        <v>20746.880647655322</v>
      </c>
      <c r="U39" s="215">
        <f>T41</f>
        <v>92569.67878911749</v>
      </c>
      <c r="V39" s="215">
        <f>U41</f>
        <v>102376.87082312604</v>
      </c>
      <c r="W39" s="215">
        <f>V41</f>
        <v>111882.38060256372</v>
      </c>
      <c r="X39" s="215">
        <f>T41</f>
        <v>92569.67878911749</v>
      </c>
      <c r="Y39" s="205">
        <f>H39</f>
        <v>55783.234942000003</v>
      </c>
      <c r="AA39" s="215">
        <f>'[2]Resume Akas 2020'!U36</f>
        <v>-4814.6972170000663</v>
      </c>
      <c r="AB39" s="200">
        <v>5</v>
      </c>
      <c r="AC39" s="201" t="s">
        <v>439</v>
      </c>
      <c r="AD39" s="202">
        <f>'[2]Resume Akas 2020'!C34</f>
        <v>56215</v>
      </c>
      <c r="AE39" s="203">
        <f>'[2]Resume Akas 2020'!N34</f>
        <v>50219.215704000002</v>
      </c>
      <c r="AF39" s="203">
        <f t="shared" si="7"/>
        <v>55783.234942000003</v>
      </c>
      <c r="AG39" s="209">
        <f t="shared" si="10"/>
        <v>89.334191415102737</v>
      </c>
      <c r="AH39" s="210">
        <f t="shared" si="10"/>
        <v>111.07946263198376</v>
      </c>
    </row>
    <row r="40" spans="2:34" ht="6.75" customHeight="1" thickBot="1" x14ac:dyDescent="0.4">
      <c r="L40" s="160"/>
      <c r="M40" s="160"/>
      <c r="N40" s="160"/>
      <c r="O40" s="160"/>
      <c r="P40" s="160"/>
      <c r="Q40" s="160"/>
      <c r="R40" s="160"/>
      <c r="S40" s="160"/>
      <c r="AA40" s="160">
        <f t="shared" si="6"/>
        <v>0</v>
      </c>
      <c r="AD40" s="180"/>
      <c r="AE40" s="180"/>
      <c r="AF40" s="180"/>
      <c r="AG40" s="212"/>
      <c r="AH40" s="212"/>
    </row>
    <row r="41" spans="2:34" s="162" customFormat="1" ht="20" customHeight="1" thickBot="1" x14ac:dyDescent="0.4">
      <c r="B41" s="213" t="s">
        <v>440</v>
      </c>
      <c r="C41" s="214">
        <f>C39+C37</f>
        <v>160500</v>
      </c>
      <c r="D41" s="214">
        <f>D39+D37</f>
        <v>46326.31114200005</v>
      </c>
      <c r="E41" s="214">
        <f t="shared" ref="E41" si="42">E39+E37</f>
        <v>119418.215704</v>
      </c>
      <c r="F41" s="198">
        <f>F39+F37-1</f>
        <v>55783.234942000003</v>
      </c>
      <c r="G41" s="214">
        <f>G39+G37-1</f>
        <v>55783.234942000003</v>
      </c>
      <c r="H41" s="214">
        <f>H39+H37</f>
        <v>77321.814894276758</v>
      </c>
      <c r="I41" s="198">
        <f>I39+I37</f>
        <v>38564.003187551047</v>
      </c>
      <c r="J41" s="198">
        <f t="shared" ref="J41:K41" si="43">J39+J37</f>
        <v>35272.829893199501</v>
      </c>
      <c r="K41" s="198">
        <f t="shared" si="43"/>
        <v>20885.653454882762</v>
      </c>
      <c r="L41" s="198">
        <f>L39+L37</f>
        <v>20885.653454882769</v>
      </c>
      <c r="M41" s="198">
        <f>M39+M37</f>
        <v>15166.54674938949</v>
      </c>
      <c r="N41" s="198">
        <f t="shared" ref="N41:O41" si="44">N39+N37</f>
        <v>20673.987380187296</v>
      </c>
      <c r="O41" s="198">
        <f t="shared" si="44"/>
        <v>20746.880647655329</v>
      </c>
      <c r="P41" s="198">
        <f>P39+P37</f>
        <v>20746.880647655322</v>
      </c>
      <c r="Q41" s="198">
        <f t="shared" ref="Q41:Y41" si="45">Q39+Q37</f>
        <v>77207.10366032357</v>
      </c>
      <c r="R41" s="198">
        <f t="shared" si="45"/>
        <v>87000.298411918877</v>
      </c>
      <c r="S41" s="198">
        <f t="shared" si="45"/>
        <v>92569.678789117461</v>
      </c>
      <c r="T41" s="198">
        <f t="shared" si="45"/>
        <v>92569.67878911749</v>
      </c>
      <c r="U41" s="198">
        <f t="shared" si="45"/>
        <v>102376.87082312604</v>
      </c>
      <c r="V41" s="198">
        <f t="shared" si="45"/>
        <v>111882.38060256372</v>
      </c>
      <c r="W41" s="198">
        <f t="shared" si="45"/>
        <v>77321.814894276758</v>
      </c>
      <c r="X41" s="198">
        <f t="shared" si="45"/>
        <v>77321.814894276758</v>
      </c>
      <c r="Y41" s="198">
        <f t="shared" si="45"/>
        <v>77321.814894276758</v>
      </c>
      <c r="AA41" s="217">
        <f>AA37+AA39</f>
        <v>16723.882735276682</v>
      </c>
      <c r="AB41" s="200">
        <v>6</v>
      </c>
      <c r="AC41" s="201" t="s">
        <v>440</v>
      </c>
      <c r="AD41" s="202">
        <f>'[2]Resume Akas 2020'!C36</f>
        <v>160500</v>
      </c>
      <c r="AE41" s="203">
        <f>'[2]Resume Akas 2020'!N36</f>
        <v>57587.480702449015</v>
      </c>
      <c r="AF41" s="203">
        <f t="shared" si="7"/>
        <v>77321.814894276758</v>
      </c>
      <c r="AG41" s="209">
        <f t="shared" si="10"/>
        <v>35.880050281899699</v>
      </c>
      <c r="AH41" s="210">
        <f t="shared" si="10"/>
        <v>134.26844507019476</v>
      </c>
    </row>
    <row r="42" spans="2:34" ht="20" hidden="1" customHeight="1" thickBot="1" x14ac:dyDescent="0.4">
      <c r="C42" s="181"/>
      <c r="D42" s="181"/>
      <c r="E42" s="181"/>
      <c r="F42" s="181"/>
      <c r="G42" s="181"/>
      <c r="H42" s="181">
        <f>'[2]AKAS 2021'!F100</f>
        <v>195300.16435105636</v>
      </c>
      <c r="I42" s="181">
        <f>'[2]AKAS 2021'!G100</f>
        <v>54492.67358558609</v>
      </c>
      <c r="J42" s="181">
        <f>'[2]AKAS 2021'!H100</f>
        <v>51362.541294326365</v>
      </c>
      <c r="K42" s="181">
        <f>'[2]AKAS 2021'!I100</f>
        <v>122989.30585910144</v>
      </c>
      <c r="L42" s="181">
        <f>'[2]AKAS 2021'!J100</f>
        <v>122989.30585910146</v>
      </c>
      <c r="M42" s="181">
        <f>'[2]AKAS 2021'!K100</f>
        <v>92110.600825427857</v>
      </c>
      <c r="N42" s="181">
        <f>'[2]AKAS 2021'!L100</f>
        <v>97886.443128045357</v>
      </c>
      <c r="O42" s="181">
        <f>'[2]AKAS 2021'!M100</f>
        <v>98227.738067333092</v>
      </c>
      <c r="P42" s="181">
        <f>'[2]AKAS 2021'!N100</f>
        <v>98227.738067333092</v>
      </c>
      <c r="Q42" s="181">
        <f>'[2]AKAS 2021'!O100</f>
        <v>193575.043086185</v>
      </c>
      <c r="R42" s="181">
        <f>'[2]AKAS 2021'!P100</f>
        <v>203690.31984396395</v>
      </c>
      <c r="S42" s="181">
        <f>'[2]AKAS 2021'!Q100</f>
        <v>209581.78222734618</v>
      </c>
      <c r="T42" s="181">
        <f>'[2]AKAS 2021'!R100</f>
        <v>209581.78222734615</v>
      </c>
      <c r="U42" s="181">
        <f>'[2]AKAS 2021'!S100</f>
        <v>219711.05626753837</v>
      </c>
      <c r="V42" s="181">
        <f>'[2]AKAS 2021'!T100</f>
        <v>229538.6480531597</v>
      </c>
      <c r="W42" s="181">
        <f>'[2]AKAS 2021'!U100</f>
        <v>195300.16435105639</v>
      </c>
      <c r="X42" s="181">
        <f>'[2]AKAS 2021'!V100</f>
        <v>195300.16435105636</v>
      </c>
      <c r="Y42" s="181">
        <f>'[2]AKAS 2021'!W100</f>
        <v>0</v>
      </c>
      <c r="AA42" s="181">
        <f>'[2]AKAS 2021'!Y100</f>
        <v>0</v>
      </c>
      <c r="AB42" s="181"/>
    </row>
    <row r="43" spans="2:34" s="159" customFormat="1" x14ac:dyDescent="0.35">
      <c r="C43" s="158"/>
      <c r="D43" s="158"/>
      <c r="E43" s="158"/>
      <c r="F43" s="158"/>
      <c r="G43" s="158"/>
      <c r="H43" s="158">
        <f>H42-H41</f>
        <v>117978.3494567796</v>
      </c>
      <c r="I43" s="218">
        <f t="shared" ref="I43:X43" si="46">I41-I42</f>
        <v>-15928.670398035043</v>
      </c>
      <c r="J43" s="218">
        <f t="shared" si="46"/>
        <v>-16089.711401126864</v>
      </c>
      <c r="K43" s="218">
        <f t="shared" si="46"/>
        <v>-102103.65240421868</v>
      </c>
      <c r="L43" s="218">
        <f t="shared" si="46"/>
        <v>-102103.65240421868</v>
      </c>
      <c r="M43" s="218">
        <f t="shared" si="46"/>
        <v>-76944.054076038359</v>
      </c>
      <c r="N43" s="218">
        <f t="shared" si="46"/>
        <v>-77212.455747858068</v>
      </c>
      <c r="O43" s="218">
        <f t="shared" si="46"/>
        <v>-77480.857419677763</v>
      </c>
      <c r="P43" s="218">
        <f t="shared" si="46"/>
        <v>-77480.857419677777</v>
      </c>
      <c r="Q43" s="218">
        <f t="shared" si="46"/>
        <v>-116367.93942586143</v>
      </c>
      <c r="R43" s="218">
        <f t="shared" si="46"/>
        <v>-116690.02143204508</v>
      </c>
      <c r="S43" s="218">
        <f t="shared" si="46"/>
        <v>-117012.10343822872</v>
      </c>
      <c r="T43" s="218">
        <f t="shared" si="46"/>
        <v>-117012.10343822866</v>
      </c>
      <c r="U43" s="218">
        <f t="shared" si="46"/>
        <v>-117334.18544441233</v>
      </c>
      <c r="V43" s="218">
        <f t="shared" si="46"/>
        <v>-117656.26745059599</v>
      </c>
      <c r="W43" s="218">
        <f t="shared" si="46"/>
        <v>-117978.34945677963</v>
      </c>
      <c r="X43" s="218">
        <f t="shared" si="46"/>
        <v>-117978.3494567796</v>
      </c>
      <c r="Y43" s="158"/>
      <c r="AA43" s="158">
        <f>AA42-AA41</f>
        <v>-16723.882735276682</v>
      </c>
      <c r="AB43" s="158"/>
      <c r="AD43" s="159">
        <v>160500</v>
      </c>
      <c r="AE43" s="159">
        <v>57587.480702449015</v>
      </c>
      <c r="AF43" s="159">
        <v>101300.16435105636</v>
      </c>
    </row>
    <row r="44" spans="2:34" ht="15.75" hidden="1" customHeight="1" x14ac:dyDescent="0.35">
      <c r="B44" s="160" t="s">
        <v>441</v>
      </c>
      <c r="L44" s="160"/>
      <c r="M44" s="160"/>
      <c r="N44" s="160"/>
      <c r="O44" s="160"/>
      <c r="P44" s="160"/>
      <c r="Q44" s="160"/>
      <c r="R44" s="160"/>
      <c r="S44" s="160"/>
      <c r="Y44" s="180">
        <f t="shared" ref="Y44" si="47">Y41-Y42</f>
        <v>77321.814894276758</v>
      </c>
      <c r="AC44" s="160" t="s">
        <v>441</v>
      </c>
    </row>
    <row r="45" spans="2:34" ht="15.75" hidden="1" customHeight="1" x14ac:dyDescent="0.35">
      <c r="B45" s="160" t="s">
        <v>442</v>
      </c>
      <c r="C45" s="160" t="s">
        <v>443</v>
      </c>
      <c r="AC45" s="160" t="s">
        <v>442</v>
      </c>
    </row>
    <row r="46" spans="2:34" ht="15.75" hidden="1" customHeight="1" x14ac:dyDescent="0.35">
      <c r="B46" s="160" t="s">
        <v>444</v>
      </c>
      <c r="C46" s="160" t="s">
        <v>445</v>
      </c>
      <c r="AC46" s="160" t="s">
        <v>444</v>
      </c>
    </row>
    <row r="47" spans="2:34" ht="15.75" hidden="1" customHeight="1" x14ac:dyDescent="0.35">
      <c r="B47" s="160" t="s">
        <v>446</v>
      </c>
      <c r="C47" s="160" t="s">
        <v>447</v>
      </c>
      <c r="AC47" s="160" t="s">
        <v>446</v>
      </c>
    </row>
    <row r="48" spans="2:34" ht="15.75" hidden="1" customHeight="1" x14ac:dyDescent="0.35">
      <c r="B48" s="160" t="s">
        <v>167</v>
      </c>
      <c r="C48" s="160" t="s">
        <v>448</v>
      </c>
      <c r="AC48" s="160" t="s">
        <v>167</v>
      </c>
    </row>
    <row r="49" spans="2:36" x14ac:dyDescent="0.35">
      <c r="J49" s="160">
        <f>31-6</f>
        <v>25</v>
      </c>
      <c r="K49" s="193"/>
    </row>
    <row r="50" spans="2:36" x14ac:dyDescent="0.35">
      <c r="I50" s="186"/>
      <c r="J50" s="160">
        <v>28</v>
      </c>
    </row>
    <row r="51" spans="2:36" hidden="1" x14ac:dyDescent="0.35">
      <c r="I51" s="160">
        <f>54328-27157</f>
        <v>27171</v>
      </c>
      <c r="AD51" s="181">
        <v>160500</v>
      </c>
      <c r="AE51" s="181">
        <v>57587.480702449015</v>
      </c>
      <c r="AF51" s="181">
        <v>101300.16435105636</v>
      </c>
    </row>
    <row r="52" spans="2:36" ht="18" hidden="1" thickBot="1" x14ac:dyDescent="0.4">
      <c r="I52" s="463"/>
      <c r="AD52" s="180">
        <f>AD41-AD51</f>
        <v>0</v>
      </c>
      <c r="AE52" s="180">
        <f t="shared" ref="AE52:AF52" si="48">AE41-AE51</f>
        <v>0</v>
      </c>
      <c r="AF52" s="180">
        <f t="shared" si="48"/>
        <v>-23978.349456779601</v>
      </c>
    </row>
    <row r="53" spans="2:36" s="162" customFormat="1" ht="28.9" hidden="1" customHeight="1" thickBot="1" x14ac:dyDescent="0.4">
      <c r="B53" s="623" t="s">
        <v>396</v>
      </c>
      <c r="C53" s="624" t="s">
        <v>176</v>
      </c>
      <c r="D53" s="624" t="s">
        <v>397</v>
      </c>
      <c r="E53" s="625" t="s">
        <v>178</v>
      </c>
      <c r="F53" s="626"/>
      <c r="G53" s="624" t="s">
        <v>398</v>
      </c>
      <c r="H53" s="621" t="s">
        <v>399</v>
      </c>
      <c r="I53" s="625" t="s">
        <v>400</v>
      </c>
      <c r="J53" s="626"/>
      <c r="K53" s="626"/>
      <c r="L53" s="626"/>
      <c r="M53" s="626"/>
      <c r="N53" s="626"/>
      <c r="O53" s="626"/>
      <c r="P53" s="626"/>
      <c r="Q53" s="626"/>
      <c r="R53" s="626"/>
      <c r="S53" s="626"/>
      <c r="T53" s="626"/>
      <c r="U53" s="626"/>
      <c r="V53" s="626"/>
      <c r="W53" s="626"/>
      <c r="X53" s="627"/>
      <c r="AA53" s="620" t="s">
        <v>399</v>
      </c>
      <c r="AB53" s="628" t="s">
        <v>401</v>
      </c>
      <c r="AC53" s="628" t="s">
        <v>21</v>
      </c>
      <c r="AD53" s="612" t="s">
        <v>402</v>
      </c>
      <c r="AE53" s="612" t="s">
        <v>403</v>
      </c>
      <c r="AF53" s="612" t="s">
        <v>404</v>
      </c>
      <c r="AG53" s="622" t="s">
        <v>405</v>
      </c>
      <c r="AH53" s="622"/>
    </row>
    <row r="54" spans="2:36" s="162" customFormat="1" ht="27.4" hidden="1" customHeight="1" thickBot="1" x14ac:dyDescent="0.4">
      <c r="B54" s="623"/>
      <c r="C54" s="624"/>
      <c r="D54" s="624"/>
      <c r="E54" s="163" t="s">
        <v>190</v>
      </c>
      <c r="F54" s="163" t="s">
        <v>191</v>
      </c>
      <c r="G54" s="624"/>
      <c r="H54" s="621"/>
      <c r="I54" s="164" t="s">
        <v>406</v>
      </c>
      <c r="J54" s="164" t="s">
        <v>407</v>
      </c>
      <c r="K54" s="164" t="s">
        <v>408</v>
      </c>
      <c r="L54" s="165" t="s">
        <v>409</v>
      </c>
      <c r="M54" s="164" t="s">
        <v>199</v>
      </c>
      <c r="N54" s="164" t="s">
        <v>200</v>
      </c>
      <c r="O54" s="164" t="s">
        <v>201</v>
      </c>
      <c r="P54" s="165" t="s">
        <v>410</v>
      </c>
      <c r="Q54" s="164" t="s">
        <v>202</v>
      </c>
      <c r="R54" s="164" t="s">
        <v>191</v>
      </c>
      <c r="S54" s="164" t="s">
        <v>192</v>
      </c>
      <c r="T54" s="165" t="s">
        <v>411</v>
      </c>
      <c r="U54" s="164" t="s">
        <v>193</v>
      </c>
      <c r="V54" s="164" t="s">
        <v>194</v>
      </c>
      <c r="W54" s="164" t="s">
        <v>204</v>
      </c>
      <c r="X54" s="165" t="s">
        <v>412</v>
      </c>
      <c r="AA54" s="620"/>
      <c r="AB54" s="628"/>
      <c r="AC54" s="628"/>
      <c r="AD54" s="612"/>
      <c r="AE54" s="612"/>
      <c r="AF54" s="612"/>
      <c r="AG54" s="166" t="s">
        <v>413</v>
      </c>
      <c r="AH54" s="166" t="s">
        <v>414</v>
      </c>
    </row>
    <row r="55" spans="2:36" s="162" customFormat="1" ht="27.4" hidden="1" customHeight="1" thickBot="1" x14ac:dyDescent="0.4">
      <c r="B55" s="167"/>
      <c r="C55" s="168"/>
      <c r="D55" s="168"/>
      <c r="E55" s="169"/>
      <c r="F55" s="169"/>
      <c r="G55" s="168"/>
      <c r="H55" s="170"/>
      <c r="I55" s="170"/>
      <c r="J55" s="170"/>
      <c r="K55" s="170"/>
      <c r="L55" s="168"/>
      <c r="M55" s="170"/>
      <c r="N55" s="170"/>
      <c r="O55" s="170"/>
      <c r="P55" s="168"/>
      <c r="Q55" s="170"/>
      <c r="R55" s="170"/>
      <c r="S55" s="170"/>
      <c r="T55" s="168"/>
      <c r="U55" s="170"/>
      <c r="V55" s="170"/>
      <c r="W55" s="170"/>
      <c r="X55" s="168"/>
      <c r="AA55" s="171"/>
      <c r="AB55" s="172">
        <v>1</v>
      </c>
      <c r="AC55" s="172">
        <v>2</v>
      </c>
      <c r="AD55" s="173">
        <v>3</v>
      </c>
      <c r="AE55" s="173">
        <v>4</v>
      </c>
      <c r="AF55" s="173">
        <v>5</v>
      </c>
      <c r="AG55" s="174" t="s">
        <v>415</v>
      </c>
      <c r="AH55" s="174" t="s">
        <v>416</v>
      </c>
    </row>
    <row r="56" spans="2:36" s="162" customFormat="1" ht="20" hidden="1" customHeight="1" x14ac:dyDescent="0.35">
      <c r="B56" s="175" t="s">
        <v>417</v>
      </c>
      <c r="C56" s="176"/>
      <c r="L56" s="228"/>
      <c r="M56" s="177"/>
      <c r="N56" s="177"/>
      <c r="O56" s="177"/>
      <c r="P56" s="228"/>
      <c r="Q56" s="178"/>
      <c r="R56" s="178"/>
      <c r="S56" s="178"/>
      <c r="T56" s="228"/>
      <c r="X56" s="228"/>
      <c r="AB56" s="179">
        <v>1</v>
      </c>
      <c r="AC56" s="175" t="s">
        <v>417</v>
      </c>
      <c r="AE56" s="180"/>
    </row>
    <row r="57" spans="2:36" ht="20" hidden="1" customHeight="1" x14ac:dyDescent="0.35">
      <c r="B57" s="160" t="s">
        <v>418</v>
      </c>
      <c r="C57" s="181">
        <f>'[1]AK Opr Juni GP Des (1)'!D54</f>
        <v>135978</v>
      </c>
      <c r="D57" s="181">
        <f>'[3]Rincian Arus Kas 20'!E54</f>
        <v>11109.239382999998</v>
      </c>
      <c r="E57" s="181">
        <f>'[3]Rincian Arus Kas 20'!F54</f>
        <v>474.78519000000006</v>
      </c>
      <c r="F57" s="181">
        <f>'[3]Rincian Arus Kas 20'!G54</f>
        <v>42492.397907999999</v>
      </c>
      <c r="G57" s="181">
        <f>'[2]Resume Akas 2020'!N53</f>
        <v>0</v>
      </c>
      <c r="H57" s="181">
        <f>L57+P57+T57+X57</f>
        <v>314029.95602904644</v>
      </c>
      <c r="I57" s="181">
        <f>I11</f>
        <v>8052.0501545909356</v>
      </c>
      <c r="J57" s="181">
        <f t="shared" ref="J57:K57" si="49">J11</f>
        <v>16104.100309181871</v>
      </c>
      <c r="K57" s="181">
        <f t="shared" si="49"/>
        <v>16104.100309181871</v>
      </c>
      <c r="L57" s="229">
        <f>K57+J57+I57</f>
        <v>40260.250772954678</v>
      </c>
      <c r="M57" s="181">
        <f t="shared" ref="M57:O59" si="50">M11</f>
        <v>26840.167181969784</v>
      </c>
      <c r="N57" s="181">
        <f t="shared" si="50"/>
        <v>26840.167181969784</v>
      </c>
      <c r="O57" s="181">
        <f t="shared" si="50"/>
        <v>26840.167181969784</v>
      </c>
      <c r="P57" s="229">
        <f>O57+N57+M57</f>
        <v>80520.501545909356</v>
      </c>
      <c r="Q57" s="181">
        <f t="shared" ref="Q57:S59" si="51">Q11</f>
        <v>32208.200618363739</v>
      </c>
      <c r="R57" s="181">
        <f t="shared" si="51"/>
        <v>32208.200618363739</v>
      </c>
      <c r="S57" s="181">
        <f t="shared" si="51"/>
        <v>32208.200618363739</v>
      </c>
      <c r="T57" s="229">
        <f>S57+R57+Q57</f>
        <v>96624.601855091212</v>
      </c>
      <c r="U57" s="181">
        <f t="shared" ref="U57:W59" si="52">U11</f>
        <v>32208.200618363739</v>
      </c>
      <c r="V57" s="181">
        <f t="shared" si="52"/>
        <v>32208.200618363739</v>
      </c>
      <c r="W57" s="181">
        <f t="shared" si="52"/>
        <v>32208.200618363739</v>
      </c>
      <c r="X57" s="229">
        <f>W57+V57+U57</f>
        <v>96624.601855091212</v>
      </c>
      <c r="Y57" s="180">
        <f>X57+T57+P57+L57</f>
        <v>314029.95602904644</v>
      </c>
      <c r="AA57" s="181">
        <f>H57</f>
        <v>314029.95602904644</v>
      </c>
      <c r="AB57" s="181"/>
      <c r="AC57" s="182" t="s">
        <v>418</v>
      </c>
      <c r="AD57" s="183">
        <f>'[2]Resume Akas 2020'!C53</f>
        <v>0</v>
      </c>
      <c r="AE57" s="183">
        <f>'[2]Resume Akas 2020'!N53</f>
        <v>0</v>
      </c>
      <c r="AF57" s="183">
        <f>H57</f>
        <v>314029.95602904644</v>
      </c>
      <c r="AG57" s="184" t="e">
        <f>AE57/AD57*100</f>
        <v>#DIV/0!</v>
      </c>
      <c r="AH57" s="184" t="e">
        <f>AF57/AE57*100</f>
        <v>#DIV/0!</v>
      </c>
    </row>
    <row r="58" spans="2:36" ht="20" hidden="1" customHeight="1" x14ac:dyDescent="0.35">
      <c r="B58" s="160" t="s">
        <v>419</v>
      </c>
      <c r="C58" s="181">
        <f>'[1]AK Opr Juni GP Des (1)'!D55</f>
        <v>-113255</v>
      </c>
      <c r="D58" s="181">
        <v>0</v>
      </c>
      <c r="E58" s="181">
        <v>0</v>
      </c>
      <c r="F58" s="181">
        <v>0</v>
      </c>
      <c r="G58" s="181"/>
      <c r="H58" s="181">
        <f t="shared" ref="H58:H64" si="53">L58+P58+T58+X58</f>
        <v>0</v>
      </c>
      <c r="I58" s="181">
        <f>I12</f>
        <v>0</v>
      </c>
      <c r="J58" s="181">
        <f>J12</f>
        <v>0</v>
      </c>
      <c r="K58" s="181">
        <f>K12</f>
        <v>0</v>
      </c>
      <c r="L58" s="229">
        <f t="shared" ref="L58:L64" si="54">K58+J58+I58</f>
        <v>0</v>
      </c>
      <c r="M58" s="181">
        <f t="shared" si="50"/>
        <v>0</v>
      </c>
      <c r="N58" s="181">
        <f t="shared" si="50"/>
        <v>0</v>
      </c>
      <c r="O58" s="181">
        <f t="shared" si="50"/>
        <v>0</v>
      </c>
      <c r="P58" s="229">
        <f t="shared" ref="P58:P64" si="55">O58+N58+M58</f>
        <v>0</v>
      </c>
      <c r="Q58" s="181">
        <f t="shared" si="51"/>
        <v>0</v>
      </c>
      <c r="R58" s="181">
        <f t="shared" si="51"/>
        <v>0</v>
      </c>
      <c r="S58" s="181">
        <f t="shared" si="51"/>
        <v>0</v>
      </c>
      <c r="T58" s="229">
        <f t="shared" ref="T58:T64" si="56">S58+R58+Q58</f>
        <v>0</v>
      </c>
      <c r="U58" s="181">
        <f t="shared" si="52"/>
        <v>0</v>
      </c>
      <c r="V58" s="181">
        <f t="shared" si="52"/>
        <v>0</v>
      </c>
      <c r="W58" s="181">
        <f t="shared" si="52"/>
        <v>0</v>
      </c>
      <c r="X58" s="229">
        <f t="shared" ref="X58:X64" si="57">W58+V58+U58</f>
        <v>0</v>
      </c>
      <c r="Y58" s="180">
        <f t="shared" ref="Y58:Y81" si="58">X58+T58+P58+L58</f>
        <v>0</v>
      </c>
      <c r="AA58" s="181">
        <f t="shared" ref="AA58:AA82" si="59">H58</f>
        <v>0</v>
      </c>
      <c r="AB58" s="181"/>
      <c r="AC58" s="182" t="s">
        <v>419</v>
      </c>
      <c r="AD58" s="183">
        <f>'[2]Resume Akas 2020'!C54</f>
        <v>0</v>
      </c>
      <c r="AE58" s="183">
        <f>'[2]Resume Akas 2020'!N54</f>
        <v>0</v>
      </c>
      <c r="AF58" s="183">
        <f t="shared" ref="AF58:AF65" si="60">H58</f>
        <v>0</v>
      </c>
      <c r="AG58" s="184">
        <v>0</v>
      </c>
      <c r="AH58" s="184">
        <v>0</v>
      </c>
    </row>
    <row r="59" spans="2:36" ht="20" hidden="1" customHeight="1" x14ac:dyDescent="0.35">
      <c r="B59" s="160" t="s">
        <v>420</v>
      </c>
      <c r="C59" s="181">
        <f>+'[1]AK Opr Juni GP Des (1)'!D55</f>
        <v>-113255</v>
      </c>
      <c r="D59" s="181">
        <f>'[2]EST Akas BLNN 2020'!E76</f>
        <v>0</v>
      </c>
      <c r="E59" s="181">
        <f>'[2]EST Akas BLNN 2020'!F76</f>
        <v>0</v>
      </c>
      <c r="F59" s="181">
        <f>'[2]EST Akas BLNN 2020'!G76</f>
        <v>0</v>
      </c>
      <c r="G59" s="181">
        <f>'[2]Resume Akas 2020'!N55</f>
        <v>0</v>
      </c>
      <c r="H59" s="181">
        <f t="shared" si="53"/>
        <v>0</v>
      </c>
      <c r="I59" s="181">
        <f>I13</f>
        <v>0</v>
      </c>
      <c r="J59" s="181">
        <f>J13</f>
        <v>0</v>
      </c>
      <c r="K59" s="181">
        <f>K13</f>
        <v>0</v>
      </c>
      <c r="L59" s="229">
        <f t="shared" si="54"/>
        <v>0</v>
      </c>
      <c r="M59" s="181">
        <f t="shared" si="50"/>
        <v>0</v>
      </c>
      <c r="N59" s="181">
        <f t="shared" si="50"/>
        <v>0</v>
      </c>
      <c r="O59" s="181">
        <f t="shared" si="50"/>
        <v>0</v>
      </c>
      <c r="P59" s="229">
        <f t="shared" si="55"/>
        <v>0</v>
      </c>
      <c r="Q59" s="181">
        <f t="shared" si="51"/>
        <v>0</v>
      </c>
      <c r="R59" s="181">
        <f t="shared" si="51"/>
        <v>0</v>
      </c>
      <c r="S59" s="181">
        <f t="shared" si="51"/>
        <v>0</v>
      </c>
      <c r="T59" s="229">
        <f t="shared" si="56"/>
        <v>0</v>
      </c>
      <c r="U59" s="181">
        <f t="shared" si="52"/>
        <v>0</v>
      </c>
      <c r="V59" s="181">
        <f t="shared" si="52"/>
        <v>0</v>
      </c>
      <c r="W59" s="181">
        <f t="shared" si="52"/>
        <v>0</v>
      </c>
      <c r="X59" s="229">
        <f t="shared" si="57"/>
        <v>0</v>
      </c>
      <c r="Y59" s="180">
        <f t="shared" si="58"/>
        <v>0</v>
      </c>
      <c r="AA59" s="181">
        <f t="shared" si="59"/>
        <v>0</v>
      </c>
      <c r="AB59" s="181"/>
      <c r="AC59" s="182" t="s">
        <v>420</v>
      </c>
      <c r="AD59" s="183">
        <f>'[2]Resume Akas 2020'!C55</f>
        <v>0</v>
      </c>
      <c r="AE59" s="183">
        <f>'[2]Resume Akas 2020'!N55</f>
        <v>0</v>
      </c>
      <c r="AF59" s="183">
        <f t="shared" si="60"/>
        <v>0</v>
      </c>
      <c r="AG59" s="184">
        <v>0</v>
      </c>
      <c r="AH59" s="184">
        <v>0</v>
      </c>
    </row>
    <row r="60" spans="2:36" ht="20" hidden="1" customHeight="1" x14ac:dyDescent="0.35">
      <c r="B60" s="160" t="s">
        <v>421</v>
      </c>
      <c r="C60" s="181">
        <f>'[1]AK Opr Juni GP Des (1)'!D56+'[1]AK Opr Juni GP Des (1)'!D66+'[1]AK Opr Juni GP Des (1)'!D67+'[1]AK Opr Juni GP Des (1)'!D68+'[1]AK Opr Juni GP Des (1)'!D69+'[1]AK Opr Juni GP Des (1)'!D70+'[1]AK Opr Juni GP Des (1)'!D71+'[1]AK Opr Juni GP Des (1)'!D72+'[1]AK Opr Juni GP Des (1)'!D73+'[1]AK Opr Juni GP Des (1)'!D74+'[1]AK Opr Juni GP Des (1)'!D75+'[1]AK Opr Juni GP Des (1)'!D76</f>
        <v>384904</v>
      </c>
      <c r="D60" s="181">
        <f>'[3]Rincian Arus Kas 20'!E70+'[3]Rincian Arus Kas 20'!E73</f>
        <v>0</v>
      </c>
      <c r="E60" s="181">
        <f>'[3]Rincian Arus Kas 20'!F73+'[3]Rincian Arus Kas 20'!F70</f>
        <v>0</v>
      </c>
      <c r="F60" s="181">
        <f>'[3]Rincian Arus Kas 20'!G73+'[3]Rincian Arus Kas 20'!G70</f>
        <v>23.067</v>
      </c>
      <c r="G60" s="181">
        <f>'[2]Resume Akas 2020'!N56</f>
        <v>0</v>
      </c>
      <c r="H60" s="181">
        <f t="shared" si="53"/>
        <v>138613.727813</v>
      </c>
      <c r="I60" s="181">
        <f>I15</f>
        <v>50</v>
      </c>
      <c r="J60" s="181">
        <f>J15</f>
        <v>50</v>
      </c>
      <c r="K60" s="181">
        <f>K15</f>
        <v>550</v>
      </c>
      <c r="L60" s="229">
        <f t="shared" si="54"/>
        <v>650</v>
      </c>
      <c r="M60" s="181">
        <f t="shared" ref="M60:O64" si="61">M15</f>
        <v>50</v>
      </c>
      <c r="N60" s="181">
        <f t="shared" si="61"/>
        <v>50</v>
      </c>
      <c r="O60" s="181">
        <f t="shared" si="61"/>
        <v>50</v>
      </c>
      <c r="P60" s="229">
        <f t="shared" si="55"/>
        <v>150</v>
      </c>
      <c r="Q60" s="181">
        <f>Q15</f>
        <v>137563.727813</v>
      </c>
      <c r="R60" s="181">
        <f>R15</f>
        <v>50</v>
      </c>
      <c r="S60" s="181">
        <f>S15</f>
        <v>50</v>
      </c>
      <c r="T60" s="229">
        <f t="shared" si="56"/>
        <v>137663.727813</v>
      </c>
      <c r="U60" s="181">
        <f t="shared" ref="U60:W64" si="62">U15</f>
        <v>50</v>
      </c>
      <c r="V60" s="181">
        <f t="shared" si="62"/>
        <v>50</v>
      </c>
      <c r="W60" s="181">
        <f t="shared" si="62"/>
        <v>50</v>
      </c>
      <c r="X60" s="229">
        <f t="shared" si="57"/>
        <v>150</v>
      </c>
      <c r="Y60" s="180">
        <f t="shared" si="58"/>
        <v>138613.727813</v>
      </c>
      <c r="AA60" s="181">
        <f t="shared" si="59"/>
        <v>138613.727813</v>
      </c>
      <c r="AB60" s="181"/>
      <c r="AC60" s="182" t="s">
        <v>421</v>
      </c>
      <c r="AD60" s="183">
        <f>'[2]Resume Akas 2020'!C56</f>
        <v>0</v>
      </c>
      <c r="AE60" s="183">
        <f>'[2]Resume Akas 2020'!N56</f>
        <v>0</v>
      </c>
      <c r="AF60" s="183">
        <f t="shared" si="60"/>
        <v>138613.727813</v>
      </c>
      <c r="AG60" s="184" t="e">
        <f t="shared" ref="AG60:AH65" si="63">AE60/AD60*100</f>
        <v>#DIV/0!</v>
      </c>
      <c r="AH60" s="184" t="e">
        <f t="shared" si="63"/>
        <v>#DIV/0!</v>
      </c>
    </row>
    <row r="61" spans="2:36" ht="20" hidden="1" customHeight="1" x14ac:dyDescent="0.35">
      <c r="B61" s="160" t="s">
        <v>422</v>
      </c>
      <c r="C61" s="186">
        <f>-'[1]AK Opr Juni GP Des (1)'!D59-'[1]AK Opr Juni GP Des (1)'!D60-'[1]AK Opr Juni GP Des (1)'!D61-'[1]AK Opr Juni GP Des (1)'!D62</f>
        <v>0</v>
      </c>
      <c r="D61" s="186">
        <f>-'[3]Rincian Arus Kas 20'!E61</f>
        <v>0</v>
      </c>
      <c r="E61" s="186">
        <f>-'[3]Rincian Arus Kas 20'!F61</f>
        <v>0</v>
      </c>
      <c r="F61" s="186">
        <f>-'[3]Rincian Arus Kas 20'!G61</f>
        <v>0</v>
      </c>
      <c r="G61" s="186">
        <f>'[2]Resume Akas 2020'!N57</f>
        <v>0</v>
      </c>
      <c r="H61" s="193">
        <f t="shared" si="53"/>
        <v>-144319</v>
      </c>
      <c r="I61" s="181">
        <f t="shared" ref="I61:J64" si="64">I16</f>
        <v>-64568</v>
      </c>
      <c r="J61" s="181">
        <f t="shared" si="64"/>
        <v>0</v>
      </c>
      <c r="K61" s="193">
        <f>-54328+27157-52580</f>
        <v>-79751</v>
      </c>
      <c r="L61" s="230">
        <f t="shared" si="54"/>
        <v>-144319</v>
      </c>
      <c r="M61" s="181">
        <f t="shared" si="61"/>
        <v>0</v>
      </c>
      <c r="N61" s="181">
        <f t="shared" si="61"/>
        <v>0</v>
      </c>
      <c r="O61" s="181">
        <f t="shared" si="61"/>
        <v>0</v>
      </c>
      <c r="P61" s="230">
        <f t="shared" si="55"/>
        <v>0</v>
      </c>
      <c r="Q61" s="181">
        <f>Q16*0</f>
        <v>0</v>
      </c>
      <c r="R61" s="181">
        <f t="shared" ref="R61:S64" si="65">R16</f>
        <v>0</v>
      </c>
      <c r="S61" s="181">
        <f t="shared" si="65"/>
        <v>0</v>
      </c>
      <c r="T61" s="230">
        <f t="shared" si="56"/>
        <v>0</v>
      </c>
      <c r="U61" s="181">
        <f t="shared" si="62"/>
        <v>0</v>
      </c>
      <c r="V61" s="181">
        <f t="shared" si="62"/>
        <v>0</v>
      </c>
      <c r="W61" s="181">
        <f t="shared" si="62"/>
        <v>0</v>
      </c>
      <c r="X61" s="230">
        <f t="shared" si="57"/>
        <v>0</v>
      </c>
      <c r="Y61" s="180">
        <f t="shared" si="58"/>
        <v>-144319</v>
      </c>
      <c r="AA61" s="186">
        <f t="shared" si="59"/>
        <v>-144319</v>
      </c>
      <c r="AB61" s="189"/>
      <c r="AC61" s="182" t="s">
        <v>422</v>
      </c>
      <c r="AD61" s="190">
        <f>'[2]Resume Akas 2020'!C57</f>
        <v>0</v>
      </c>
      <c r="AE61" s="190">
        <f>'[2]Resume Akas 2020'!N57</f>
        <v>0</v>
      </c>
      <c r="AF61" s="190">
        <f t="shared" si="60"/>
        <v>-144319</v>
      </c>
      <c r="AG61" s="184" t="e">
        <f t="shared" si="63"/>
        <v>#DIV/0!</v>
      </c>
      <c r="AH61" s="184" t="e">
        <f t="shared" si="63"/>
        <v>#DIV/0!</v>
      </c>
      <c r="AJ61" s="180">
        <f>AF57+AF60</f>
        <v>452643.68384204642</v>
      </c>
    </row>
    <row r="62" spans="2:36" ht="20" hidden="1" customHeight="1" x14ac:dyDescent="0.35">
      <c r="B62" s="160" t="s">
        <v>423</v>
      </c>
      <c r="C62" s="186">
        <v>0</v>
      </c>
      <c r="D62" s="186">
        <f>-'[3]Rincian Arus Kas 20'!E59</f>
        <v>0</v>
      </c>
      <c r="E62" s="186">
        <f>-'[3]Rincian Arus Kas 20'!F59</f>
        <v>0</v>
      </c>
      <c r="F62" s="186">
        <f>-'[3]Rincian Arus Kas 20'!G59</f>
        <v>0</v>
      </c>
      <c r="G62" s="186">
        <f>'[2]Resume Akas 2020'!N58</f>
        <v>0</v>
      </c>
      <c r="H62" s="193">
        <f t="shared" si="53"/>
        <v>-23058</v>
      </c>
      <c r="I62" s="193">
        <f t="shared" si="64"/>
        <v>-1840</v>
      </c>
      <c r="J62" s="193">
        <f t="shared" si="64"/>
        <v>-1840</v>
      </c>
      <c r="K62" s="193">
        <f>K17</f>
        <v>-1840</v>
      </c>
      <c r="L62" s="230">
        <f t="shared" si="54"/>
        <v>-5520</v>
      </c>
      <c r="M62" s="193">
        <f t="shared" si="61"/>
        <v>-1840</v>
      </c>
      <c r="N62" s="193">
        <f t="shared" si="61"/>
        <v>-1840</v>
      </c>
      <c r="O62" s="193">
        <f t="shared" si="61"/>
        <v>-2790</v>
      </c>
      <c r="P62" s="230">
        <f t="shared" si="55"/>
        <v>-6470</v>
      </c>
      <c r="Q62" s="193">
        <f>Q17</f>
        <v>-1840</v>
      </c>
      <c r="R62" s="193">
        <f t="shared" si="65"/>
        <v>-1840</v>
      </c>
      <c r="S62" s="193">
        <f t="shared" si="65"/>
        <v>-1840</v>
      </c>
      <c r="T62" s="230">
        <f t="shared" si="56"/>
        <v>-5520</v>
      </c>
      <c r="U62" s="193">
        <f t="shared" si="62"/>
        <v>-1840</v>
      </c>
      <c r="V62" s="193">
        <f t="shared" si="62"/>
        <v>-1840</v>
      </c>
      <c r="W62" s="193">
        <f t="shared" si="62"/>
        <v>-1868</v>
      </c>
      <c r="X62" s="230">
        <f t="shared" si="57"/>
        <v>-5548</v>
      </c>
      <c r="Y62" s="180">
        <f t="shared" si="58"/>
        <v>-23058</v>
      </c>
      <c r="AA62" s="186">
        <f t="shared" si="59"/>
        <v>-23058</v>
      </c>
      <c r="AB62" s="189"/>
      <c r="AC62" s="182" t="s">
        <v>423</v>
      </c>
      <c r="AD62" s="183">
        <f>'[2]Resume Akas 2020'!C58</f>
        <v>0</v>
      </c>
      <c r="AE62" s="190">
        <f>'[2]Resume Akas 2020'!N58</f>
        <v>0</v>
      </c>
      <c r="AF62" s="190">
        <f t="shared" si="60"/>
        <v>-23058</v>
      </c>
      <c r="AG62" s="184">
        <v>0</v>
      </c>
      <c r="AH62" s="184" t="e">
        <f t="shared" si="63"/>
        <v>#DIV/0!</v>
      </c>
    </row>
    <row r="63" spans="2:36" ht="20" hidden="1" customHeight="1" x14ac:dyDescent="0.35">
      <c r="B63" s="160" t="s">
        <v>424</v>
      </c>
      <c r="C63" s="186">
        <f>-'[1]AK Opr Juni GP Des (1)'!D92</f>
        <v>-373097</v>
      </c>
      <c r="D63" s="186">
        <f>-'[3]Rincian Arus Kas 20'!E91-'[3]Rincian Arus Kas 20'!E92</f>
        <v>-606158.09543800005</v>
      </c>
      <c r="E63" s="186">
        <f>-'[3]Rincian Arus Kas 20'!F92</f>
        <v>-161986.425066</v>
      </c>
      <c r="F63" s="186">
        <f>-'[3]Rincian Arus Kas 20'!G92</f>
        <v>-62739.860755000009</v>
      </c>
      <c r="G63" s="186">
        <f>'[2]Resume Akas 2020'!N59</f>
        <v>0</v>
      </c>
      <c r="H63" s="193">
        <f t="shared" si="53"/>
        <v>-51823.894283776041</v>
      </c>
      <c r="I63" s="193">
        <f t="shared" si="64"/>
        <v>-1046.7665200968218</v>
      </c>
      <c r="J63" s="193">
        <f t="shared" si="64"/>
        <v>-2093.5330401936435</v>
      </c>
      <c r="K63" s="193">
        <f>K18</f>
        <v>-2093.5330401936435</v>
      </c>
      <c r="L63" s="230">
        <f t="shared" si="54"/>
        <v>-5233.8326004841092</v>
      </c>
      <c r="M63" s="193">
        <f t="shared" si="61"/>
        <v>-14489.221733656072</v>
      </c>
      <c r="N63" s="193">
        <f t="shared" si="61"/>
        <v>-3489.221733656072</v>
      </c>
      <c r="O63" s="193">
        <f t="shared" si="61"/>
        <v>-3489.221733656072</v>
      </c>
      <c r="P63" s="230">
        <f t="shared" si="55"/>
        <v>-21467.665200968215</v>
      </c>
      <c r="Q63" s="193">
        <f>Q18</f>
        <v>-4187.0660803872861</v>
      </c>
      <c r="R63" s="193">
        <f t="shared" si="65"/>
        <v>-4187.0660803872861</v>
      </c>
      <c r="S63" s="193">
        <f t="shared" si="65"/>
        <v>-4187.0660803872861</v>
      </c>
      <c r="T63" s="230">
        <f t="shared" si="56"/>
        <v>-12561.198241161859</v>
      </c>
      <c r="U63" s="193">
        <f t="shared" si="62"/>
        <v>-4187.0660803872861</v>
      </c>
      <c r="V63" s="193">
        <f t="shared" si="62"/>
        <v>-4187.0660803872861</v>
      </c>
      <c r="W63" s="193">
        <f t="shared" si="62"/>
        <v>-4187.0660803872861</v>
      </c>
      <c r="X63" s="230">
        <f t="shared" si="57"/>
        <v>-12561.198241161859</v>
      </c>
      <c r="Y63" s="180">
        <f t="shared" si="58"/>
        <v>-51823.894283776041</v>
      </c>
      <c r="AA63" s="186">
        <f t="shared" si="59"/>
        <v>-51823.894283776041</v>
      </c>
      <c r="AB63" s="189"/>
      <c r="AC63" s="182" t="s">
        <v>424</v>
      </c>
      <c r="AD63" s="190">
        <f>'[2]Resume Akas 2020'!C59</f>
        <v>0</v>
      </c>
      <c r="AE63" s="190">
        <f>'[2]Resume Akas 2020'!N59</f>
        <v>0</v>
      </c>
      <c r="AF63" s="190">
        <f t="shared" si="60"/>
        <v>-51823.894283776041</v>
      </c>
      <c r="AG63" s="184" t="e">
        <f t="shared" ref="AG63:AG65" si="66">AE63/AD63*100</f>
        <v>#DIV/0!</v>
      </c>
      <c r="AH63" s="184" t="e">
        <f t="shared" si="63"/>
        <v>#DIV/0!</v>
      </c>
    </row>
    <row r="64" spans="2:36" ht="20" hidden="1" customHeight="1" thickBot="1" x14ac:dyDescent="0.4">
      <c r="B64" s="160" t="s">
        <v>425</v>
      </c>
      <c r="C64" s="193">
        <f>-'[1]AK Opr Juni GP Des (1)'!D79-'[1]AK Opr Juni GP Des (1)'!D80-'[1]AK Opr Juni GP Des (1)'!D81-'[1]AK Opr Juni GP Des (1)'!D82-'[1]AK Opr Juni GP Des (1)'!D83-'[1]AK Opr Juni GP Des (1)'!D84-'[1]AK Opr Juni GP Des (1)'!D85-'[1]AK Opr Juni GP Des (1)'!D86-'[1]AK Opr Juni GP Des (1)'!D87-'[1]AK Opr Juni GP Des (1)'!D88-'[1]AK Opr Juni GP Des (1)'!D89-'[1]AK Opr Juni GP Des (1)'!D90-'[1]AK Opr Juni GP Des (1)'!D91-'[1]AK Opr Juni GP Des (1)'!D93-'[1]AK Opr Juni GP Des (1)'!D94-'[1]AK Opr Juni GP Des (1)'!D95-'[1]AK Opr Juni GP Des (1)'!D96</f>
        <v>-1404091</v>
      </c>
      <c r="D64" s="193">
        <f>-'[3]Rincian Arus Kas 20'!E81-'[3]Rincian Arus Kas 20'!E82-'[3]Rincian Arus Kas 20'!E83-'[3]Rincian Arus Kas 20'!E84-'[3]Rincian Arus Kas 20'!E89-'[3]Rincian Arus Kas 20'!E94-'[3]Rincian Arus Kas 20'!E96</f>
        <v>-717883.30234699999</v>
      </c>
      <c r="E64" s="193">
        <f>-'[3]Rincian Arus Kas 20'!F81-'[3]Rincian Arus Kas 20'!F82-'[3]Rincian Arus Kas 20'!F83-'[3]Rincian Arus Kas 20'!F84-'[3]Rincian Arus Kas 20'!F89-'[3]Rincian Arus Kas 20'!F91-'[3]Rincian Arus Kas 20'!F94-'[3]Rincian Arus Kas 20'!F96</f>
        <v>-198325.62712899997</v>
      </c>
      <c r="F64" s="193">
        <f>-'[3]Rincian Arus Kas 20'!G81-'[3]Rincian Arus Kas 20'!G82-'[3]Rincian Arus Kas 20'!G83-'[3]Rincian Arus Kas 20'!G84-'[3]Rincian Arus Kas 20'!G89-'[3]Rincian Arus Kas 20'!G91-'[3]Rincian Arus Kas 20'!G94-'[3]Rincian Arus Kas 20'!G96</f>
        <v>-47674.199079000013</v>
      </c>
      <c r="G64" s="193">
        <f>'[2]Resume Akas 2020'!N60</f>
        <v>0</v>
      </c>
      <c r="H64" s="193">
        <f t="shared" si="53"/>
        <v>-55022.37469127326</v>
      </c>
      <c r="I64" s="193">
        <f t="shared" si="64"/>
        <v>-3984.3281443903306</v>
      </c>
      <c r="J64" s="193">
        <f t="shared" si="64"/>
        <v>-3984.3281443903306</v>
      </c>
      <c r="K64" s="193">
        <f>K19</f>
        <v>-3984.3281443903306</v>
      </c>
      <c r="L64" s="231">
        <f t="shared" si="54"/>
        <v>-11952.984433170992</v>
      </c>
      <c r="M64" s="193">
        <f t="shared" si="61"/>
        <v>-4694.0177242727705</v>
      </c>
      <c r="N64" s="193">
        <f t="shared" si="61"/>
        <v>-4694.0177242727705</v>
      </c>
      <c r="O64" s="193">
        <f t="shared" si="61"/>
        <v>-4694.0177242727705</v>
      </c>
      <c r="P64" s="231">
        <f t="shared" si="55"/>
        <v>-14082.053172818312</v>
      </c>
      <c r="Q64" s="193">
        <f>Q19</f>
        <v>-4721.4934757139936</v>
      </c>
      <c r="R64" s="193">
        <f t="shared" si="65"/>
        <v>-4721.4934757139936</v>
      </c>
      <c r="S64" s="193">
        <f t="shared" si="65"/>
        <v>-4721.4934757139936</v>
      </c>
      <c r="T64" s="231">
        <f t="shared" si="56"/>
        <v>-14164.480427141982</v>
      </c>
      <c r="U64" s="193">
        <f t="shared" si="62"/>
        <v>-4912.9522193806588</v>
      </c>
      <c r="V64" s="193">
        <f t="shared" si="62"/>
        <v>-4912.9522193806588</v>
      </c>
      <c r="W64" s="193">
        <f t="shared" si="62"/>
        <v>-4996.9522193806588</v>
      </c>
      <c r="X64" s="231">
        <f t="shared" si="57"/>
        <v>-14822.856658141976</v>
      </c>
      <c r="Y64" s="180">
        <f t="shared" si="58"/>
        <v>-55022.37469127326</v>
      </c>
      <c r="AA64" s="193">
        <f t="shared" si="59"/>
        <v>-55022.37469127326</v>
      </c>
      <c r="AB64" s="189"/>
      <c r="AC64" s="194" t="s">
        <v>425</v>
      </c>
      <c r="AD64" s="195">
        <f>'[2]Resume Akas 2020'!C60</f>
        <v>0</v>
      </c>
      <c r="AE64" s="195">
        <f>'[2]Resume Akas 2020'!N60</f>
        <v>0</v>
      </c>
      <c r="AF64" s="195">
        <f t="shared" si="60"/>
        <v>-55022.37469127326</v>
      </c>
      <c r="AG64" s="196" t="e">
        <f t="shared" si="66"/>
        <v>#DIV/0!</v>
      </c>
      <c r="AH64" s="196" t="e">
        <f t="shared" si="63"/>
        <v>#DIV/0!</v>
      </c>
    </row>
    <row r="65" spans="2:36" s="162" customFormat="1" ht="20" hidden="1" customHeight="1" thickBot="1" x14ac:dyDescent="0.4">
      <c r="B65" s="197" t="s">
        <v>426</v>
      </c>
      <c r="C65" s="198">
        <f>SUM(C57:C64)</f>
        <v>-1482816</v>
      </c>
      <c r="D65" s="198">
        <f>SUM(D57:D64)</f>
        <v>-1312932.1584020001</v>
      </c>
      <c r="E65" s="198">
        <f t="shared" ref="E65:F65" si="67">SUM(E57:E64)</f>
        <v>-359837.26700499997</v>
      </c>
      <c r="F65" s="198">
        <f t="shared" si="67"/>
        <v>-67898.59492600002</v>
      </c>
      <c r="G65" s="198">
        <f>'[2]Resume Akas 2020'!N61</f>
        <v>0</v>
      </c>
      <c r="H65" s="198">
        <f t="shared" ref="H65" si="68">X65+T65+P65+L65</f>
        <v>178420.41486699716</v>
      </c>
      <c r="I65" s="198">
        <f t="shared" ref="I65:K65" si="69">SUM(I57:I64)</f>
        <v>-63337.044509896215</v>
      </c>
      <c r="J65" s="198">
        <f t="shared" si="69"/>
        <v>8236.2391245978961</v>
      </c>
      <c r="K65" s="198">
        <f t="shared" si="69"/>
        <v>-71014.760875402091</v>
      </c>
      <c r="L65" s="232">
        <f>SUM(L57:L64)</f>
        <v>-126115.56626070042</v>
      </c>
      <c r="M65" s="198">
        <f t="shared" ref="M65:O65" si="70">SUM(M57:M64)</f>
        <v>5866.9277240409419</v>
      </c>
      <c r="N65" s="198">
        <f t="shared" si="70"/>
        <v>16866.927724040943</v>
      </c>
      <c r="O65" s="198">
        <f t="shared" si="70"/>
        <v>15916.927724040943</v>
      </c>
      <c r="P65" s="232">
        <f>SUM(P57:P64)</f>
        <v>38650.783172122829</v>
      </c>
      <c r="Q65" s="198">
        <f>SUM(Q57:Q64)</f>
        <v>159023.36887526247</v>
      </c>
      <c r="R65" s="198">
        <f t="shared" ref="R65:X65" si="71">SUM(R57:R64)</f>
        <v>21509.641062262461</v>
      </c>
      <c r="S65" s="198">
        <f t="shared" si="71"/>
        <v>21509.641062262461</v>
      </c>
      <c r="T65" s="232">
        <f t="shared" si="71"/>
        <v>202042.65099978738</v>
      </c>
      <c r="U65" s="198">
        <f t="shared" si="71"/>
        <v>21318.182318595795</v>
      </c>
      <c r="V65" s="198">
        <f t="shared" si="71"/>
        <v>21318.182318595795</v>
      </c>
      <c r="W65" s="198">
        <f t="shared" si="71"/>
        <v>21206.182318595795</v>
      </c>
      <c r="X65" s="232">
        <f t="shared" si="71"/>
        <v>63842.546955787373</v>
      </c>
      <c r="Y65" s="180">
        <f t="shared" si="58"/>
        <v>178420.41486699716</v>
      </c>
      <c r="AA65" s="199">
        <f t="shared" si="59"/>
        <v>178420.41486699716</v>
      </c>
      <c r="AB65" s="200"/>
      <c r="AC65" s="201" t="s">
        <v>426</v>
      </c>
      <c r="AD65" s="202">
        <f>'[2]Resume Akas 2020'!C61</f>
        <v>0</v>
      </c>
      <c r="AE65" s="203">
        <f>'[2]Resume Akas 2020'!N61</f>
        <v>0</v>
      </c>
      <c r="AF65" s="203">
        <f t="shared" si="60"/>
        <v>178420.41486699716</v>
      </c>
      <c r="AG65" s="204" t="e">
        <f t="shared" si="66"/>
        <v>#DIV/0!</v>
      </c>
      <c r="AH65" s="204" t="e">
        <f t="shared" si="63"/>
        <v>#DIV/0!</v>
      </c>
      <c r="AJ65" s="205">
        <f>(AF57+AF60)+AF61+AF62+AF63+AF64</f>
        <v>178420.4148669971</v>
      </c>
    </row>
    <row r="66" spans="2:36" ht="5.4" hidden="1" customHeight="1" x14ac:dyDescent="0.35">
      <c r="D66" s="181"/>
      <c r="E66" s="181"/>
      <c r="F66" s="181"/>
      <c r="I66" s="181"/>
      <c r="J66" s="181"/>
      <c r="K66" s="181"/>
      <c r="L66" s="229"/>
      <c r="M66" s="181"/>
      <c r="N66" s="181"/>
      <c r="O66" s="181"/>
      <c r="P66" s="229"/>
      <c r="Q66" s="181"/>
      <c r="R66" s="181"/>
      <c r="S66" s="181"/>
      <c r="T66" s="229"/>
      <c r="U66" s="181"/>
      <c r="V66" s="181"/>
      <c r="W66" s="181"/>
      <c r="X66" s="229"/>
      <c r="Y66" s="180"/>
      <c r="AD66" s="180"/>
      <c r="AE66" s="180"/>
      <c r="AF66" s="180"/>
      <c r="AG66" s="206"/>
      <c r="AH66" s="206"/>
      <c r="AJ66" s="180"/>
    </row>
    <row r="67" spans="2:36" ht="20" hidden="1" customHeight="1" x14ac:dyDescent="0.35">
      <c r="B67" s="175" t="s">
        <v>427</v>
      </c>
      <c r="C67" s="175"/>
      <c r="D67" s="207"/>
      <c r="E67" s="207"/>
      <c r="F67" s="207"/>
      <c r="G67" s="175"/>
      <c r="H67" s="175"/>
      <c r="I67" s="207"/>
      <c r="J67" s="207"/>
      <c r="K67" s="207"/>
      <c r="L67" s="233"/>
      <c r="M67" s="207"/>
      <c r="N67" s="207"/>
      <c r="O67" s="207"/>
      <c r="P67" s="233"/>
      <c r="Q67" s="207"/>
      <c r="R67" s="207"/>
      <c r="S67" s="207"/>
      <c r="T67" s="233"/>
      <c r="U67" s="207"/>
      <c r="V67" s="207"/>
      <c r="W67" s="207"/>
      <c r="X67" s="233"/>
      <c r="Y67" s="180">
        <f t="shared" si="58"/>
        <v>0</v>
      </c>
      <c r="AA67" s="175">
        <f t="shared" si="59"/>
        <v>0</v>
      </c>
      <c r="AB67" s="157">
        <v>2</v>
      </c>
      <c r="AC67" s="175" t="s">
        <v>427</v>
      </c>
      <c r="AD67" s="180"/>
      <c r="AE67" s="180"/>
      <c r="AF67" s="180"/>
      <c r="AG67" s="206"/>
      <c r="AH67" s="206"/>
    </row>
    <row r="68" spans="2:36" ht="20" hidden="1" customHeight="1" x14ac:dyDescent="0.35">
      <c r="B68" s="160" t="s">
        <v>428</v>
      </c>
      <c r="C68" s="186" t="e">
        <f>-'[1]AK Opr Juni GP Des (1)'!D110-'[1]AK Opr Juni GP Des (1)'!D112-'[1]AK Opr Juni GP Des (1)'!D113-'[1]AK Opr Juni GP Des (1)'!D114</f>
        <v>#REF!</v>
      </c>
      <c r="D68" s="186" t="e">
        <f>-'[3]Rincian Arus Kas 20'!E112-'[3]Rincian Arus Kas 20'!E113</f>
        <v>#VALUE!</v>
      </c>
      <c r="E68" s="186">
        <f>-'[3]Rincian Arus Kas 20'!F112</f>
        <v>0</v>
      </c>
      <c r="F68" s="186">
        <f>-'[3]Rincian Arus Kas 20'!G112</f>
        <v>0</v>
      </c>
      <c r="G68" s="186">
        <f>'[2]Resume Akas 2020'!N64</f>
        <v>0</v>
      </c>
      <c r="H68" s="181">
        <f t="shared" ref="H68:H70" si="72">L68+P68+T68+X68</f>
        <v>0</v>
      </c>
      <c r="I68" s="181">
        <f t="shared" ref="I68:K70" si="73">I23</f>
        <v>0</v>
      </c>
      <c r="J68" s="181">
        <f t="shared" si="73"/>
        <v>0</v>
      </c>
      <c r="K68" s="181">
        <f t="shared" si="73"/>
        <v>0</v>
      </c>
      <c r="L68" s="229">
        <f t="shared" ref="L68:L70" si="74">K68+J68+I68</f>
        <v>0</v>
      </c>
      <c r="M68" s="181">
        <f t="shared" ref="M68:O70" si="75">M23</f>
        <v>0</v>
      </c>
      <c r="N68" s="181">
        <f t="shared" si="75"/>
        <v>0</v>
      </c>
      <c r="O68" s="181">
        <f t="shared" si="75"/>
        <v>0</v>
      </c>
      <c r="P68" s="229">
        <f t="shared" ref="P68:P70" si="76">O68+N68+M68</f>
        <v>0</v>
      </c>
      <c r="Q68" s="181">
        <f t="shared" ref="Q68:S70" si="77">Q23</f>
        <v>0</v>
      </c>
      <c r="R68" s="181">
        <f t="shared" si="77"/>
        <v>0</v>
      </c>
      <c r="S68" s="181">
        <f t="shared" si="77"/>
        <v>0</v>
      </c>
      <c r="T68" s="229">
        <f t="shared" ref="T68:T70" si="78">S68+R68+Q68</f>
        <v>0</v>
      </c>
      <c r="U68" s="181">
        <f t="shared" ref="U68:W70" si="79">U23</f>
        <v>0</v>
      </c>
      <c r="V68" s="181">
        <f t="shared" si="79"/>
        <v>0</v>
      </c>
      <c r="W68" s="181">
        <f t="shared" si="79"/>
        <v>0</v>
      </c>
      <c r="X68" s="229">
        <f t="shared" ref="X68:X70" si="80">W68+V68+U68</f>
        <v>0</v>
      </c>
      <c r="Y68" s="180">
        <f t="shared" si="58"/>
        <v>0</v>
      </c>
      <c r="AA68" s="186">
        <f t="shared" si="59"/>
        <v>0</v>
      </c>
      <c r="AB68" s="189"/>
      <c r="AC68" s="182" t="s">
        <v>428</v>
      </c>
      <c r="AD68" s="190">
        <f>'[2]Resume Akas 2020'!C64</f>
        <v>0</v>
      </c>
      <c r="AE68" s="190">
        <f>'[2]Resume Akas 2020'!N64</f>
        <v>0</v>
      </c>
      <c r="AF68" s="190">
        <f t="shared" ref="AF68" si="81">H68</f>
        <v>0</v>
      </c>
      <c r="AG68" s="184" t="e">
        <f t="shared" ref="AG68:AH71" si="82">AE68/AD68*100</f>
        <v>#DIV/0!</v>
      </c>
      <c r="AH68" s="184" t="e">
        <f t="shared" si="82"/>
        <v>#DIV/0!</v>
      </c>
    </row>
    <row r="69" spans="2:36" ht="20" hidden="1" customHeight="1" x14ac:dyDescent="0.35">
      <c r="B69" s="160" t="s">
        <v>429</v>
      </c>
      <c r="C69" s="181">
        <v>0</v>
      </c>
      <c r="D69" s="181">
        <v>0</v>
      </c>
      <c r="E69" s="181">
        <f>-'[3]Rincian Arus Kas 20'!F113</f>
        <v>0</v>
      </c>
      <c r="F69" s="181">
        <f>-'[3]Rincian Arus Kas 20'!G113</f>
        <v>0</v>
      </c>
      <c r="G69" s="186">
        <f>'[2]Resume Akas 2020'!N65</f>
        <v>0</v>
      </c>
      <c r="H69" s="193">
        <f t="shared" si="72"/>
        <v>-40000</v>
      </c>
      <c r="I69" s="181">
        <f t="shared" si="73"/>
        <v>0</v>
      </c>
      <c r="J69" s="181">
        <f t="shared" si="73"/>
        <v>0</v>
      </c>
      <c r="K69" s="181">
        <f t="shared" si="73"/>
        <v>0</v>
      </c>
      <c r="L69" s="229">
        <f t="shared" si="74"/>
        <v>0</v>
      </c>
      <c r="M69" s="181">
        <f t="shared" si="75"/>
        <v>0</v>
      </c>
      <c r="N69" s="181">
        <f t="shared" si="75"/>
        <v>0</v>
      </c>
      <c r="O69" s="181">
        <f t="shared" si="75"/>
        <v>0</v>
      </c>
      <c r="P69" s="229">
        <f t="shared" si="76"/>
        <v>0</v>
      </c>
      <c r="Q69" s="181">
        <f t="shared" si="77"/>
        <v>0</v>
      </c>
      <c r="R69" s="181">
        <f t="shared" si="77"/>
        <v>0</v>
      </c>
      <c r="S69" s="181">
        <f t="shared" si="77"/>
        <v>0</v>
      </c>
      <c r="T69" s="229">
        <f t="shared" si="78"/>
        <v>0</v>
      </c>
      <c r="U69" s="181">
        <f t="shared" si="79"/>
        <v>0</v>
      </c>
      <c r="V69" s="181">
        <f t="shared" si="79"/>
        <v>0</v>
      </c>
      <c r="W69" s="193">
        <f t="shared" si="79"/>
        <v>-40000</v>
      </c>
      <c r="X69" s="230">
        <f t="shared" si="80"/>
        <v>-40000</v>
      </c>
      <c r="Y69" s="180">
        <f t="shared" si="58"/>
        <v>-40000</v>
      </c>
      <c r="AA69" s="181">
        <f t="shared" si="59"/>
        <v>-40000</v>
      </c>
      <c r="AB69" s="181"/>
      <c r="AC69" s="182" t="s">
        <v>429</v>
      </c>
      <c r="AD69" s="190">
        <f>'[2]Resume Akas 2020'!C65</f>
        <v>0</v>
      </c>
      <c r="AE69" s="190">
        <f>'[2]Resume Akas 2020'!N65</f>
        <v>0</v>
      </c>
      <c r="AF69" s="190">
        <v>0</v>
      </c>
      <c r="AG69" s="184">
        <v>0</v>
      </c>
      <c r="AH69" s="184" t="e">
        <f t="shared" si="82"/>
        <v>#DIV/0!</v>
      </c>
    </row>
    <row r="70" spans="2:36" ht="20" hidden="1" customHeight="1" thickBot="1" x14ac:dyDescent="0.4">
      <c r="B70" s="160" t="s">
        <v>430</v>
      </c>
      <c r="C70" s="186" t="e">
        <f>-'[1]AK Opr Juni GP Des (1)'!D111</f>
        <v>#REF!</v>
      </c>
      <c r="D70" s="186" t="e">
        <f>-'[3]Rincian Arus Kas 20'!E111</f>
        <v>#VALUE!</v>
      </c>
      <c r="E70" s="186">
        <f>-'[3]Rincian Arus Kas 20'!F111</f>
        <v>0</v>
      </c>
      <c r="F70" s="186">
        <f>-'[3]Rincian Arus Kas 20'!G111</f>
        <v>0</v>
      </c>
      <c r="G70" s="186">
        <f>'[2]Resume Akas 2020'!N66</f>
        <v>0</v>
      </c>
      <c r="H70" s="181">
        <f t="shared" si="72"/>
        <v>0</v>
      </c>
      <c r="I70" s="181">
        <f t="shared" si="73"/>
        <v>0</v>
      </c>
      <c r="J70" s="181">
        <f t="shared" si="73"/>
        <v>0</v>
      </c>
      <c r="K70" s="181">
        <f t="shared" si="73"/>
        <v>0</v>
      </c>
      <c r="L70" s="229">
        <f t="shared" si="74"/>
        <v>0</v>
      </c>
      <c r="M70" s="181">
        <f t="shared" si="75"/>
        <v>0</v>
      </c>
      <c r="N70" s="181">
        <f t="shared" si="75"/>
        <v>0</v>
      </c>
      <c r="O70" s="181">
        <f t="shared" si="75"/>
        <v>0</v>
      </c>
      <c r="P70" s="229">
        <f t="shared" si="76"/>
        <v>0</v>
      </c>
      <c r="Q70" s="181">
        <f t="shared" si="77"/>
        <v>0</v>
      </c>
      <c r="R70" s="181">
        <f t="shared" si="77"/>
        <v>0</v>
      </c>
      <c r="S70" s="181">
        <f t="shared" si="77"/>
        <v>0</v>
      </c>
      <c r="T70" s="229">
        <f t="shared" si="78"/>
        <v>0</v>
      </c>
      <c r="U70" s="181">
        <f t="shared" si="79"/>
        <v>0</v>
      </c>
      <c r="V70" s="181">
        <f t="shared" si="79"/>
        <v>0</v>
      </c>
      <c r="W70" s="181">
        <f t="shared" si="79"/>
        <v>0</v>
      </c>
      <c r="X70" s="229">
        <f t="shared" si="80"/>
        <v>0</v>
      </c>
      <c r="Y70" s="180">
        <f t="shared" si="58"/>
        <v>0</v>
      </c>
      <c r="AA70" s="186">
        <f t="shared" si="59"/>
        <v>0</v>
      </c>
      <c r="AB70" s="189"/>
      <c r="AC70" s="182" t="s">
        <v>430</v>
      </c>
      <c r="AD70" s="190">
        <f>'[2]Resume Akas 2020'!C66</f>
        <v>0</v>
      </c>
      <c r="AE70" s="190">
        <f>'[2]Resume Akas 2020'!N66</f>
        <v>0</v>
      </c>
      <c r="AF70" s="190">
        <f>W69</f>
        <v>-40000</v>
      </c>
      <c r="AG70" s="184" t="e">
        <f t="shared" ref="AG70:AG71" si="83">AE70/AD70*100</f>
        <v>#DIV/0!</v>
      </c>
      <c r="AH70" s="184" t="e">
        <f t="shared" si="82"/>
        <v>#DIV/0!</v>
      </c>
    </row>
    <row r="71" spans="2:36" s="162" customFormat="1" ht="20" hidden="1" customHeight="1" thickBot="1" x14ac:dyDescent="0.4">
      <c r="B71" s="197" t="s">
        <v>431</v>
      </c>
      <c r="C71" s="198" t="e">
        <f>SUM(C68:C70)</f>
        <v>#REF!</v>
      </c>
      <c r="D71" s="198" t="e">
        <f>SUM(D68:D70)</f>
        <v>#VALUE!</v>
      </c>
      <c r="E71" s="198">
        <f t="shared" ref="E71:F71" si="84">SUM(E68:E70)</f>
        <v>0</v>
      </c>
      <c r="F71" s="198">
        <f t="shared" si="84"/>
        <v>0</v>
      </c>
      <c r="G71" s="198">
        <f>'[2]Resume Akas 2020'!N67</f>
        <v>0</v>
      </c>
      <c r="H71" s="198">
        <f t="shared" ref="H71:H72" si="85">X71+T71+P71+L71</f>
        <v>-40000</v>
      </c>
      <c r="I71" s="198">
        <f>SUM(I68:I70)</f>
        <v>0</v>
      </c>
      <c r="J71" s="198">
        <f t="shared" ref="J71:K71" si="86">SUM(J68:J70)</f>
        <v>0</v>
      </c>
      <c r="K71" s="198">
        <f t="shared" si="86"/>
        <v>0</v>
      </c>
      <c r="L71" s="232">
        <f>SUM(L68:L70)</f>
        <v>0</v>
      </c>
      <c r="M71" s="198">
        <f t="shared" ref="M71:O71" si="87">SUM(M68:M70)</f>
        <v>0</v>
      </c>
      <c r="N71" s="198">
        <f t="shared" si="87"/>
        <v>0</v>
      </c>
      <c r="O71" s="198">
        <f t="shared" si="87"/>
        <v>0</v>
      </c>
      <c r="P71" s="232">
        <f>SUM(P68:P70)</f>
        <v>0</v>
      </c>
      <c r="Q71" s="198">
        <f>SUM(Q68:Q70)</f>
        <v>0</v>
      </c>
      <c r="R71" s="198">
        <f t="shared" ref="R71:X71" si="88">SUM(R68:R70)</f>
        <v>0</v>
      </c>
      <c r="S71" s="198">
        <f t="shared" si="88"/>
        <v>0</v>
      </c>
      <c r="T71" s="232">
        <f t="shared" si="88"/>
        <v>0</v>
      </c>
      <c r="U71" s="198">
        <f t="shared" si="88"/>
        <v>0</v>
      </c>
      <c r="V71" s="198">
        <f t="shared" si="88"/>
        <v>0</v>
      </c>
      <c r="W71" s="198">
        <f t="shared" si="88"/>
        <v>-40000</v>
      </c>
      <c r="X71" s="232">
        <f t="shared" si="88"/>
        <v>-40000</v>
      </c>
      <c r="Y71" s="180">
        <f t="shared" si="58"/>
        <v>-40000</v>
      </c>
      <c r="AA71" s="198">
        <f t="shared" si="59"/>
        <v>-40000</v>
      </c>
      <c r="AB71" s="200"/>
      <c r="AC71" s="201" t="s">
        <v>431</v>
      </c>
      <c r="AD71" s="203">
        <f>'[2]Resume Akas 2020'!C67</f>
        <v>0</v>
      </c>
      <c r="AE71" s="203">
        <f>'[2]Resume Akas 2020'!N67</f>
        <v>0</v>
      </c>
      <c r="AF71" s="203">
        <f t="shared" ref="AF71" si="89">H71</f>
        <v>-40000</v>
      </c>
      <c r="AG71" s="209" t="e">
        <f t="shared" si="83"/>
        <v>#DIV/0!</v>
      </c>
      <c r="AH71" s="210" t="e">
        <f t="shared" si="82"/>
        <v>#DIV/0!</v>
      </c>
    </row>
    <row r="72" spans="2:36" ht="6.75" hidden="1" customHeight="1" x14ac:dyDescent="0.35">
      <c r="D72" s="181"/>
      <c r="E72" s="181"/>
      <c r="F72" s="181"/>
      <c r="H72" s="160">
        <f t="shared" si="85"/>
        <v>0</v>
      </c>
      <c r="I72" s="181"/>
      <c r="J72" s="181"/>
      <c r="K72" s="181"/>
      <c r="L72" s="229"/>
      <c r="M72" s="181"/>
      <c r="N72" s="181"/>
      <c r="O72" s="181"/>
      <c r="P72" s="229"/>
      <c r="Q72" s="181"/>
      <c r="R72" s="181"/>
      <c r="S72" s="181"/>
      <c r="T72" s="229"/>
      <c r="U72" s="181"/>
      <c r="V72" s="181"/>
      <c r="W72" s="181"/>
      <c r="X72" s="229"/>
      <c r="Y72" s="180">
        <f t="shared" si="58"/>
        <v>0</v>
      </c>
      <c r="AA72" s="160">
        <f t="shared" si="59"/>
        <v>0</v>
      </c>
      <c r="AD72" s="180"/>
      <c r="AE72" s="180"/>
      <c r="AF72" s="180"/>
      <c r="AG72" s="206"/>
      <c r="AH72" s="206"/>
    </row>
    <row r="73" spans="2:36" ht="20" hidden="1" customHeight="1" x14ac:dyDescent="0.35">
      <c r="B73" s="175" t="s">
        <v>432</v>
      </c>
      <c r="C73" s="175"/>
      <c r="D73" s="175"/>
      <c r="E73" s="175"/>
      <c r="F73" s="175"/>
      <c r="G73" s="175"/>
      <c r="H73" s="175"/>
      <c r="I73" s="175"/>
      <c r="J73" s="175"/>
      <c r="K73" s="175"/>
      <c r="L73" s="234"/>
      <c r="M73" s="175"/>
      <c r="N73" s="175"/>
      <c r="O73" s="175"/>
      <c r="P73" s="234"/>
      <c r="Q73" s="175"/>
      <c r="R73" s="175"/>
      <c r="S73" s="175"/>
      <c r="T73" s="234"/>
      <c r="U73" s="175"/>
      <c r="V73" s="175"/>
      <c r="W73" s="175"/>
      <c r="X73" s="234"/>
      <c r="Y73" s="180">
        <f t="shared" si="58"/>
        <v>0</v>
      </c>
      <c r="AA73" s="175">
        <f t="shared" si="59"/>
        <v>0</v>
      </c>
      <c r="AB73" s="157">
        <v>3</v>
      </c>
      <c r="AC73" s="175" t="s">
        <v>432</v>
      </c>
      <c r="AD73" s="180"/>
      <c r="AE73" s="180"/>
      <c r="AF73" s="180"/>
      <c r="AG73" s="206"/>
      <c r="AH73" s="206"/>
    </row>
    <row r="74" spans="2:36" ht="20" hidden="1" customHeight="1" thickBot="1" x14ac:dyDescent="0.4">
      <c r="B74" s="160" t="s">
        <v>433</v>
      </c>
      <c r="C74" s="180" t="e">
        <f>'[1]AK Opr Juni GP Des (1)'!D123+'[1]AK Opr Juni GP Des (1)'!D122</f>
        <v>#REF!</v>
      </c>
      <c r="D74" s="180">
        <f>'[3]Rincian Arus Kas 20'!E123</f>
        <v>0</v>
      </c>
      <c r="E74" s="180">
        <f>'[3]Rincian Arus Kas 20'!F123</f>
        <v>0</v>
      </c>
      <c r="F74" s="180">
        <f>'[3]Rincian Arus Kas 20'!G123</f>
        <v>0</v>
      </c>
      <c r="G74" s="180">
        <f>'[2]Resume Akas 2020'!N70</f>
        <v>0</v>
      </c>
      <c r="H74" s="193">
        <f t="shared" ref="H74:H78" si="90">L74+P74+T74+X74</f>
        <v>0</v>
      </c>
      <c r="I74" s="193">
        <f>I29</f>
        <v>0</v>
      </c>
      <c r="J74" s="193">
        <f>J29</f>
        <v>0</v>
      </c>
      <c r="K74" s="193">
        <v>0</v>
      </c>
      <c r="L74" s="229">
        <f t="shared" ref="L74:L78" si="91">K74+J74+I74</f>
        <v>0</v>
      </c>
      <c r="M74" s="193">
        <f t="shared" ref="M74:O74" si="92">M29</f>
        <v>0</v>
      </c>
      <c r="N74" s="193">
        <f t="shared" si="92"/>
        <v>0</v>
      </c>
      <c r="O74" s="193">
        <f t="shared" si="92"/>
        <v>0</v>
      </c>
      <c r="P74" s="229">
        <f t="shared" ref="P74:P78" si="93">O74+N74+M74</f>
        <v>0</v>
      </c>
      <c r="Q74" s="193">
        <f t="shared" ref="Q74:S74" si="94">Q29</f>
        <v>0</v>
      </c>
      <c r="R74" s="193">
        <f t="shared" si="94"/>
        <v>0</v>
      </c>
      <c r="S74" s="193">
        <f t="shared" si="94"/>
        <v>0</v>
      </c>
      <c r="T74" s="229">
        <f t="shared" ref="T74:T78" si="95">S74+R74+Q74</f>
        <v>0</v>
      </c>
      <c r="U74" s="193">
        <f t="shared" ref="U74:W74" si="96">U29</f>
        <v>0</v>
      </c>
      <c r="V74" s="193">
        <f t="shared" si="96"/>
        <v>0</v>
      </c>
      <c r="W74" s="193">
        <f t="shared" si="96"/>
        <v>0</v>
      </c>
      <c r="X74" s="229">
        <f t="shared" ref="X74:X78" si="97">W74+V74+U74</f>
        <v>0</v>
      </c>
      <c r="Y74" s="180">
        <f t="shared" si="58"/>
        <v>0</v>
      </c>
      <c r="AA74" s="180">
        <f t="shared" si="59"/>
        <v>0</v>
      </c>
      <c r="AB74" s="180"/>
      <c r="AC74" s="182" t="s">
        <v>433</v>
      </c>
      <c r="AD74" s="190">
        <f>'[2]Resume Akas 2020'!C70</f>
        <v>0</v>
      </c>
      <c r="AE74" s="190">
        <f>'[2]Resume Akas 2020'!N70</f>
        <v>0</v>
      </c>
      <c r="AF74" s="190">
        <f t="shared" ref="AF74:AF79" si="98">H74</f>
        <v>0</v>
      </c>
      <c r="AG74" s="184" t="e">
        <f t="shared" ref="AG74:AH77" si="99">AE74/AD74*100</f>
        <v>#DIV/0!</v>
      </c>
      <c r="AH74" s="184" t="e">
        <f t="shared" si="99"/>
        <v>#DIV/0!</v>
      </c>
    </row>
    <row r="75" spans="2:36" s="223" customFormat="1" ht="20" hidden="1" customHeight="1" thickBot="1" x14ac:dyDescent="0.4">
      <c r="B75" s="219" t="s">
        <v>449</v>
      </c>
      <c r="C75" s="220"/>
      <c r="D75" s="220"/>
      <c r="E75" s="220"/>
      <c r="F75" s="220"/>
      <c r="G75" s="220"/>
      <c r="H75" s="221">
        <f t="shared" si="90"/>
        <v>-20000</v>
      </c>
      <c r="I75" s="221">
        <v>0</v>
      </c>
      <c r="J75" s="221">
        <v>0</v>
      </c>
      <c r="K75" s="221">
        <v>74000</v>
      </c>
      <c r="L75" s="235">
        <f t="shared" si="91"/>
        <v>74000</v>
      </c>
      <c r="M75" s="221"/>
      <c r="N75" s="221"/>
      <c r="O75" s="221"/>
      <c r="P75" s="235"/>
      <c r="Q75" s="221">
        <v>-94000</v>
      </c>
      <c r="R75" s="221"/>
      <c r="S75" s="221"/>
      <c r="T75" s="235">
        <f t="shared" si="95"/>
        <v>-94000</v>
      </c>
      <c r="U75" s="221"/>
      <c r="V75" s="221"/>
      <c r="W75" s="221"/>
      <c r="X75" s="235"/>
      <c r="Y75" s="222"/>
      <c r="AA75" s="222"/>
      <c r="AB75" s="222"/>
      <c r="AC75" s="224"/>
      <c r="AD75" s="225"/>
      <c r="AE75" s="225"/>
      <c r="AF75" s="225"/>
      <c r="AG75" s="226"/>
      <c r="AH75" s="226"/>
    </row>
    <row r="76" spans="2:36" ht="20" hidden="1" customHeight="1" x14ac:dyDescent="0.35">
      <c r="B76" s="160" t="s">
        <v>434</v>
      </c>
      <c r="C76" s="180" t="e">
        <f>+'[1]AK Opr Juni GP Des (1)'!D120</f>
        <v>#REF!</v>
      </c>
      <c r="D76" s="180">
        <f>'[3]Rincian Arus Kas 20'!E120</f>
        <v>0</v>
      </c>
      <c r="E76" s="180">
        <f>'[3]Rincian Arus Kas 20'!F120</f>
        <v>0</v>
      </c>
      <c r="F76" s="180">
        <f>'[3]Rincian Arus Kas 20'!G120</f>
        <v>0</v>
      </c>
      <c r="G76" s="180">
        <f>'[2]Resume Akas 2020'!N71</f>
        <v>0</v>
      </c>
      <c r="H76" s="227">
        <f t="shared" si="90"/>
        <v>36619.799999999996</v>
      </c>
      <c r="I76" s="227">
        <f t="shared" ref="I76:J78" si="100">I32</f>
        <v>17609.899999999998</v>
      </c>
      <c r="J76" s="227">
        <f t="shared" si="100"/>
        <v>0</v>
      </c>
      <c r="K76" s="227">
        <f>27157*0.7</f>
        <v>19009.899999999998</v>
      </c>
      <c r="L76" s="229">
        <f t="shared" si="91"/>
        <v>36619.799999999996</v>
      </c>
      <c r="M76" s="227">
        <f t="shared" ref="M76:O78" si="101">M32</f>
        <v>0</v>
      </c>
      <c r="N76" s="227">
        <f t="shared" si="101"/>
        <v>0</v>
      </c>
      <c r="O76" s="227">
        <f t="shared" si="101"/>
        <v>0</v>
      </c>
      <c r="P76" s="229">
        <f t="shared" si="93"/>
        <v>0</v>
      </c>
      <c r="Q76" s="227">
        <f t="shared" ref="Q76:S78" si="102">Q32</f>
        <v>0</v>
      </c>
      <c r="R76" s="227">
        <f t="shared" si="102"/>
        <v>0</v>
      </c>
      <c r="S76" s="227">
        <f t="shared" si="102"/>
        <v>0</v>
      </c>
      <c r="T76" s="229">
        <f t="shared" si="95"/>
        <v>0</v>
      </c>
      <c r="U76" s="227">
        <f t="shared" ref="U76:W78" si="103">U32</f>
        <v>0</v>
      </c>
      <c r="V76" s="227">
        <f t="shared" si="103"/>
        <v>0</v>
      </c>
      <c r="W76" s="227">
        <f t="shared" si="103"/>
        <v>0</v>
      </c>
      <c r="X76" s="229">
        <f t="shared" si="97"/>
        <v>0</v>
      </c>
      <c r="Y76" s="180">
        <f t="shared" si="58"/>
        <v>36619.799999999996</v>
      </c>
      <c r="AA76" s="180">
        <f t="shared" si="59"/>
        <v>36619.799999999996</v>
      </c>
      <c r="AB76" s="180"/>
      <c r="AC76" s="182" t="s">
        <v>434</v>
      </c>
      <c r="AD76" s="190">
        <f>'[2]Resume Akas 2020'!C71</f>
        <v>0</v>
      </c>
      <c r="AE76" s="190">
        <f>'[2]Resume Akas 2020'!N71</f>
        <v>0</v>
      </c>
      <c r="AF76" s="190">
        <f t="shared" si="98"/>
        <v>36619.799999999996</v>
      </c>
      <c r="AG76" s="184" t="e">
        <f t="shared" si="99"/>
        <v>#DIV/0!</v>
      </c>
      <c r="AH76" s="184" t="e">
        <f t="shared" si="99"/>
        <v>#DIV/0!</v>
      </c>
    </row>
    <row r="77" spans="2:36" ht="20" hidden="1" customHeight="1" x14ac:dyDescent="0.35">
      <c r="B77" s="160" t="s">
        <v>435</v>
      </c>
      <c r="C77" s="180">
        <v>0</v>
      </c>
      <c r="D77" s="180"/>
      <c r="E77" s="180"/>
      <c r="F77" s="180"/>
      <c r="G77" s="180">
        <v>0</v>
      </c>
      <c r="H77" s="193">
        <f t="shared" si="90"/>
        <v>-16753.9568</v>
      </c>
      <c r="I77" s="193">
        <f t="shared" si="100"/>
        <v>0</v>
      </c>
      <c r="J77" s="193">
        <f t="shared" si="100"/>
        <v>0</v>
      </c>
      <c r="K77" s="193">
        <f>K33</f>
        <v>-4188.4892</v>
      </c>
      <c r="L77" s="230">
        <f t="shared" si="91"/>
        <v>-4188.4892</v>
      </c>
      <c r="M77" s="193">
        <f t="shared" si="101"/>
        <v>0</v>
      </c>
      <c r="N77" s="193">
        <f t="shared" si="101"/>
        <v>0</v>
      </c>
      <c r="O77" s="193">
        <f t="shared" si="101"/>
        <v>-4188.4892</v>
      </c>
      <c r="P77" s="230">
        <f t="shared" si="93"/>
        <v>-4188.4892</v>
      </c>
      <c r="Q77" s="193">
        <f t="shared" si="102"/>
        <v>0</v>
      </c>
      <c r="R77" s="193">
        <f t="shared" si="102"/>
        <v>0</v>
      </c>
      <c r="S77" s="193">
        <f t="shared" si="102"/>
        <v>-4188.4892</v>
      </c>
      <c r="T77" s="230">
        <f t="shared" si="95"/>
        <v>-4188.4892</v>
      </c>
      <c r="U77" s="193">
        <f t="shared" si="103"/>
        <v>0</v>
      </c>
      <c r="V77" s="193">
        <f t="shared" si="103"/>
        <v>0</v>
      </c>
      <c r="W77" s="193">
        <f t="shared" si="103"/>
        <v>-4188.4892</v>
      </c>
      <c r="X77" s="230">
        <f t="shared" si="97"/>
        <v>-4188.4892</v>
      </c>
      <c r="Y77" s="180">
        <f t="shared" si="58"/>
        <v>-16753.9568</v>
      </c>
      <c r="AA77" s="186">
        <f t="shared" si="59"/>
        <v>-16753.9568</v>
      </c>
      <c r="AB77" s="189"/>
      <c r="AC77" s="182" t="s">
        <v>435</v>
      </c>
      <c r="AD77" s="190">
        <f>'[2]Resume Akas 2020'!C72</f>
        <v>0</v>
      </c>
      <c r="AE77" s="190">
        <f>'[2]Resume Akas 2020'!N72</f>
        <v>0</v>
      </c>
      <c r="AF77" s="190">
        <f t="shared" si="98"/>
        <v>-16753.9568</v>
      </c>
      <c r="AG77" s="184" t="e">
        <f t="shared" si="99"/>
        <v>#DIV/0!</v>
      </c>
      <c r="AH77" s="184" t="e">
        <f t="shared" si="99"/>
        <v>#DIV/0!</v>
      </c>
    </row>
    <row r="78" spans="2:36" ht="20" hidden="1" customHeight="1" thickBot="1" x14ac:dyDescent="0.4">
      <c r="B78" s="160" t="s">
        <v>436</v>
      </c>
      <c r="C78" s="193" t="e">
        <f>-'[1]AK Opr Juni GP Des (1)'!D127-'[1]AK Opr Juni GP Des (1)'!D128-'[1]AK Opr Juni GP Des (1)'!D129-'[1]AK Opr Juni GP Des (1)'!D130-'[1]AK Opr Juni GP Des (1)'!D131-'[1]AK Opr Juni GP Des (1)'!D132</f>
        <v>#REF!</v>
      </c>
      <c r="D78" s="193">
        <f>-'[3]Rincian Arus Kas 20'!E127-'[3]Rincian Arus Kas 20'!E128-'[3]Rincian Arus Kas 20'!E129-'[3]Rincian Arus Kas 20'!E130</f>
        <v>0</v>
      </c>
      <c r="E78" s="193">
        <f>-'[3]Rincian Arus Kas 20'!F127-'[3]Rincian Arus Kas 20'!F128-'[3]Rincian Arus Kas 20'!F129-'[3]Rincian Arus Kas 20'!F130</f>
        <v>0</v>
      </c>
      <c r="F78" s="193">
        <f>-'[3]Rincian Arus Kas 20'!G127-'[3]Rincian Arus Kas 20'!G128-'[3]Rincian Arus Kas 20'!G129-'[3]Rincian Arus Kas 20'!G130</f>
        <v>0</v>
      </c>
      <c r="G78" s="193">
        <f>'[2]Resume Akas 2020'!N72</f>
        <v>0</v>
      </c>
      <c r="H78" s="193">
        <f t="shared" si="90"/>
        <v>-138192.4781147204</v>
      </c>
      <c r="I78" s="193">
        <f t="shared" si="100"/>
        <v>-11492.087244552731</v>
      </c>
      <c r="J78" s="193">
        <f t="shared" si="100"/>
        <v>-11527.412418949441</v>
      </c>
      <c r="K78" s="193">
        <f>K34</f>
        <v>-10783.626362914632</v>
      </c>
      <c r="L78" s="231">
        <f t="shared" si="91"/>
        <v>-33803.126026416809</v>
      </c>
      <c r="M78" s="193">
        <f t="shared" si="101"/>
        <v>-11586.034429534222</v>
      </c>
      <c r="N78" s="193">
        <f t="shared" si="101"/>
        <v>-11359.487093243139</v>
      </c>
      <c r="O78" s="193">
        <f t="shared" si="101"/>
        <v>-11655.545256572912</v>
      </c>
      <c r="P78" s="231">
        <f t="shared" si="93"/>
        <v>-34601.066779350273</v>
      </c>
      <c r="Q78" s="193">
        <f t="shared" si="102"/>
        <v>-11418.1458625942</v>
      </c>
      <c r="R78" s="193">
        <f t="shared" si="102"/>
        <v>-11716.446310667157</v>
      </c>
      <c r="S78" s="193">
        <f t="shared" si="102"/>
        <v>-11751.771485063869</v>
      </c>
      <c r="T78" s="231">
        <f t="shared" si="95"/>
        <v>-34886.363658325223</v>
      </c>
      <c r="U78" s="193">
        <f t="shared" si="103"/>
        <v>-11510.990284587242</v>
      </c>
      <c r="V78" s="193">
        <f t="shared" si="103"/>
        <v>-11812.672539158113</v>
      </c>
      <c r="W78" s="193">
        <f t="shared" si="103"/>
        <v>-11578.258826882748</v>
      </c>
      <c r="X78" s="231">
        <f t="shared" si="97"/>
        <v>-34901.921650628101</v>
      </c>
      <c r="Y78" s="180">
        <f t="shared" si="58"/>
        <v>-138192.4781147204</v>
      </c>
      <c r="AA78" s="193">
        <f t="shared" si="59"/>
        <v>-138192.4781147204</v>
      </c>
      <c r="AB78" s="189"/>
      <c r="AC78" s="182" t="s">
        <v>436</v>
      </c>
      <c r="AD78" s="190">
        <v>0</v>
      </c>
      <c r="AE78" s="190">
        <v>0</v>
      </c>
      <c r="AF78" s="190">
        <f t="shared" si="98"/>
        <v>-138192.4781147204</v>
      </c>
      <c r="AG78" s="184">
        <v>0</v>
      </c>
      <c r="AH78" s="184">
        <v>0</v>
      </c>
    </row>
    <row r="79" spans="2:36" s="162" customFormat="1" ht="20" hidden="1" customHeight="1" thickBot="1" x14ac:dyDescent="0.4">
      <c r="B79" s="197" t="s">
        <v>437</v>
      </c>
      <c r="C79" s="211" t="e">
        <f>SUM(C74:C78)</f>
        <v>#REF!</v>
      </c>
      <c r="D79" s="211">
        <f>SUM(D74:D78)</f>
        <v>0</v>
      </c>
      <c r="E79" s="211">
        <f>SUM(E74:E78)</f>
        <v>0</v>
      </c>
      <c r="F79" s="211">
        <f>SUM(F74:F78)</f>
        <v>0</v>
      </c>
      <c r="G79" s="211">
        <f>'[2]Resume Akas 2020'!N73</f>
        <v>0</v>
      </c>
      <c r="H79" s="198">
        <f t="shared" ref="H79" si="104">X79+T79+P79+L79</f>
        <v>-138326.63491472043</v>
      </c>
      <c r="I79" s="198">
        <f t="shared" ref="I79:X79" si="105">SUM(I74:I78)</f>
        <v>6117.8127554472667</v>
      </c>
      <c r="J79" s="198">
        <f t="shared" si="105"/>
        <v>-11527.412418949441</v>
      </c>
      <c r="K79" s="198">
        <f t="shared" si="105"/>
        <v>78037.784437085371</v>
      </c>
      <c r="L79" s="232">
        <f t="shared" si="105"/>
        <v>72628.184773583183</v>
      </c>
      <c r="M79" s="198">
        <f t="shared" si="105"/>
        <v>-11586.034429534222</v>
      </c>
      <c r="N79" s="198">
        <f t="shared" si="105"/>
        <v>-11359.487093243139</v>
      </c>
      <c r="O79" s="198">
        <f t="shared" si="105"/>
        <v>-15844.034456572912</v>
      </c>
      <c r="P79" s="232">
        <f t="shared" si="105"/>
        <v>-38789.555979350276</v>
      </c>
      <c r="Q79" s="198">
        <f t="shared" si="105"/>
        <v>-105418.1458625942</v>
      </c>
      <c r="R79" s="198">
        <f t="shared" si="105"/>
        <v>-11716.446310667157</v>
      </c>
      <c r="S79" s="198">
        <f t="shared" si="105"/>
        <v>-15940.260685063869</v>
      </c>
      <c r="T79" s="232">
        <f t="shared" si="105"/>
        <v>-133074.85285832523</v>
      </c>
      <c r="U79" s="198">
        <f t="shared" si="105"/>
        <v>-11510.990284587242</v>
      </c>
      <c r="V79" s="198">
        <f t="shared" si="105"/>
        <v>-11812.672539158113</v>
      </c>
      <c r="W79" s="198">
        <f t="shared" si="105"/>
        <v>-15766.748026882748</v>
      </c>
      <c r="X79" s="232">
        <f t="shared" si="105"/>
        <v>-39090.410850628105</v>
      </c>
      <c r="Y79" s="180">
        <f t="shared" si="58"/>
        <v>-138326.63491472043</v>
      </c>
      <c r="AA79" s="198">
        <f t="shared" si="59"/>
        <v>-138326.63491472043</v>
      </c>
      <c r="AB79" s="200"/>
      <c r="AC79" s="201" t="s">
        <v>437</v>
      </c>
      <c r="AD79" s="202">
        <f>'[2]Resume Akas 2020'!C73</f>
        <v>0</v>
      </c>
      <c r="AE79" s="203">
        <f>'[2]Resume Akas 2020'!N73</f>
        <v>0</v>
      </c>
      <c r="AF79" s="203">
        <f t="shared" si="98"/>
        <v>-138326.63491472043</v>
      </c>
      <c r="AG79" s="209" t="e">
        <f t="shared" ref="AG79:AH79" si="106">AE79/AD79*100</f>
        <v>#DIV/0!</v>
      </c>
      <c r="AH79" s="204" t="e">
        <f t="shared" si="106"/>
        <v>#DIV/0!</v>
      </c>
    </row>
    <row r="80" spans="2:36" ht="6" hidden="1" customHeight="1" thickBot="1" x14ac:dyDescent="0.4">
      <c r="D80" s="181"/>
      <c r="E80" s="181"/>
      <c r="F80" s="181"/>
      <c r="I80" s="181"/>
      <c r="J80" s="181"/>
      <c r="K80" s="181"/>
      <c r="L80" s="229"/>
      <c r="M80" s="181"/>
      <c r="N80" s="181"/>
      <c r="O80" s="181"/>
      <c r="P80" s="229"/>
      <c r="Q80" s="181"/>
      <c r="R80" s="181"/>
      <c r="S80" s="181"/>
      <c r="T80" s="229"/>
      <c r="U80" s="181"/>
      <c r="V80" s="181"/>
      <c r="W80" s="181"/>
      <c r="X80" s="229"/>
      <c r="Y80" s="180">
        <f t="shared" si="58"/>
        <v>0</v>
      </c>
      <c r="AA80" s="160">
        <f t="shared" si="59"/>
        <v>0</v>
      </c>
      <c r="AD80" s="180"/>
      <c r="AE80" s="180"/>
      <c r="AF80" s="180"/>
      <c r="AG80" s="212"/>
      <c r="AH80" s="212"/>
    </row>
    <row r="81" spans="2:34" s="162" customFormat="1" ht="20" hidden="1" customHeight="1" thickBot="1" x14ac:dyDescent="0.4">
      <c r="B81" s="213" t="s">
        <v>450</v>
      </c>
      <c r="C81" s="214" t="e">
        <f>C79+C71+C65</f>
        <v>#REF!</v>
      </c>
      <c r="D81" s="214" t="e">
        <f>D79+D71+D65</f>
        <v>#VALUE!</v>
      </c>
      <c r="E81" s="198">
        <f>E79+E71+E65</f>
        <v>-359837.26700499997</v>
      </c>
      <c r="F81" s="198">
        <f>F79+F71+F65</f>
        <v>-67898.59492600002</v>
      </c>
      <c r="G81" s="214">
        <f>'[2]Resume Akas 2020'!N75</f>
        <v>0</v>
      </c>
      <c r="H81" s="198">
        <f t="shared" ref="H81:X81" si="107">H79+H71+H65</f>
        <v>93.77995227673091</v>
      </c>
      <c r="I81" s="198">
        <f t="shared" si="107"/>
        <v>-57219.231754448949</v>
      </c>
      <c r="J81" s="198">
        <f t="shared" si="107"/>
        <v>-3291.1732943515453</v>
      </c>
      <c r="K81" s="198">
        <f t="shared" si="107"/>
        <v>7023.0235616832797</v>
      </c>
      <c r="L81" s="232">
        <f t="shared" si="107"/>
        <v>-53487.381487117236</v>
      </c>
      <c r="M81" s="198">
        <f t="shared" si="107"/>
        <v>-5719.1067054932801</v>
      </c>
      <c r="N81" s="198">
        <f t="shared" si="107"/>
        <v>5507.4406307978043</v>
      </c>
      <c r="O81" s="198">
        <f t="shared" si="107"/>
        <v>72.893267468030899</v>
      </c>
      <c r="P81" s="232">
        <f t="shared" si="107"/>
        <v>-138.77280722744763</v>
      </c>
      <c r="Q81" s="198">
        <f t="shared" si="107"/>
        <v>53605.22301266827</v>
      </c>
      <c r="R81" s="198">
        <f t="shared" si="107"/>
        <v>9793.1947515953034</v>
      </c>
      <c r="S81" s="198">
        <f t="shared" si="107"/>
        <v>5569.3803771985913</v>
      </c>
      <c r="T81" s="232">
        <f t="shared" si="107"/>
        <v>68967.798141462146</v>
      </c>
      <c r="U81" s="214">
        <f t="shared" si="107"/>
        <v>9807.1920340085526</v>
      </c>
      <c r="V81" s="214">
        <f t="shared" si="107"/>
        <v>9505.5097794376816</v>
      </c>
      <c r="W81" s="198">
        <f t="shared" si="107"/>
        <v>-34560.565708286958</v>
      </c>
      <c r="X81" s="232">
        <f t="shared" si="107"/>
        <v>-15247.863894840732</v>
      </c>
      <c r="Y81" s="180">
        <f t="shared" si="58"/>
        <v>93.77995227673091</v>
      </c>
      <c r="AA81" s="198">
        <f t="shared" si="59"/>
        <v>93.77995227673091</v>
      </c>
      <c r="AB81" s="200">
        <v>4</v>
      </c>
      <c r="AC81" s="201" t="s">
        <v>438</v>
      </c>
      <c r="AD81" s="202">
        <f>'[2]Resume Akas 2020'!C75</f>
        <v>0</v>
      </c>
      <c r="AE81" s="203">
        <f>'[2]Resume Akas 2020'!N75</f>
        <v>0</v>
      </c>
      <c r="AF81" s="203">
        <f t="shared" ref="AF81" si="108">H81</f>
        <v>93.77995227673091</v>
      </c>
      <c r="AG81" s="209" t="e">
        <f t="shared" ref="AG81:AH81" si="109">AE81/AD81*100</f>
        <v>#DIV/0!</v>
      </c>
      <c r="AH81" s="210" t="e">
        <f t="shared" si="109"/>
        <v>#DIV/0!</v>
      </c>
    </row>
    <row r="82" spans="2:34" ht="6.75" hidden="1" customHeight="1" thickBot="1" x14ac:dyDescent="0.4">
      <c r="L82" s="236"/>
      <c r="M82" s="160"/>
      <c r="N82" s="160"/>
      <c r="O82" s="160"/>
      <c r="P82" s="236"/>
      <c r="Q82" s="160"/>
      <c r="R82" s="160"/>
      <c r="S82" s="160"/>
      <c r="T82" s="236"/>
      <c r="X82" s="236"/>
      <c r="AA82" s="160">
        <f t="shared" si="59"/>
        <v>0</v>
      </c>
      <c r="AD82" s="180"/>
      <c r="AE82" s="180"/>
      <c r="AF82" s="180"/>
      <c r="AG82" s="212"/>
      <c r="AH82" s="212"/>
    </row>
    <row r="83" spans="2:34" s="162" customFormat="1" ht="20" hidden="1" customHeight="1" thickBot="1" x14ac:dyDescent="0.4">
      <c r="B83" s="213" t="s">
        <v>439</v>
      </c>
      <c r="C83" s="215" t="e">
        <f>'[1]AK Opr Juni GP Des (1)'!D142</f>
        <v>#REF!</v>
      </c>
      <c r="D83" s="215">
        <f>'[1]AK Opr Juni GP Des (1)'!E142</f>
        <v>0</v>
      </c>
      <c r="E83" s="215" t="e">
        <f t="shared" ref="E83:F83" si="110">D85</f>
        <v>#VALUE!</v>
      </c>
      <c r="F83" s="215" t="e">
        <f t="shared" si="110"/>
        <v>#VALUE!</v>
      </c>
      <c r="G83" s="215">
        <f>'[2]Resume Akas 2020'!N77</f>
        <v>0</v>
      </c>
      <c r="H83" s="215">
        <f>I83</f>
        <v>29062</v>
      </c>
      <c r="I83" s="215">
        <v>29062</v>
      </c>
      <c r="J83" s="215">
        <f t="shared" ref="J83:K83" si="111">I85</f>
        <v>-28157.231754448949</v>
      </c>
      <c r="K83" s="215">
        <f t="shared" si="111"/>
        <v>-31448.405048800494</v>
      </c>
      <c r="L83" s="237">
        <f>I83</f>
        <v>29062</v>
      </c>
      <c r="M83" s="215">
        <f>L85</f>
        <v>-24425.381487117236</v>
      </c>
      <c r="N83" s="215">
        <f>M85</f>
        <v>-30144.488192610515</v>
      </c>
      <c r="O83" s="215">
        <f>N85</f>
        <v>-24637.047561812709</v>
      </c>
      <c r="P83" s="237">
        <f>L85</f>
        <v>-24425.381487117236</v>
      </c>
      <c r="Q83" s="215">
        <f>P85</f>
        <v>-24564.154294344684</v>
      </c>
      <c r="R83" s="215">
        <f t="shared" ref="R83:S83" si="112">Q85</f>
        <v>29041.068718323586</v>
      </c>
      <c r="S83" s="215">
        <f t="shared" si="112"/>
        <v>38834.263469918893</v>
      </c>
      <c r="T83" s="237">
        <f>P85</f>
        <v>-24564.154294344684</v>
      </c>
      <c r="U83" s="215">
        <f>T85</f>
        <v>44403.643847117462</v>
      </c>
      <c r="V83" s="215">
        <f>U85</f>
        <v>54210.835881126011</v>
      </c>
      <c r="W83" s="215">
        <f>V85</f>
        <v>63716.345660563689</v>
      </c>
      <c r="X83" s="237">
        <f>T85</f>
        <v>44403.643847117462</v>
      </c>
      <c r="Y83" s="205">
        <f>H83</f>
        <v>29062</v>
      </c>
      <c r="AA83" s="215">
        <f>'[2]Resume Akas 2020'!U79</f>
        <v>0</v>
      </c>
      <c r="AB83" s="200">
        <v>5</v>
      </c>
      <c r="AC83" s="201" t="s">
        <v>439</v>
      </c>
      <c r="AD83" s="202">
        <f>'[2]Resume Akas 2020'!C77</f>
        <v>0</v>
      </c>
      <c r="AE83" s="203">
        <f>'[2]Resume Akas 2020'!N77</f>
        <v>0</v>
      </c>
      <c r="AF83" s="203">
        <f t="shared" ref="AF83" si="113">H83</f>
        <v>29062</v>
      </c>
      <c r="AG83" s="209" t="e">
        <f t="shared" ref="AG83:AH83" si="114">AE83/AD83*100</f>
        <v>#DIV/0!</v>
      </c>
      <c r="AH83" s="210" t="e">
        <f t="shared" si="114"/>
        <v>#DIV/0!</v>
      </c>
    </row>
    <row r="84" spans="2:34" ht="6.75" hidden="1" customHeight="1" thickBot="1" x14ac:dyDescent="0.4">
      <c r="L84" s="236"/>
      <c r="M84" s="160"/>
      <c r="N84" s="160"/>
      <c r="O84" s="160"/>
      <c r="P84" s="236"/>
      <c r="Q84" s="160"/>
      <c r="R84" s="160"/>
      <c r="S84" s="160"/>
      <c r="T84" s="236"/>
      <c r="X84" s="236"/>
      <c r="AA84" s="160">
        <f t="shared" ref="AA84" si="115">H84</f>
        <v>0</v>
      </c>
      <c r="AD84" s="180"/>
      <c r="AE84" s="180"/>
      <c r="AF84" s="180"/>
      <c r="AG84" s="212"/>
      <c r="AH84" s="212"/>
    </row>
    <row r="85" spans="2:34" s="162" customFormat="1" ht="20" hidden="1" customHeight="1" thickBot="1" x14ac:dyDescent="0.4">
      <c r="B85" s="213" t="s">
        <v>440</v>
      </c>
      <c r="C85" s="214" t="e">
        <f>C83+C81</f>
        <v>#REF!</v>
      </c>
      <c r="D85" s="214" t="e">
        <f>D83+D81</f>
        <v>#VALUE!</v>
      </c>
      <c r="E85" s="214" t="e">
        <f t="shared" ref="E85:F85" si="116">E83+E81</f>
        <v>#VALUE!</v>
      </c>
      <c r="F85" s="198" t="e">
        <f t="shared" si="116"/>
        <v>#VALUE!</v>
      </c>
      <c r="G85" s="214">
        <f>'[2]Resume Akas 2020'!N79</f>
        <v>0</v>
      </c>
      <c r="H85" s="198">
        <f>H83+H81</f>
        <v>29155.779952276731</v>
      </c>
      <c r="I85" s="198">
        <f>I83+I81</f>
        <v>-28157.231754448949</v>
      </c>
      <c r="J85" s="198">
        <f t="shared" ref="J85:K85" si="117">J83+J81</f>
        <v>-31448.405048800494</v>
      </c>
      <c r="K85" s="198">
        <f t="shared" si="117"/>
        <v>-24425.381487117214</v>
      </c>
      <c r="L85" s="232">
        <f>L83+L81</f>
        <v>-24425.381487117236</v>
      </c>
      <c r="M85" s="198">
        <f>M83+M81</f>
        <v>-30144.488192610515</v>
      </c>
      <c r="N85" s="198">
        <f t="shared" ref="N85:O85" si="118">N83+N81</f>
        <v>-24637.047561812709</v>
      </c>
      <c r="O85" s="198">
        <f t="shared" si="118"/>
        <v>-24564.154294344677</v>
      </c>
      <c r="P85" s="232">
        <f>P83+P81</f>
        <v>-24564.154294344684</v>
      </c>
      <c r="Q85" s="198">
        <f t="shared" ref="Q85:Y85" si="119">Q83+Q81</f>
        <v>29041.068718323586</v>
      </c>
      <c r="R85" s="198">
        <f t="shared" si="119"/>
        <v>38834.263469918893</v>
      </c>
      <c r="S85" s="198">
        <f t="shared" si="119"/>
        <v>44403.643847117484</v>
      </c>
      <c r="T85" s="232">
        <f t="shared" si="119"/>
        <v>44403.643847117462</v>
      </c>
      <c r="U85" s="198">
        <f t="shared" si="119"/>
        <v>54210.835881126011</v>
      </c>
      <c r="V85" s="198">
        <f t="shared" si="119"/>
        <v>63716.345660563689</v>
      </c>
      <c r="W85" s="198">
        <f t="shared" si="119"/>
        <v>29155.779952276731</v>
      </c>
      <c r="X85" s="232">
        <f t="shared" si="119"/>
        <v>29155.779952276731</v>
      </c>
      <c r="Y85" s="198">
        <f t="shared" si="119"/>
        <v>29155.779952276731</v>
      </c>
      <c r="AA85" s="217">
        <f>AA81+AA83</f>
        <v>93.77995227673091</v>
      </c>
      <c r="AB85" s="200">
        <v>6</v>
      </c>
      <c r="AC85" s="201" t="s">
        <v>440</v>
      </c>
      <c r="AD85" s="202">
        <f>'[2]Resume Akas 2020'!C79</f>
        <v>0</v>
      </c>
      <c r="AE85" s="203">
        <f>'[2]Resume Akas 2020'!N79</f>
        <v>0</v>
      </c>
      <c r="AF85" s="203">
        <f t="shared" ref="AF85" si="120">H85</f>
        <v>29155.779952276731</v>
      </c>
      <c r="AG85" s="209" t="e">
        <f t="shared" ref="AG85:AH85" si="121">AE85/AD85*100</f>
        <v>#DIV/0!</v>
      </c>
      <c r="AH85" s="210" t="e">
        <f t="shared" si="121"/>
        <v>#DIV/0!</v>
      </c>
    </row>
    <row r="86" spans="2:34" ht="20" hidden="1" customHeight="1" x14ac:dyDescent="0.35">
      <c r="C86" s="181"/>
      <c r="D86" s="181"/>
      <c r="E86" s="181"/>
      <c r="F86" s="181"/>
      <c r="G86" s="181"/>
      <c r="H86" s="181">
        <f>'[2]AKAS 2021'!F143</f>
        <v>0</v>
      </c>
      <c r="I86" s="181">
        <f>'[2]AKAS 2021'!G143</f>
        <v>0</v>
      </c>
      <c r="J86" s="181">
        <f>'[2]AKAS 2021'!H143</f>
        <v>0</v>
      </c>
      <c r="K86" s="181">
        <f>'[2]AKAS 2021'!I143</f>
        <v>0</v>
      </c>
      <c r="L86" s="181">
        <f>'[2]AKAS 2021'!J143</f>
        <v>0</v>
      </c>
      <c r="M86" s="181">
        <f>'[2]AKAS 2021'!K143</f>
        <v>0</v>
      </c>
      <c r="N86" s="181">
        <f>'[2]AKAS 2021'!L143</f>
        <v>0</v>
      </c>
      <c r="O86" s="181">
        <f>'[2]AKAS 2021'!M143</f>
        <v>0</v>
      </c>
      <c r="P86" s="181">
        <f>'[2]AKAS 2021'!N143</f>
        <v>0</v>
      </c>
      <c r="Q86" s="181">
        <f>'[2]AKAS 2021'!O143</f>
        <v>0</v>
      </c>
      <c r="R86" s="181">
        <f>'[2]AKAS 2021'!P143</f>
        <v>0</v>
      </c>
      <c r="S86" s="181">
        <f>'[2]AKAS 2021'!Q143</f>
        <v>0</v>
      </c>
      <c r="T86" s="181">
        <f>'[2]AKAS 2021'!R143</f>
        <v>0</v>
      </c>
      <c r="U86" s="181">
        <f>'[2]AKAS 2021'!S143</f>
        <v>0</v>
      </c>
      <c r="V86" s="181">
        <f>'[2]AKAS 2021'!T143</f>
        <v>0</v>
      </c>
      <c r="W86" s="181">
        <f>'[2]AKAS 2021'!U143</f>
        <v>0</v>
      </c>
      <c r="X86" s="181">
        <f>'[2]AKAS 2021'!V143</f>
        <v>0</v>
      </c>
      <c r="Y86" s="181">
        <f>'[2]AKAS 2021'!W143</f>
        <v>0</v>
      </c>
      <c r="AA86" s="181">
        <f>'[2]AKAS 2021'!Y143</f>
        <v>0</v>
      </c>
      <c r="AB86" s="181"/>
    </row>
    <row r="87" spans="2:34" hidden="1" x14ac:dyDescent="0.35"/>
    <row r="88" spans="2:34" x14ac:dyDescent="0.35">
      <c r="J88" s="160">
        <v>31</v>
      </c>
    </row>
    <row r="89" spans="2:34" x14ac:dyDescent="0.35">
      <c r="J89" s="160">
        <v>13</v>
      </c>
    </row>
    <row r="90" spans="2:34" x14ac:dyDescent="0.35">
      <c r="J90" s="538">
        <f>J89+J88+J50+J49</f>
        <v>97</v>
      </c>
    </row>
    <row r="91" spans="2:34" ht="18" thickBot="1" x14ac:dyDescent="0.4"/>
    <row r="92" spans="2:34" ht="18" thickBot="1" x14ac:dyDescent="0.4">
      <c r="I92" s="539">
        <v>38564.003187551047</v>
      </c>
      <c r="J92" s="539">
        <v>35272.829893199501</v>
      </c>
      <c r="K92" s="539">
        <v>20885.653454882762</v>
      </c>
      <c r="L92" s="198">
        <v>20885.653454882769</v>
      </c>
      <c r="M92" s="198">
        <v>15166.54674938949</v>
      </c>
      <c r="N92" s="198">
        <v>20673.987380187296</v>
      </c>
      <c r="O92" s="198">
        <v>20746.880647655329</v>
      </c>
      <c r="P92" s="198"/>
      <c r="Q92" s="198">
        <v>77207.10366032357</v>
      </c>
      <c r="R92" s="198">
        <v>87000.298411918877</v>
      </c>
      <c r="S92" s="198">
        <v>92569.678789117461</v>
      </c>
      <c r="T92" s="198"/>
      <c r="U92" s="198"/>
      <c r="V92" s="198"/>
      <c r="W92" s="198"/>
    </row>
    <row r="93" spans="2:34" x14ac:dyDescent="0.35">
      <c r="L93" s="158">
        <v>20885.653454882769</v>
      </c>
      <c r="M93" s="158">
        <v>15166.54674938949</v>
      </c>
      <c r="N93" s="158">
        <v>20673.987380187296</v>
      </c>
      <c r="O93" s="158">
        <v>20746.880647655329</v>
      </c>
      <c r="P93" s="158">
        <v>20746.880647655322</v>
      </c>
      <c r="Q93" s="158">
        <v>77207.10366032357</v>
      </c>
      <c r="R93" s="158">
        <v>87000.298411918877</v>
      </c>
      <c r="S93" s="158">
        <v>92569.678789117461</v>
      </c>
      <c r="T93" s="181">
        <v>92569.67878911749</v>
      </c>
      <c r="U93" s="181">
        <v>102376.87082312604</v>
      </c>
      <c r="V93" s="181">
        <v>111882.38060256372</v>
      </c>
      <c r="W93" s="181">
        <v>77321.814894276758</v>
      </c>
    </row>
  </sheetData>
  <mergeCells count="30">
    <mergeCell ref="AB53:AB54"/>
    <mergeCell ref="AC53:AC54"/>
    <mergeCell ref="AD53:AD54"/>
    <mergeCell ref="AE53:AE54"/>
    <mergeCell ref="AF53:AF54"/>
    <mergeCell ref="AG53:AH53"/>
    <mergeCell ref="AF7:AF8"/>
    <mergeCell ref="AG7:AH7"/>
    <mergeCell ref="B53:B54"/>
    <mergeCell ref="C53:C54"/>
    <mergeCell ref="D53:D54"/>
    <mergeCell ref="E53:F53"/>
    <mergeCell ref="G53:G54"/>
    <mergeCell ref="H53:H54"/>
    <mergeCell ref="I53:X53"/>
    <mergeCell ref="AA53:AA54"/>
    <mergeCell ref="I7:X7"/>
    <mergeCell ref="AA7:AA8"/>
    <mergeCell ref="AB7:AB8"/>
    <mergeCell ref="AC7:AC8"/>
    <mergeCell ref="AD7:AD8"/>
    <mergeCell ref="B5:W5"/>
    <mergeCell ref="AE7:AE8"/>
    <mergeCell ref="B7:B8"/>
    <mergeCell ref="C7:C8"/>
    <mergeCell ref="D7:D8"/>
    <mergeCell ref="E7:E8"/>
    <mergeCell ref="F7:F8"/>
    <mergeCell ref="G7:G8"/>
    <mergeCell ref="H7:H8"/>
  </mergeCells>
  <hyperlinks>
    <hyperlink ref="J90" r:id="rId1" display="sum@(" xr:uid="{C55FE39A-57BC-4F01-B51E-BB3C56B138D7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7C76-5D9B-4B4A-B7C6-6C68BE7E31DB}">
  <dimension ref="B5:AK85"/>
  <sheetViews>
    <sheetView workbookViewId="0">
      <selection activeCell="F16" sqref="F16"/>
    </sheetView>
  </sheetViews>
  <sheetFormatPr defaultColWidth="9.08984375" defaultRowHeight="17.5" x14ac:dyDescent="0.35"/>
  <cols>
    <col min="1" max="1" width="9.08984375" style="160"/>
    <col min="2" max="2" width="44.6328125" style="160" customWidth="1"/>
    <col min="3" max="4" width="17.36328125" style="160" customWidth="1"/>
    <col min="5" max="6" width="14.81640625" style="160" customWidth="1"/>
    <col min="7" max="7" width="10.08984375" style="160" hidden="1" customWidth="1"/>
    <col min="8" max="8" width="15.08984375" style="160" customWidth="1"/>
    <col min="9" max="9" width="14.81640625" style="160" bestFit="1" customWidth="1"/>
    <col min="10" max="12" width="13.26953125" style="160" bestFit="1" customWidth="1"/>
    <col min="13" max="13" width="13.26953125" style="158" customWidth="1"/>
    <col min="14" max="16" width="13.26953125" style="158" hidden="1" customWidth="1"/>
    <col min="17" max="17" width="13.26953125" style="159" bestFit="1" customWidth="1"/>
    <col min="18" max="18" width="14.81640625" style="159" hidden="1" customWidth="1"/>
    <col min="19" max="20" width="13.7265625" style="159" hidden="1" customWidth="1"/>
    <col min="21" max="21" width="14.81640625" style="160" bestFit="1" customWidth="1"/>
    <col min="22" max="24" width="13.7265625" style="160" hidden="1" customWidth="1"/>
    <col min="25" max="26" width="13.7265625" style="160" bestFit="1" customWidth="1"/>
    <col min="27" max="27" width="15.6328125" style="160" customWidth="1"/>
    <col min="28" max="28" width="14.81640625" style="160" bestFit="1" customWidth="1"/>
    <col min="29" max="29" width="4.81640625" style="160" bestFit="1" customWidth="1"/>
    <col min="30" max="30" width="70.6328125" style="160" bestFit="1" customWidth="1"/>
    <col min="31" max="31" width="14.81640625" style="160" bestFit="1" customWidth="1"/>
    <col min="32" max="32" width="16.7265625" style="160" bestFit="1" customWidth="1"/>
    <col min="33" max="33" width="14.81640625" style="160" bestFit="1" customWidth="1"/>
    <col min="34" max="34" width="13.26953125" style="160" bestFit="1" customWidth="1"/>
    <col min="35" max="35" width="14.36328125" style="160" bestFit="1" customWidth="1"/>
    <col min="36" max="36" width="9.08984375" style="160"/>
    <col min="37" max="37" width="13.6328125" style="160" bestFit="1" customWidth="1"/>
    <col min="38" max="16384" width="9.08984375" style="160"/>
  </cols>
  <sheetData>
    <row r="5" spans="2:37" x14ac:dyDescent="0.35">
      <c r="B5" s="629" t="s">
        <v>395</v>
      </c>
      <c r="C5" s="629"/>
      <c r="D5" s="629"/>
      <c r="E5" s="629"/>
      <c r="F5" s="629"/>
      <c r="G5" s="629"/>
      <c r="H5" s="629"/>
      <c r="I5" s="629"/>
      <c r="J5" s="157"/>
      <c r="K5" s="157"/>
      <c r="L5" s="157"/>
    </row>
    <row r="6" spans="2:37" ht="21.4" customHeight="1" thickBot="1" x14ac:dyDescent="0.4">
      <c r="I6" s="161"/>
      <c r="J6" s="161"/>
      <c r="K6" s="161"/>
      <c r="L6" s="161"/>
      <c r="AB6" s="161"/>
      <c r="AC6" s="161"/>
    </row>
    <row r="7" spans="2:37" s="162" customFormat="1" ht="28.9" customHeight="1" thickBot="1" x14ac:dyDescent="0.4">
      <c r="B7" s="628" t="s">
        <v>501</v>
      </c>
      <c r="C7" s="624" t="s">
        <v>176</v>
      </c>
      <c r="D7" s="621" t="s">
        <v>451</v>
      </c>
      <c r="E7" s="616" t="s">
        <v>452</v>
      </c>
      <c r="F7" s="618" t="s">
        <v>183</v>
      </c>
      <c r="G7" s="238"/>
      <c r="H7" s="620" t="s">
        <v>398</v>
      </c>
      <c r="I7" s="630" t="s">
        <v>399</v>
      </c>
      <c r="J7" s="625" t="s">
        <v>400</v>
      </c>
      <c r="K7" s="626"/>
      <c r="L7" s="626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6"/>
      <c r="Y7" s="627"/>
      <c r="AB7" s="620" t="s">
        <v>399</v>
      </c>
      <c r="AC7" s="628" t="s">
        <v>401</v>
      </c>
      <c r="AD7" s="628" t="s">
        <v>21</v>
      </c>
      <c r="AE7" s="612" t="s">
        <v>402</v>
      </c>
      <c r="AF7" s="612" t="s">
        <v>403</v>
      </c>
      <c r="AG7" s="612" t="s">
        <v>404</v>
      </c>
      <c r="AH7" s="622" t="s">
        <v>405</v>
      </c>
      <c r="AI7" s="622"/>
    </row>
    <row r="8" spans="2:37" s="162" customFormat="1" ht="38.25" customHeight="1" thickBot="1" x14ac:dyDescent="0.4">
      <c r="B8" s="628"/>
      <c r="C8" s="624"/>
      <c r="D8" s="621"/>
      <c r="E8" s="617"/>
      <c r="F8" s="619"/>
      <c r="G8" s="163"/>
      <c r="H8" s="620"/>
      <c r="I8" s="630"/>
      <c r="J8" s="164" t="s">
        <v>406</v>
      </c>
      <c r="K8" s="164" t="s">
        <v>407</v>
      </c>
      <c r="L8" s="164" t="s">
        <v>408</v>
      </c>
      <c r="M8" s="165" t="s">
        <v>409</v>
      </c>
      <c r="N8" s="164" t="s">
        <v>199</v>
      </c>
      <c r="O8" s="164" t="s">
        <v>200</v>
      </c>
      <c r="P8" s="164" t="s">
        <v>201</v>
      </c>
      <c r="Q8" s="165" t="s">
        <v>410</v>
      </c>
      <c r="R8" s="164" t="s">
        <v>202</v>
      </c>
      <c r="S8" s="164" t="s">
        <v>191</v>
      </c>
      <c r="T8" s="164" t="s">
        <v>192</v>
      </c>
      <c r="U8" s="165" t="s">
        <v>411</v>
      </c>
      <c r="V8" s="164" t="s">
        <v>193</v>
      </c>
      <c r="W8" s="164" t="s">
        <v>194</v>
      </c>
      <c r="X8" s="164" t="s">
        <v>204</v>
      </c>
      <c r="Y8" s="165" t="s">
        <v>412</v>
      </c>
      <c r="AB8" s="620"/>
      <c r="AC8" s="628"/>
      <c r="AD8" s="628"/>
      <c r="AE8" s="612"/>
      <c r="AF8" s="612"/>
      <c r="AG8" s="612"/>
      <c r="AH8" s="166" t="s">
        <v>413</v>
      </c>
      <c r="AI8" s="166" t="s">
        <v>414</v>
      </c>
    </row>
    <row r="9" spans="2:37" s="162" customFormat="1" ht="27.4" hidden="1" customHeight="1" x14ac:dyDescent="0.35">
      <c r="B9" s="167"/>
      <c r="C9" s="168"/>
      <c r="D9" s="168"/>
      <c r="E9" s="169"/>
      <c r="F9" s="169"/>
      <c r="G9" s="169"/>
      <c r="H9" s="168"/>
      <c r="I9" s="170"/>
      <c r="J9" s="170"/>
      <c r="K9" s="170"/>
      <c r="L9" s="170"/>
      <c r="M9" s="168"/>
      <c r="N9" s="170"/>
      <c r="O9" s="170"/>
      <c r="P9" s="170"/>
      <c r="Q9" s="168"/>
      <c r="R9" s="170"/>
      <c r="S9" s="170"/>
      <c r="T9" s="170"/>
      <c r="U9" s="168"/>
      <c r="V9" s="170"/>
      <c r="W9" s="170"/>
      <c r="X9" s="170"/>
      <c r="Y9" s="168"/>
      <c r="AB9" s="171"/>
      <c r="AC9" s="172">
        <v>1</v>
      </c>
      <c r="AD9" s="172">
        <v>2</v>
      </c>
      <c r="AE9" s="173">
        <v>3</v>
      </c>
      <c r="AF9" s="173">
        <v>4</v>
      </c>
      <c r="AG9" s="173">
        <v>5</v>
      </c>
      <c r="AH9" s="174" t="s">
        <v>415</v>
      </c>
      <c r="AI9" s="174" t="s">
        <v>416</v>
      </c>
    </row>
    <row r="10" spans="2:37" s="162" customFormat="1" ht="20" customHeight="1" x14ac:dyDescent="0.35">
      <c r="B10" s="175" t="s">
        <v>417</v>
      </c>
      <c r="C10" s="176"/>
      <c r="M10" s="177"/>
      <c r="N10" s="177"/>
      <c r="O10" s="177"/>
      <c r="P10" s="177"/>
      <c r="Q10" s="178"/>
      <c r="R10" s="178"/>
      <c r="S10" s="178"/>
      <c r="T10" s="178"/>
      <c r="AC10" s="179">
        <v>1</v>
      </c>
      <c r="AD10" s="175" t="s">
        <v>417</v>
      </c>
      <c r="AF10" s="180"/>
    </row>
    <row r="11" spans="2:37" ht="20" customHeight="1" x14ac:dyDescent="0.35">
      <c r="B11" s="160" t="s">
        <v>418</v>
      </c>
      <c r="C11" s="181">
        <f>'[1]AK Opr Juni GP Des (1)'!D11</f>
        <v>337309</v>
      </c>
      <c r="D11" s="181">
        <v>31442</v>
      </c>
      <c r="E11" s="181">
        <f>'[3]Rincian Arus Kas 20'!F11</f>
        <v>0</v>
      </c>
      <c r="F11" s="181">
        <v>3500</v>
      </c>
      <c r="G11" s="181"/>
      <c r="H11" s="181">
        <f>F11+E11</f>
        <v>3500</v>
      </c>
      <c r="I11" s="181">
        <f>M11+Q11+U11+Y11</f>
        <v>322082.00618363742</v>
      </c>
      <c r="J11" s="181">
        <f>'[2]AKAS 2021'!G14</f>
        <v>16104.100309181871</v>
      </c>
      <c r="K11" s="181">
        <f>'[2]AKAS 2021'!H14</f>
        <v>16104.100309181871</v>
      </c>
      <c r="L11" s="181">
        <f>'[2]AKAS 2021'!I14</f>
        <v>16104.100309181871</v>
      </c>
      <c r="M11" s="181">
        <f>L11+K11+J11</f>
        <v>48312.300927545613</v>
      </c>
      <c r="N11" s="181">
        <f>'[2]AKAS 2021'!K14</f>
        <v>26840.167181969784</v>
      </c>
      <c r="O11" s="181">
        <f>'[2]AKAS 2021'!L14</f>
        <v>26840.167181969784</v>
      </c>
      <c r="P11" s="181">
        <f>'[2]AKAS 2021'!M14</f>
        <v>26840.167181969784</v>
      </c>
      <c r="Q11" s="181">
        <f>P11+O11+N11</f>
        <v>80520.501545909356</v>
      </c>
      <c r="R11" s="181">
        <f>'[2]AKAS 2021'!O14</f>
        <v>32208.200618363739</v>
      </c>
      <c r="S11" s="181">
        <f>'[2]AKAS 2021'!P14</f>
        <v>32208.200618363739</v>
      </c>
      <c r="T11" s="181">
        <f>'[2]AKAS 2021'!Q14</f>
        <v>32208.200618363739</v>
      </c>
      <c r="U11" s="181">
        <f>T11+S11+R11</f>
        <v>96624.601855091212</v>
      </c>
      <c r="V11" s="181">
        <f>'[2]AKAS 2021'!S14</f>
        <v>32208.200618363739</v>
      </c>
      <c r="W11" s="181">
        <f>'[2]AKAS 2021'!T14</f>
        <v>32208.200618363739</v>
      </c>
      <c r="X11" s="181">
        <f>'[2]AKAS 2021'!U14</f>
        <v>32208.200618363739</v>
      </c>
      <c r="Y11" s="181">
        <f>X11+W11+V11</f>
        <v>96624.601855091212</v>
      </c>
      <c r="Z11" s="180">
        <f>Y11+U11+Q11+M11</f>
        <v>322082.00618363742</v>
      </c>
      <c r="AB11" s="181">
        <f>I11</f>
        <v>322082.00618363742</v>
      </c>
      <c r="AC11" s="181"/>
      <c r="AD11" s="182" t="s">
        <v>418</v>
      </c>
      <c r="AE11" s="183">
        <f>'[2]Resume Akas 2020'!C10</f>
        <v>337309</v>
      </c>
      <c r="AF11" s="183">
        <f>'[2]Resume Akas 2020'!N10</f>
        <v>31442</v>
      </c>
      <c r="AG11" s="183">
        <f>I11</f>
        <v>322082.00618363742</v>
      </c>
      <c r="AH11" s="184">
        <f>AF11/AE11*100</f>
        <v>9.3214233833072946</v>
      </c>
      <c r="AI11" s="184">
        <f>AG11/AF11*100</f>
        <v>1024.3686985040308</v>
      </c>
    </row>
    <row r="12" spans="2:37" ht="20" hidden="1" customHeight="1" x14ac:dyDescent="0.35">
      <c r="B12" s="160" t="s">
        <v>419</v>
      </c>
      <c r="C12" s="181">
        <f>'[1]AK Opr Juni GP Des (1)'!D12</f>
        <v>0</v>
      </c>
      <c r="D12" s="181">
        <v>0</v>
      </c>
      <c r="E12" s="181">
        <v>0</v>
      </c>
      <c r="F12" s="181">
        <v>0</v>
      </c>
      <c r="G12" s="181"/>
      <c r="H12" s="181"/>
      <c r="I12" s="181">
        <f t="shared" ref="I12:I36" si="0">Y12+U12+Q12+M12</f>
        <v>0</v>
      </c>
      <c r="J12" s="181">
        <v>0</v>
      </c>
      <c r="K12" s="181">
        <v>0</v>
      </c>
      <c r="L12" s="181">
        <v>0</v>
      </c>
      <c r="M12" s="181">
        <f t="shared" ref="M12:M19" si="1">L12+K12+J12</f>
        <v>0</v>
      </c>
      <c r="N12" s="181">
        <v>0</v>
      </c>
      <c r="O12" s="181">
        <v>0</v>
      </c>
      <c r="P12" s="181">
        <v>0</v>
      </c>
      <c r="Q12" s="181">
        <f t="shared" ref="Q12:Q19" si="2">P12+O12+N12</f>
        <v>0</v>
      </c>
      <c r="R12" s="181">
        <v>0</v>
      </c>
      <c r="S12" s="181">
        <v>0</v>
      </c>
      <c r="T12" s="181">
        <v>0</v>
      </c>
      <c r="U12" s="181">
        <f t="shared" ref="U12:U19" si="3">T12+S12+R12</f>
        <v>0</v>
      </c>
      <c r="V12" s="181">
        <v>0</v>
      </c>
      <c r="W12" s="181">
        <v>0</v>
      </c>
      <c r="X12" s="181">
        <v>0</v>
      </c>
      <c r="Y12" s="181">
        <f t="shared" ref="Y12:Y19" si="4">X12+W12+V12</f>
        <v>0</v>
      </c>
      <c r="Z12" s="180">
        <f t="shared" ref="Z12:Z36" si="5">Y12+U12+Q12+M12</f>
        <v>0</v>
      </c>
      <c r="AB12" s="181">
        <f t="shared" ref="AB12:AB39" si="6">I12</f>
        <v>0</v>
      </c>
      <c r="AC12" s="181"/>
      <c r="AD12" s="182" t="s">
        <v>419</v>
      </c>
      <c r="AE12" s="183">
        <f>'[2]Resume Akas 2020'!C11</f>
        <v>0</v>
      </c>
      <c r="AF12" s="183">
        <f>'[2]Resume Akas 2020'!N11</f>
        <v>0</v>
      </c>
      <c r="AG12" s="183">
        <f t="shared" ref="AG12:AG40" si="7">I12</f>
        <v>0</v>
      </c>
      <c r="AH12" s="184">
        <v>0</v>
      </c>
      <c r="AI12" s="184">
        <v>0</v>
      </c>
    </row>
    <row r="13" spans="2:37" ht="20" customHeight="1" x14ac:dyDescent="0.35">
      <c r="B13" s="160" t="s">
        <v>420</v>
      </c>
      <c r="C13" s="181">
        <f>+'[1]AK Opr Juni GP Des (1)'!D12</f>
        <v>0</v>
      </c>
      <c r="D13" s="181">
        <f>'[2]EST Akas BLNN 2020'!E33</f>
        <v>0</v>
      </c>
      <c r="E13" s="181">
        <v>5</v>
      </c>
      <c r="F13" s="181">
        <v>5</v>
      </c>
      <c r="G13" s="181"/>
      <c r="H13" s="181">
        <f t="shared" ref="H13:H20" si="8">F13+E13</f>
        <v>10</v>
      </c>
      <c r="I13" s="181">
        <f t="shared" ref="I13:I20" si="9">M13+Q13+U13+Y13</f>
        <v>0</v>
      </c>
      <c r="J13" s="181">
        <v>0</v>
      </c>
      <c r="K13" s="181">
        <v>0</v>
      </c>
      <c r="L13" s="181">
        <v>0</v>
      </c>
      <c r="M13" s="181">
        <f t="shared" si="1"/>
        <v>0</v>
      </c>
      <c r="N13" s="181">
        <v>0</v>
      </c>
      <c r="O13" s="181">
        <v>0</v>
      </c>
      <c r="P13" s="181">
        <v>0</v>
      </c>
      <c r="Q13" s="181">
        <f t="shared" si="2"/>
        <v>0</v>
      </c>
      <c r="R13" s="181">
        <v>0</v>
      </c>
      <c r="S13" s="181">
        <v>0</v>
      </c>
      <c r="T13" s="181">
        <v>0</v>
      </c>
      <c r="U13" s="181">
        <f t="shared" si="3"/>
        <v>0</v>
      </c>
      <c r="V13" s="181">
        <v>0</v>
      </c>
      <c r="W13" s="181">
        <v>0</v>
      </c>
      <c r="X13" s="181">
        <v>0</v>
      </c>
      <c r="Y13" s="181">
        <f t="shared" si="4"/>
        <v>0</v>
      </c>
      <c r="Z13" s="180">
        <f t="shared" si="5"/>
        <v>0</v>
      </c>
      <c r="AB13" s="181">
        <f t="shared" si="6"/>
        <v>0</v>
      </c>
      <c r="AC13" s="181"/>
      <c r="AD13" s="182" t="s">
        <v>420</v>
      </c>
      <c r="AE13" s="183">
        <f>'[2]Resume Akas 2020'!C12</f>
        <v>0</v>
      </c>
      <c r="AF13" s="183">
        <f>'[2]Resume Akas 2020'!N12</f>
        <v>0</v>
      </c>
      <c r="AG13" s="183">
        <f t="shared" si="7"/>
        <v>0</v>
      </c>
      <c r="AH13" s="184">
        <v>0</v>
      </c>
      <c r="AI13" s="184">
        <v>0</v>
      </c>
    </row>
    <row r="14" spans="2:37" ht="20" customHeight="1" x14ac:dyDescent="0.35">
      <c r="B14" s="160" t="s">
        <v>453</v>
      </c>
      <c r="C14" s="181">
        <v>0</v>
      </c>
      <c r="D14" s="181">
        <v>1305</v>
      </c>
      <c r="E14" s="181">
        <v>1079</v>
      </c>
      <c r="F14" s="181">
        <v>0</v>
      </c>
      <c r="G14" s="181"/>
      <c r="H14" s="181">
        <f t="shared" si="8"/>
        <v>1079</v>
      </c>
      <c r="I14" s="181">
        <f t="shared" si="9"/>
        <v>0</v>
      </c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0"/>
      <c r="AB14" s="181"/>
      <c r="AC14" s="181"/>
      <c r="AD14" s="182"/>
      <c r="AE14" s="183"/>
      <c r="AF14" s="183"/>
      <c r="AG14" s="183"/>
      <c r="AH14" s="184"/>
      <c r="AI14" s="184"/>
    </row>
    <row r="15" spans="2:37" ht="20" customHeight="1" x14ac:dyDescent="0.35">
      <c r="B15" s="160" t="s">
        <v>421</v>
      </c>
      <c r="C15" s="181">
        <f>'[1]AK Opr Juni GP Des (1)'!D13+'[1]AK Opr Juni GP Des (1)'!D23+'[1]AK Opr Juni GP Des (1)'!D24+'[1]AK Opr Juni GP Des (1)'!D25+'[1]AK Opr Juni GP Des (1)'!D26+'[1]AK Opr Juni GP Des (1)'!D27+'[1]AK Opr Juni GP Des (1)'!D28+'[1]AK Opr Juni GP Des (1)'!D29+'[1]AK Opr Juni GP Des (1)'!D30+'[1]AK Opr Juni GP Des (1)'!D31+'[1]AK Opr Juni GP Des (1)'!D32+'[1]AK Opr Juni GP Des (1)'!D33</f>
        <v>22723</v>
      </c>
      <c r="D15" s="181">
        <v>8833</v>
      </c>
      <c r="E15" s="181">
        <v>12626</v>
      </c>
      <c r="F15" s="181">
        <v>50</v>
      </c>
      <c r="G15" s="181"/>
      <c r="H15" s="181">
        <f t="shared" si="8"/>
        <v>12676</v>
      </c>
      <c r="I15" s="181">
        <f t="shared" si="9"/>
        <v>138613.727813</v>
      </c>
      <c r="J15" s="181">
        <f>'[2]AKAS 2021'!G30+'[2]AKAS 2021'!G27</f>
        <v>50</v>
      </c>
      <c r="K15" s="181">
        <f>'[2]AKAS 2021'!H30+'[2]AKAS 2021'!H27</f>
        <v>50</v>
      </c>
      <c r="L15" s="181">
        <f>'[2]AKAS 2021'!I30+'[2]AKAS 2021'!I27</f>
        <v>550</v>
      </c>
      <c r="M15" s="181">
        <f t="shared" si="1"/>
        <v>650</v>
      </c>
      <c r="N15" s="181">
        <f>'[2]AKAS 2021'!K30+'[2]AKAS 2021'!K27+'[2]AKAS 2021'!K33</f>
        <v>50</v>
      </c>
      <c r="O15" s="181">
        <f>'[2]AKAS 2021'!L30+'[2]AKAS 2021'!L27+'[2]AKAS 2021'!L33</f>
        <v>50</v>
      </c>
      <c r="P15" s="181">
        <f>'[2]AKAS 2021'!M30+'[2]AKAS 2021'!M27+'[2]AKAS 2021'!M33</f>
        <v>50</v>
      </c>
      <c r="Q15" s="181">
        <f t="shared" si="2"/>
        <v>150</v>
      </c>
      <c r="R15" s="185">
        <f>'[2]AKAS 2021'!O30+'[2]AKAS 2021'!O27</f>
        <v>137563.727813</v>
      </c>
      <c r="S15" s="181">
        <f>'[2]AKAS 2021'!P30</f>
        <v>50</v>
      </c>
      <c r="T15" s="181">
        <f>'[2]AKAS 2021'!Q30</f>
        <v>50</v>
      </c>
      <c r="U15" s="373">
        <f t="shared" si="3"/>
        <v>137663.727813</v>
      </c>
      <c r="V15" s="181">
        <f>'[2]AKAS 2021'!S30</f>
        <v>50</v>
      </c>
      <c r="W15" s="181">
        <f>'[2]AKAS 2021'!T30</f>
        <v>50</v>
      </c>
      <c r="X15" s="181">
        <f>'[2]AKAS 2021'!U30</f>
        <v>50</v>
      </c>
      <c r="Y15" s="181">
        <f t="shared" si="4"/>
        <v>150</v>
      </c>
      <c r="Z15" s="180">
        <f t="shared" si="5"/>
        <v>138613.727813</v>
      </c>
      <c r="AB15" s="181">
        <f t="shared" si="6"/>
        <v>138613.727813</v>
      </c>
      <c r="AC15" s="181"/>
      <c r="AD15" s="182" t="s">
        <v>421</v>
      </c>
      <c r="AE15" s="183">
        <f>'[2]Resume Akas 2020'!C13</f>
        <v>22723</v>
      </c>
      <c r="AF15" s="183">
        <f>'[2]Resume Akas 2020'!N13</f>
        <v>13799.780524</v>
      </c>
      <c r="AG15" s="183">
        <f t="shared" si="7"/>
        <v>138613.727813</v>
      </c>
      <c r="AH15" s="184">
        <f t="shared" ref="AH15:AI40" si="10">AF15/AE15*100</f>
        <v>60.730451630506529</v>
      </c>
      <c r="AI15" s="184">
        <f t="shared" si="10"/>
        <v>1004.4632780349573</v>
      </c>
    </row>
    <row r="16" spans="2:37" ht="20" customHeight="1" x14ac:dyDescent="0.35">
      <c r="B16" s="160" t="s">
        <v>422</v>
      </c>
      <c r="C16" s="186">
        <f>-'[1]AK Opr Juni GP Des (1)'!D16-'[1]AK Opr Juni GP Des (1)'!D17-'[1]AK Opr Juni GP Des (1)'!D18-'[1]AK Opr Juni GP Des (1)'!D19</f>
        <v>-166008</v>
      </c>
      <c r="D16" s="186">
        <f>-370537-25000</f>
        <v>-395537</v>
      </c>
      <c r="E16" s="186">
        <v>-298656</v>
      </c>
      <c r="F16" s="187">
        <v>-112488</v>
      </c>
      <c r="G16" s="186"/>
      <c r="H16" s="186">
        <f t="shared" si="8"/>
        <v>-411144</v>
      </c>
      <c r="I16" s="462">
        <f t="shared" si="9"/>
        <v>-79751</v>
      </c>
      <c r="J16" s="186">
        <f>-'[2]AKAS 2021'!G18</f>
        <v>0</v>
      </c>
      <c r="K16" s="186">
        <f>-'[2]AKAS 2021'!H18</f>
        <v>0</v>
      </c>
      <c r="L16" s="193">
        <f>-54328+27157-52580</f>
        <v>-79751</v>
      </c>
      <c r="M16" s="186">
        <f t="shared" si="1"/>
        <v>-79751</v>
      </c>
      <c r="N16" s="186">
        <f>-'[2]AKAS 2021'!K18</f>
        <v>0</v>
      </c>
      <c r="O16" s="186">
        <f>-'[2]AKAS 2021'!L18</f>
        <v>0</v>
      </c>
      <c r="P16" s="186">
        <f>-'[2]AKAS 2021'!M18</f>
        <v>0</v>
      </c>
      <c r="Q16" s="181">
        <f t="shared" si="2"/>
        <v>0</v>
      </c>
      <c r="R16" s="186">
        <v>0</v>
      </c>
      <c r="S16" s="186">
        <f>-'[2]AKAS 2021'!P18</f>
        <v>0</v>
      </c>
      <c r="T16" s="186">
        <f>-'[2]AKAS 2021'!Q18</f>
        <v>0</v>
      </c>
      <c r="U16" s="181">
        <f t="shared" si="3"/>
        <v>0</v>
      </c>
      <c r="V16" s="186">
        <f>-'[2]AKAS 2021'!S18</f>
        <v>0</v>
      </c>
      <c r="W16" s="188">
        <f>-'[2]AKAS 2021'!T18</f>
        <v>0</v>
      </c>
      <c r="X16" s="186">
        <f>-'[2]AKAS 2021'!U18</f>
        <v>0</v>
      </c>
      <c r="Y16" s="186">
        <f t="shared" si="4"/>
        <v>0</v>
      </c>
      <c r="Z16" s="180">
        <f t="shared" si="5"/>
        <v>-79751</v>
      </c>
      <c r="AB16" s="186">
        <f t="shared" si="6"/>
        <v>-79751</v>
      </c>
      <c r="AC16" s="189"/>
      <c r="AD16" s="182" t="s">
        <v>422</v>
      </c>
      <c r="AE16" s="190">
        <f>'[2]Resume Akas 2020'!C14</f>
        <v>-166008</v>
      </c>
      <c r="AF16" s="190">
        <f>'[2]Resume Akas 2020'!N14</f>
        <v>-375468.04922599997</v>
      </c>
      <c r="AG16" s="190">
        <f t="shared" si="7"/>
        <v>-79751</v>
      </c>
      <c r="AH16" s="184">
        <f t="shared" si="10"/>
        <v>226.17467183870653</v>
      </c>
      <c r="AI16" s="184">
        <f t="shared" si="10"/>
        <v>21.24042249783993</v>
      </c>
      <c r="AK16" s="180">
        <f>AG11+AG15</f>
        <v>460695.7339966374</v>
      </c>
    </row>
    <row r="17" spans="2:37" ht="20" customHeight="1" x14ac:dyDescent="0.35">
      <c r="B17" s="160" t="s">
        <v>423</v>
      </c>
      <c r="C17" s="186">
        <v>0</v>
      </c>
      <c r="D17" s="186">
        <v>-13457</v>
      </c>
      <c r="E17" s="186">
        <v>-16640</v>
      </c>
      <c r="F17" s="186">
        <v>-3000</v>
      </c>
      <c r="G17" s="186"/>
      <c r="H17" s="186">
        <f t="shared" si="8"/>
        <v>-19640</v>
      </c>
      <c r="I17" s="186">
        <f t="shared" si="9"/>
        <v>-23058</v>
      </c>
      <c r="J17" s="186">
        <f>-'[2]LR BLN 2021'!H15</f>
        <v>-1840</v>
      </c>
      <c r="K17" s="186">
        <f>-'[2]LR BLN 2021'!I15</f>
        <v>-1840</v>
      </c>
      <c r="L17" s="186">
        <f>-'[2]LR BLN 2021'!J15</f>
        <v>-1840</v>
      </c>
      <c r="M17" s="186">
        <f t="shared" si="1"/>
        <v>-5520</v>
      </c>
      <c r="N17" s="186">
        <f>-'[2]LR BLN 2021'!L15</f>
        <v>-1840</v>
      </c>
      <c r="O17" s="186">
        <f>-'[2]LR BLN 2021'!M15</f>
        <v>-1840</v>
      </c>
      <c r="P17" s="186">
        <f>-'[2]LR BLN 2021'!N15</f>
        <v>-2790</v>
      </c>
      <c r="Q17" s="186">
        <f t="shared" si="2"/>
        <v>-6470</v>
      </c>
      <c r="R17" s="186">
        <f>-'[2]LR BLN 2021'!P15</f>
        <v>-1840</v>
      </c>
      <c r="S17" s="186">
        <f>-'[2]LR BLN 2021'!Q15</f>
        <v>-1840</v>
      </c>
      <c r="T17" s="186">
        <f>-'[2]LR BLN 2021'!R15</f>
        <v>-1840</v>
      </c>
      <c r="U17" s="186">
        <f t="shared" si="3"/>
        <v>-5520</v>
      </c>
      <c r="V17" s="186">
        <f>-'[2]LR BLN 2021'!T15</f>
        <v>-1840</v>
      </c>
      <c r="W17" s="186">
        <f>-'[2]LR BLN 2021'!U15</f>
        <v>-1840</v>
      </c>
      <c r="X17" s="186">
        <f>-'[2]LR BLN 2021'!V15</f>
        <v>-1868</v>
      </c>
      <c r="Y17" s="186">
        <f t="shared" si="4"/>
        <v>-5548</v>
      </c>
      <c r="Z17" s="180">
        <f t="shared" si="5"/>
        <v>-23058</v>
      </c>
      <c r="AB17" s="186">
        <f t="shared" si="6"/>
        <v>-23058</v>
      </c>
      <c r="AC17" s="189"/>
      <c r="AD17" s="182" t="s">
        <v>423</v>
      </c>
      <c r="AE17" s="183">
        <f>'[2]Resume Akas 2020'!C15</f>
        <v>0</v>
      </c>
      <c r="AF17" s="190">
        <f>'[2]Resume Akas 2020'!N15</f>
        <v>-18549.317158999998</v>
      </c>
      <c r="AG17" s="190">
        <f t="shared" si="7"/>
        <v>-23058</v>
      </c>
      <c r="AH17" s="184">
        <v>0</v>
      </c>
      <c r="AI17" s="184">
        <f t="shared" si="10"/>
        <v>124.30646261720972</v>
      </c>
    </row>
    <row r="18" spans="2:37" ht="20" customHeight="1" x14ac:dyDescent="0.35">
      <c r="B18" s="160" t="s">
        <v>424</v>
      </c>
      <c r="C18" s="186">
        <f>-'[1]AK Opr Juni GP Des (1)'!D49</f>
        <v>-10503</v>
      </c>
      <c r="D18" s="186">
        <v>-1668</v>
      </c>
      <c r="E18" s="186">
        <v>-2065</v>
      </c>
      <c r="F18" s="186">
        <v>-50</v>
      </c>
      <c r="G18" s="186"/>
      <c r="H18" s="186">
        <f t="shared" si="8"/>
        <v>-2115</v>
      </c>
      <c r="I18" s="186">
        <f t="shared" si="9"/>
        <v>-75077.840742036497</v>
      </c>
      <c r="J18" s="186">
        <f>-'[2]AKAS 2021'!G48-'[2]AKAS 2021'!G49</f>
        <v>-1932.4920371018247</v>
      </c>
      <c r="K18" s="186">
        <f>-'[2]AKAS 2021'!H48-'[2]AKAS 2021'!H49</f>
        <v>-1932.4920371018247</v>
      </c>
      <c r="L18" s="186">
        <f>-'[2]AKAS 2021'!I48-'[2]AKAS 2021'!I49</f>
        <v>-1932.4920371018247</v>
      </c>
      <c r="M18" s="186">
        <f t="shared" si="1"/>
        <v>-5797.4761113054738</v>
      </c>
      <c r="N18" s="191">
        <f>-'[2]AKAS 2021'!K48-'[2]AKAS 2021'!K49+3000</f>
        <v>-36648.820061836377</v>
      </c>
      <c r="O18" s="186">
        <f>-'[2]AKAS 2021'!L48-'[2]AKAS 2021'!L49-1500</f>
        <v>-4720.8200618363744</v>
      </c>
      <c r="P18" s="186">
        <f>-'[2]AKAS 2021'!M48-'[2]AKAS 2021'!M49-1500</f>
        <v>-4720.8200618363744</v>
      </c>
      <c r="Q18" s="192">
        <f t="shared" si="2"/>
        <v>-46090.460185509124</v>
      </c>
      <c r="R18" s="186">
        <f>-'[2]AKAS 2021'!O48-'[2]AKAS 2021'!O49</f>
        <v>-3864.9840742036486</v>
      </c>
      <c r="S18" s="186">
        <f>-'[2]AKAS 2021'!P48-'[2]AKAS 2021'!P49</f>
        <v>-3864.9840742036486</v>
      </c>
      <c r="T18" s="186">
        <f>-'[2]AKAS 2021'!Q48-'[2]AKAS 2021'!Q49</f>
        <v>-3864.9840742036486</v>
      </c>
      <c r="U18" s="186">
        <f t="shared" si="3"/>
        <v>-11594.952222610946</v>
      </c>
      <c r="V18" s="186">
        <f>-'[2]AKAS 2021'!S48-'[2]AKAS 2021'!S49</f>
        <v>-3864.9840742036486</v>
      </c>
      <c r="W18" s="186">
        <f>-'[2]AKAS 2021'!T48-'[2]AKAS 2021'!T49</f>
        <v>-3864.9840742036486</v>
      </c>
      <c r="X18" s="186">
        <f>-'[2]AKAS 2021'!U48-'[2]AKAS 2021'!U49</f>
        <v>-3864.9840742036486</v>
      </c>
      <c r="Y18" s="186">
        <f t="shared" si="4"/>
        <v>-11594.952222610946</v>
      </c>
      <c r="Z18" s="180">
        <f t="shared" si="5"/>
        <v>-75077.840742036482</v>
      </c>
      <c r="AB18" s="186">
        <f t="shared" si="6"/>
        <v>-75077.840742036497</v>
      </c>
      <c r="AC18" s="189"/>
      <c r="AD18" s="182" t="s">
        <v>424</v>
      </c>
      <c r="AE18" s="190">
        <f>'[2]Resume Akas 2020'!C16</f>
        <v>-10503</v>
      </c>
      <c r="AF18" s="190">
        <f>'[2]Resume Akas 2020'!N16</f>
        <v>-4637.7702060000001</v>
      </c>
      <c r="AG18" s="190">
        <f t="shared" si="7"/>
        <v>-75077.840742036497</v>
      </c>
      <c r="AH18" s="184">
        <f t="shared" si="10"/>
        <v>44.15662387889175</v>
      </c>
      <c r="AI18" s="184">
        <f t="shared" si="10"/>
        <v>1618.834858288287</v>
      </c>
    </row>
    <row r="19" spans="2:37" ht="20" customHeight="1" thickBot="1" x14ac:dyDescent="0.4">
      <c r="B19" s="160" t="s">
        <v>425</v>
      </c>
      <c r="C19" s="193">
        <f>-'[1]AK Opr Juni GP Des (1)'!D36-'[1]AK Opr Juni GP Des (1)'!D37-'[1]AK Opr Juni GP Des (1)'!D38-'[1]AK Opr Juni GP Des (1)'!D39-'[1]AK Opr Juni GP Des (1)'!D40-'[1]AK Opr Juni GP Des (1)'!D41-'[1]AK Opr Juni GP Des (1)'!D42-'[1]AK Opr Juni GP Des (1)'!D43-'[1]AK Opr Juni GP Des (1)'!D44-'[1]AK Opr Juni GP Des (1)'!D45-'[1]AK Opr Juni GP Des (1)'!D46-'[1]AK Opr Juni GP Des (1)'!D47-'[1]AK Opr Juni GP Des (1)'!D48-'[1]AK Opr Juni GP Des (1)'!D50-'[1]AK Opr Juni GP Des (1)'!D51-'[1]AK Opr Juni GP Des (1)'!D52-'[1]AK Opr Juni GP Des (1)'!D53</f>
        <v>-125475</v>
      </c>
      <c r="D19" s="193">
        <v>-10836</v>
      </c>
      <c r="E19" s="193">
        <v>-54293</v>
      </c>
      <c r="F19" s="193">
        <v>-1496</v>
      </c>
      <c r="G19" s="193"/>
      <c r="H19" s="193">
        <f t="shared" si="8"/>
        <v>-55789</v>
      </c>
      <c r="I19" s="193">
        <f t="shared" si="9"/>
        <v>-55022.37469127326</v>
      </c>
      <c r="J19" s="193">
        <f>-'[2]AKAS 2021'!G16-J17</f>
        <v>-3984.3281443903306</v>
      </c>
      <c r="K19" s="193">
        <f>-'[2]AKAS 2021'!H16-K17</f>
        <v>-3984.3281443903306</v>
      </c>
      <c r="L19" s="193">
        <f>-'[2]AKAS 2021'!I16-L17</f>
        <v>-3984.3281443903306</v>
      </c>
      <c r="M19" s="193">
        <f t="shared" si="1"/>
        <v>-11952.984433170992</v>
      </c>
      <c r="N19" s="193">
        <f>-'[2]AKAS 2021'!K16-N17</f>
        <v>-4694.0177242727705</v>
      </c>
      <c r="O19" s="193">
        <f>-'[2]AKAS 2021'!L16-O17</f>
        <v>-4694.0177242727705</v>
      </c>
      <c r="P19" s="193">
        <f>-'[2]AKAS 2021'!M16-P17</f>
        <v>-4694.0177242727705</v>
      </c>
      <c r="Q19" s="193">
        <f t="shared" si="2"/>
        <v>-14082.053172818312</v>
      </c>
      <c r="R19" s="186">
        <f>-'[2]AKAS 2021'!O16-R17</f>
        <v>-4721.4934757139936</v>
      </c>
      <c r="S19" s="186">
        <f>-'[2]AKAS 2021'!P16-S17</f>
        <v>-4721.4934757139936</v>
      </c>
      <c r="T19" s="186">
        <f>-'[2]AKAS 2021'!Q16-T17</f>
        <v>-4721.4934757139936</v>
      </c>
      <c r="U19" s="186">
        <f t="shared" si="3"/>
        <v>-14164.480427141982</v>
      </c>
      <c r="V19" s="193">
        <f>-'[2]AKAS 2021'!S16-V17</f>
        <v>-4912.9522193806588</v>
      </c>
      <c r="W19" s="193">
        <f>-'[2]AKAS 2021'!T16-W17</f>
        <v>-4912.9522193806588</v>
      </c>
      <c r="X19" s="193">
        <f>-'[2]AKAS 2021'!U16-X17</f>
        <v>-4996.9522193806588</v>
      </c>
      <c r="Y19" s="193">
        <f t="shared" si="4"/>
        <v>-14822.856658141976</v>
      </c>
      <c r="Z19" s="180">
        <f t="shared" si="5"/>
        <v>-55022.37469127326</v>
      </c>
      <c r="AB19" s="193">
        <f t="shared" si="6"/>
        <v>-55022.37469127326</v>
      </c>
      <c r="AC19" s="189"/>
      <c r="AD19" s="194" t="s">
        <v>425</v>
      </c>
      <c r="AE19" s="195">
        <f>'[2]Resume Akas 2020'!C17</f>
        <v>-125475</v>
      </c>
      <c r="AF19" s="195">
        <f>'[2]Resume Akas 2020'!N17</f>
        <v>-51007.371348000001</v>
      </c>
      <c r="AG19" s="195">
        <f t="shared" si="7"/>
        <v>-55022.37469127326</v>
      </c>
      <c r="AH19" s="196">
        <f t="shared" si="10"/>
        <v>40.651421676031077</v>
      </c>
      <c r="AI19" s="196">
        <f t="shared" si="10"/>
        <v>107.87141786994026</v>
      </c>
    </row>
    <row r="20" spans="2:37" s="162" customFormat="1" ht="35.65" customHeight="1" thickBot="1" x14ac:dyDescent="0.4">
      <c r="B20" s="197" t="s">
        <v>426</v>
      </c>
      <c r="C20" s="198">
        <f>SUM(C11:C19)</f>
        <v>58046</v>
      </c>
      <c r="D20" s="198">
        <f>SUM(D11:D19)</f>
        <v>-379918</v>
      </c>
      <c r="E20" s="198">
        <f t="shared" ref="E20:F20" si="11">SUM(E11:E19)</f>
        <v>-357944</v>
      </c>
      <c r="F20" s="198">
        <f t="shared" si="11"/>
        <v>-113479</v>
      </c>
      <c r="G20" s="198"/>
      <c r="H20" s="198">
        <f t="shared" si="8"/>
        <v>-471423</v>
      </c>
      <c r="I20" s="198">
        <f t="shared" si="9"/>
        <v>227786.51856332767</v>
      </c>
      <c r="J20" s="198">
        <f t="shared" ref="J20:L20" si="12">SUM(J11:J19)</f>
        <v>8397.2801276897153</v>
      </c>
      <c r="K20" s="198">
        <f t="shared" si="12"/>
        <v>8397.2801276897153</v>
      </c>
      <c r="L20" s="198">
        <f t="shared" si="12"/>
        <v>-70853.719872310277</v>
      </c>
      <c r="M20" s="198">
        <f>SUM(M11:M19)</f>
        <v>-54059.159616930847</v>
      </c>
      <c r="N20" s="198">
        <f t="shared" ref="N20:P20" si="13">SUM(N11:N19)</f>
        <v>-16292.670604139363</v>
      </c>
      <c r="O20" s="198">
        <f t="shared" si="13"/>
        <v>15635.329395860641</v>
      </c>
      <c r="P20" s="198">
        <f t="shared" si="13"/>
        <v>14685.329395860641</v>
      </c>
      <c r="Q20" s="198">
        <f>SUM(Q11:Q19)</f>
        <v>14027.988187581919</v>
      </c>
      <c r="R20" s="198">
        <f>SUM(R11:R19)</f>
        <v>159345.4508814461</v>
      </c>
      <c r="S20" s="198">
        <f t="shared" ref="S20:Y20" si="14">SUM(S11:S19)</f>
        <v>21831.723068446096</v>
      </c>
      <c r="T20" s="198">
        <f t="shared" si="14"/>
        <v>21831.723068446096</v>
      </c>
      <c r="U20" s="198">
        <f t="shared" si="14"/>
        <v>203008.89701833829</v>
      </c>
      <c r="V20" s="198">
        <f t="shared" si="14"/>
        <v>21640.264324779429</v>
      </c>
      <c r="W20" s="198">
        <f t="shared" si="14"/>
        <v>21640.264324779429</v>
      </c>
      <c r="X20" s="198">
        <f t="shared" si="14"/>
        <v>21528.264324779429</v>
      </c>
      <c r="Y20" s="198">
        <f t="shared" si="14"/>
        <v>64808.792974338299</v>
      </c>
      <c r="Z20" s="180">
        <f t="shared" si="5"/>
        <v>227786.5185633277</v>
      </c>
      <c r="AB20" s="199">
        <f t="shared" si="6"/>
        <v>227786.51856332767</v>
      </c>
      <c r="AC20" s="200"/>
      <c r="AD20" s="201" t="s">
        <v>426</v>
      </c>
      <c r="AE20" s="202">
        <f>'[2]Resume Akas 2020'!C18</f>
        <v>58046</v>
      </c>
      <c r="AF20" s="203">
        <f>'[2]Resume Akas 2020'!N18</f>
        <v>-404420.72741500003</v>
      </c>
      <c r="AG20" s="203">
        <f t="shared" si="7"/>
        <v>227786.51856332767</v>
      </c>
      <c r="AH20" s="204">
        <f t="shared" si="10"/>
        <v>-696.72454159632014</v>
      </c>
      <c r="AI20" s="204">
        <f t="shared" si="10"/>
        <v>-56.3241454065193</v>
      </c>
      <c r="AK20" s="205">
        <f>(AG11+AG15)+AG16+AG17+AG18+AG19</f>
        <v>227786.51856332767</v>
      </c>
    </row>
    <row r="21" spans="2:37" ht="7.15" customHeight="1" x14ac:dyDescent="0.35">
      <c r="D21" s="181"/>
      <c r="E21" s="181"/>
      <c r="F21" s="181"/>
      <c r="G21" s="181"/>
      <c r="H21" s="181"/>
      <c r="I21" s="181">
        <f t="shared" si="0"/>
        <v>0</v>
      </c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0">
        <f t="shared" si="5"/>
        <v>0</v>
      </c>
      <c r="AB21" s="160">
        <f t="shared" si="6"/>
        <v>0</v>
      </c>
      <c r="AE21" s="180"/>
      <c r="AF21" s="180"/>
      <c r="AG21" s="180"/>
      <c r="AH21" s="206"/>
      <c r="AI21" s="206"/>
      <c r="AK21" s="180">
        <f>SUM(AF11:AF19)</f>
        <v>-404420.72741500003</v>
      </c>
    </row>
    <row r="22" spans="2:37" ht="20" customHeight="1" x14ac:dyDescent="0.35">
      <c r="B22" s="175" t="s">
        <v>427</v>
      </c>
      <c r="C22" s="175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180">
        <f t="shared" si="5"/>
        <v>0</v>
      </c>
      <c r="AB22" s="175">
        <f t="shared" si="6"/>
        <v>0</v>
      </c>
      <c r="AC22" s="157">
        <v>2</v>
      </c>
      <c r="AD22" s="175" t="s">
        <v>427</v>
      </c>
      <c r="AE22" s="180"/>
      <c r="AF22" s="180"/>
      <c r="AG22" s="180"/>
      <c r="AH22" s="206"/>
      <c r="AI22" s="206"/>
    </row>
    <row r="23" spans="2:37" ht="20" customHeight="1" x14ac:dyDescent="0.35">
      <c r="B23" s="160" t="s">
        <v>428</v>
      </c>
      <c r="C23" s="186">
        <f>-'[1]AK Opr Juni GP Des (1)'!D67-'[1]AK Opr Juni GP Des (1)'!D69-'[1]AK Opr Juni GP Des (1)'!D70-'[1]AK Opr Juni GP Des (1)'!D71</f>
        <v>-176753</v>
      </c>
      <c r="D23" s="186">
        <v>-162670</v>
      </c>
      <c r="E23" s="186">
        <f>-331125-9117-138</f>
        <v>-340380</v>
      </c>
      <c r="F23" s="186">
        <v>0</v>
      </c>
      <c r="G23" s="186"/>
      <c r="H23" s="186">
        <f t="shared" ref="H23:H26" si="15">F23+E23</f>
        <v>-340380</v>
      </c>
      <c r="I23" s="186">
        <f t="shared" ref="I23:I26" si="16">M23+Q23+U23+Y23</f>
        <v>0</v>
      </c>
      <c r="J23" s="186">
        <f>-'[2]AKAS 2021'!G68</f>
        <v>0</v>
      </c>
      <c r="K23" s="186">
        <f>-'[2]AKAS 2021'!H68</f>
        <v>0</v>
      </c>
      <c r="L23" s="186">
        <f>-'[2]AKAS 2021'!I68</f>
        <v>0</v>
      </c>
      <c r="M23" s="181">
        <f t="shared" ref="M23:M25" si="17">L23+K23+J23</f>
        <v>0</v>
      </c>
      <c r="N23" s="181">
        <f>-'[2]AKAS 2021'!K68</f>
        <v>0</v>
      </c>
      <c r="O23" s="181">
        <f>-'[2]AKAS 2021'!L68</f>
        <v>0</v>
      </c>
      <c r="P23" s="181">
        <f>-'[2]AKAS 2021'!M68</f>
        <v>0</v>
      </c>
      <c r="Q23" s="186">
        <f t="shared" ref="Q23:Q25" si="18">P23+O23+N23</f>
        <v>0</v>
      </c>
      <c r="R23" s="186">
        <f>-'[2]AKAS 2021'!O68</f>
        <v>0</v>
      </c>
      <c r="S23" s="186">
        <f>-'[2]AKAS 2021'!P68</f>
        <v>0</v>
      </c>
      <c r="T23" s="186">
        <f>-'[2]AKAS 2021'!Q68</f>
        <v>0</v>
      </c>
      <c r="U23" s="186">
        <f t="shared" ref="U23:U25" si="19">T23+S23+R23</f>
        <v>0</v>
      </c>
      <c r="V23" s="186">
        <f>-'[2]AKAS 2021'!S68</f>
        <v>0</v>
      </c>
      <c r="W23" s="186">
        <f>-'[2]AKAS 2021'!T68</f>
        <v>0</v>
      </c>
      <c r="X23" s="208">
        <v>0</v>
      </c>
      <c r="Y23" s="186">
        <f t="shared" ref="Y23:Y25" si="20">X23+W23+V23</f>
        <v>0</v>
      </c>
      <c r="Z23" s="180">
        <f t="shared" si="5"/>
        <v>0</v>
      </c>
      <c r="AB23" s="186">
        <f t="shared" si="6"/>
        <v>0</v>
      </c>
      <c r="AC23" s="189"/>
      <c r="AD23" s="182" t="s">
        <v>428</v>
      </c>
      <c r="AE23" s="190">
        <f>'[2]Resume Akas 2020'!C21</f>
        <v>-176753</v>
      </c>
      <c r="AF23" s="190">
        <f>'[2]Resume Akas 2020'!N21</f>
        <v>-331724.93839999998</v>
      </c>
      <c r="AG23" s="190">
        <f t="shared" si="7"/>
        <v>0</v>
      </c>
      <c r="AH23" s="184">
        <f t="shared" si="10"/>
        <v>187.67711914366373</v>
      </c>
      <c r="AI23" s="184">
        <f t="shared" si="10"/>
        <v>0</v>
      </c>
    </row>
    <row r="24" spans="2:37" ht="20" customHeight="1" x14ac:dyDescent="0.35">
      <c r="B24" s="160" t="s">
        <v>429</v>
      </c>
      <c r="C24" s="181">
        <v>0</v>
      </c>
      <c r="D24" s="181">
        <v>0</v>
      </c>
      <c r="E24" s="181">
        <f>-'[3]Rincian Arus Kas 20'!F70</f>
        <v>0</v>
      </c>
      <c r="F24" s="181">
        <v>0</v>
      </c>
      <c r="G24" s="181"/>
      <c r="H24" s="181">
        <f t="shared" si="15"/>
        <v>0</v>
      </c>
      <c r="I24" s="186">
        <f t="shared" si="16"/>
        <v>-40000</v>
      </c>
      <c r="J24" s="186">
        <f>-'[2]AKAS 2021'!G69</f>
        <v>0</v>
      </c>
      <c r="K24" s="186">
        <f>-'[2]AKAS 2021'!H69</f>
        <v>0</v>
      </c>
      <c r="L24" s="186">
        <f>-'[2]AKAS 2021'!I69</f>
        <v>0</v>
      </c>
      <c r="M24" s="181">
        <f t="shared" si="17"/>
        <v>0</v>
      </c>
      <c r="N24" s="181">
        <f>-'[2]AKAS 2021'!K69</f>
        <v>0</v>
      </c>
      <c r="O24" s="181">
        <f>-'[2]AKAS 2021'!L69</f>
        <v>0</v>
      </c>
      <c r="P24" s="181">
        <f>-'[2]AKAS 2021'!M69</f>
        <v>0</v>
      </c>
      <c r="Q24" s="186">
        <f t="shared" si="18"/>
        <v>0</v>
      </c>
      <c r="R24" s="186">
        <f>-'[2]AKAS 2021'!O69</f>
        <v>0</v>
      </c>
      <c r="S24" s="186">
        <f>-'[2]AKAS 2021'!P69</f>
        <v>0</v>
      </c>
      <c r="T24" s="186">
        <f>-'[2]AKAS 2021'!Q69</f>
        <v>0</v>
      </c>
      <c r="U24" s="186">
        <f t="shared" si="19"/>
        <v>0</v>
      </c>
      <c r="V24" s="181">
        <f>-'[2]AKAS 2021'!S69</f>
        <v>0</v>
      </c>
      <c r="W24" s="181">
        <f>-'[2]AKAS 2021'!T69</f>
        <v>0</v>
      </c>
      <c r="X24" s="208">
        <f>-'[2]AKAS 2021'!U68</f>
        <v>-40000</v>
      </c>
      <c r="Y24" s="186">
        <f t="shared" si="20"/>
        <v>-40000</v>
      </c>
      <c r="Z24" s="180">
        <f t="shared" si="5"/>
        <v>-40000</v>
      </c>
      <c r="AB24" s="181">
        <f t="shared" si="6"/>
        <v>-40000</v>
      </c>
      <c r="AC24" s="181"/>
      <c r="AD24" s="182" t="s">
        <v>429</v>
      </c>
      <c r="AE24" s="190">
        <f>'[2]Resume Akas 2020'!C22</f>
        <v>0</v>
      </c>
      <c r="AF24" s="190">
        <f>'[2]Resume Akas 2020'!N22</f>
        <v>-23.067</v>
      </c>
      <c r="AG24" s="190">
        <v>0</v>
      </c>
      <c r="AH24" s="184">
        <v>0</v>
      </c>
      <c r="AI24" s="184">
        <f t="shared" si="10"/>
        <v>0</v>
      </c>
    </row>
    <row r="25" spans="2:37" ht="20" customHeight="1" thickBot="1" x14ac:dyDescent="0.4">
      <c r="B25" s="160" t="s">
        <v>430</v>
      </c>
      <c r="C25" s="186">
        <f>-'[1]AK Opr Juni GP Des (1)'!D68</f>
        <v>-150105</v>
      </c>
      <c r="D25" s="186">
        <f>-'[3]Rincian Arus Kas 20'!E68</f>
        <v>0</v>
      </c>
      <c r="E25" s="186">
        <f>-'[3]Rincian Arus Kas 20'!F68</f>
        <v>0</v>
      </c>
      <c r="F25" s="186">
        <v>0</v>
      </c>
      <c r="G25" s="186"/>
      <c r="H25" s="186">
        <f t="shared" si="15"/>
        <v>0</v>
      </c>
      <c r="I25" s="186">
        <f t="shared" si="16"/>
        <v>0</v>
      </c>
      <c r="J25" s="186">
        <f>-'[2]AKAS 2021'!G70</f>
        <v>0</v>
      </c>
      <c r="K25" s="186">
        <f>-'[2]AKAS 2021'!H70</f>
        <v>0</v>
      </c>
      <c r="L25" s="186">
        <f>-'[2]AKAS 2021'!I70</f>
        <v>0</v>
      </c>
      <c r="M25" s="181">
        <f t="shared" si="17"/>
        <v>0</v>
      </c>
      <c r="N25" s="181">
        <f>-'[2]AKAS 2021'!K70</f>
        <v>0</v>
      </c>
      <c r="O25" s="181">
        <f>-'[2]AKAS 2021'!L70</f>
        <v>0</v>
      </c>
      <c r="P25" s="181">
        <f>-'[2]AKAS 2021'!M70</f>
        <v>0</v>
      </c>
      <c r="Q25" s="186">
        <f t="shared" si="18"/>
        <v>0</v>
      </c>
      <c r="R25" s="186">
        <f>-'[2]AKAS 2021'!O70</f>
        <v>0</v>
      </c>
      <c r="S25" s="186">
        <f>-'[2]AKAS 2021'!P70</f>
        <v>0</v>
      </c>
      <c r="T25" s="186">
        <f>-'[2]AKAS 2021'!Q70</f>
        <v>0</v>
      </c>
      <c r="U25" s="186">
        <f t="shared" si="19"/>
        <v>0</v>
      </c>
      <c r="V25" s="186">
        <f>-'[2]AKAS 2021'!S70</f>
        <v>0</v>
      </c>
      <c r="W25" s="186">
        <f>-'[2]AKAS 2021'!T70</f>
        <v>0</v>
      </c>
      <c r="X25" s="186">
        <f>-'[2]AKAS 2021'!U70</f>
        <v>0</v>
      </c>
      <c r="Y25" s="186">
        <f t="shared" si="20"/>
        <v>0</v>
      </c>
      <c r="Z25" s="180">
        <f t="shared" si="5"/>
        <v>0</v>
      </c>
      <c r="AB25" s="186">
        <f t="shared" si="6"/>
        <v>0</v>
      </c>
      <c r="AC25" s="189"/>
      <c r="AD25" s="182" t="s">
        <v>430</v>
      </c>
      <c r="AE25" s="190">
        <f>'[2]Resume Akas 2020'!C23</f>
        <v>-150105</v>
      </c>
      <c r="AF25" s="190">
        <f>'[2]Resume Akas 2020'!N23</f>
        <v>-9017.2679000000007</v>
      </c>
      <c r="AG25" s="190">
        <f>X24</f>
        <v>-40000</v>
      </c>
      <c r="AH25" s="184">
        <f t="shared" si="10"/>
        <v>6.0073068185603411</v>
      </c>
      <c r="AI25" s="184">
        <f t="shared" si="10"/>
        <v>443.5933416151471</v>
      </c>
    </row>
    <row r="26" spans="2:37" s="162" customFormat="1" ht="20" customHeight="1" thickBot="1" x14ac:dyDescent="0.4">
      <c r="B26" s="197" t="s">
        <v>431</v>
      </c>
      <c r="C26" s="198">
        <f>SUM(C23:C25)</f>
        <v>-326858</v>
      </c>
      <c r="D26" s="198">
        <f>SUM(D23:D25)</f>
        <v>-162670</v>
      </c>
      <c r="E26" s="198">
        <f t="shared" ref="E26:F26" si="21">SUM(E23:E25)</f>
        <v>-340380</v>
      </c>
      <c r="F26" s="198">
        <f t="shared" si="21"/>
        <v>0</v>
      </c>
      <c r="G26" s="198"/>
      <c r="H26" s="198">
        <f t="shared" si="15"/>
        <v>-340380</v>
      </c>
      <c r="I26" s="198">
        <f t="shared" si="16"/>
        <v>-40000</v>
      </c>
      <c r="J26" s="198">
        <f>SUM(J23:J25)</f>
        <v>0</v>
      </c>
      <c r="K26" s="198">
        <f t="shared" ref="K26:L26" si="22">SUM(K23:K25)</f>
        <v>0</v>
      </c>
      <c r="L26" s="198">
        <f t="shared" si="22"/>
        <v>0</v>
      </c>
      <c r="M26" s="198">
        <f>SUM(M23:M25)</f>
        <v>0</v>
      </c>
      <c r="N26" s="198">
        <f t="shared" ref="N26:P26" si="23">SUM(N23:N25)</f>
        <v>0</v>
      </c>
      <c r="O26" s="198">
        <f t="shared" si="23"/>
        <v>0</v>
      </c>
      <c r="P26" s="198">
        <f t="shared" si="23"/>
        <v>0</v>
      </c>
      <c r="Q26" s="198">
        <f>SUM(Q23:Q25)</f>
        <v>0</v>
      </c>
      <c r="R26" s="198">
        <f>SUM(R23:R25)</f>
        <v>0</v>
      </c>
      <c r="S26" s="198">
        <f t="shared" ref="S26:Y26" si="24">SUM(S23:S25)</f>
        <v>0</v>
      </c>
      <c r="T26" s="198">
        <f t="shared" si="24"/>
        <v>0</v>
      </c>
      <c r="U26" s="198">
        <f t="shared" si="24"/>
        <v>0</v>
      </c>
      <c r="V26" s="198">
        <f t="shared" si="24"/>
        <v>0</v>
      </c>
      <c r="W26" s="198">
        <f t="shared" si="24"/>
        <v>0</v>
      </c>
      <c r="X26" s="198">
        <f t="shared" si="24"/>
        <v>-40000</v>
      </c>
      <c r="Y26" s="198">
        <f t="shared" si="24"/>
        <v>-40000</v>
      </c>
      <c r="Z26" s="180">
        <f t="shared" si="5"/>
        <v>-40000</v>
      </c>
      <c r="AB26" s="198">
        <f t="shared" si="6"/>
        <v>-40000</v>
      </c>
      <c r="AC26" s="200"/>
      <c r="AD26" s="201" t="s">
        <v>431</v>
      </c>
      <c r="AE26" s="203">
        <f>'[2]Resume Akas 2020'!C24</f>
        <v>-326858</v>
      </c>
      <c r="AF26" s="203">
        <f>'[2]Resume Akas 2020'!N24</f>
        <v>-340765.27329999994</v>
      </c>
      <c r="AG26" s="203">
        <f t="shared" si="7"/>
        <v>-40000</v>
      </c>
      <c r="AH26" s="209">
        <f t="shared" si="10"/>
        <v>104.25483644273659</v>
      </c>
      <c r="AI26" s="210">
        <f t="shared" si="10"/>
        <v>11.738285304906979</v>
      </c>
    </row>
    <row r="27" spans="2:37" ht="9" customHeight="1" x14ac:dyDescent="0.35">
      <c r="D27" s="181"/>
      <c r="E27" s="181"/>
      <c r="F27" s="181"/>
      <c r="G27" s="181"/>
      <c r="H27" s="181"/>
      <c r="I27" s="181">
        <f t="shared" si="0"/>
        <v>0</v>
      </c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0">
        <f t="shared" si="5"/>
        <v>0</v>
      </c>
      <c r="AB27" s="160">
        <f t="shared" si="6"/>
        <v>0</v>
      </c>
      <c r="AE27" s="180"/>
      <c r="AF27" s="180"/>
      <c r="AG27" s="180"/>
      <c r="AH27" s="206"/>
      <c r="AI27" s="206"/>
    </row>
    <row r="28" spans="2:37" ht="20" customHeight="1" x14ac:dyDescent="0.35">
      <c r="B28" s="175" t="s">
        <v>432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80">
        <f t="shared" si="5"/>
        <v>0</v>
      </c>
      <c r="AB28" s="175">
        <f t="shared" si="6"/>
        <v>0</v>
      </c>
      <c r="AC28" s="157">
        <v>3</v>
      </c>
      <c r="AD28" s="175" t="s">
        <v>432</v>
      </c>
      <c r="AE28" s="180"/>
      <c r="AF28" s="180"/>
      <c r="AG28" s="180"/>
      <c r="AH28" s="206"/>
      <c r="AI28" s="206"/>
    </row>
    <row r="29" spans="2:37" ht="20" customHeight="1" x14ac:dyDescent="0.35">
      <c r="B29" s="160" t="s">
        <v>433</v>
      </c>
      <c r="C29" s="180">
        <f>'[1]AK Opr Juni GP Des (1)'!D80+'[1]AK Opr Juni GP Des (1)'!D79</f>
        <v>264000</v>
      </c>
      <c r="D29" s="180">
        <f>'[3]Rincian Arus Kas 20'!E80</f>
        <v>239434</v>
      </c>
      <c r="E29" s="180">
        <v>314234</v>
      </c>
      <c r="F29" s="180">
        <v>0</v>
      </c>
      <c r="G29" s="180"/>
      <c r="H29" s="180">
        <f t="shared" ref="H29:H36" si="25">F29+E29</f>
        <v>314234</v>
      </c>
      <c r="I29" s="180">
        <f t="shared" ref="I29:I32" si="26">M29+Q29+U29+Y29</f>
        <v>0</v>
      </c>
      <c r="J29" s="180">
        <f>'[2]AKAS 2021'!G80</f>
        <v>0</v>
      </c>
      <c r="K29" s="180">
        <f>'[2]AKAS 2021'!H80</f>
        <v>0</v>
      </c>
      <c r="L29" s="435">
        <v>0</v>
      </c>
      <c r="M29" s="181">
        <f t="shared" ref="M29:M33" si="27">L29+K29+J29</f>
        <v>0</v>
      </c>
      <c r="N29" s="181">
        <f>'[2]AKAS 2021'!K80</f>
        <v>0</v>
      </c>
      <c r="O29" s="181">
        <f>'[2]AKAS 2021'!L80</f>
        <v>0</v>
      </c>
      <c r="P29" s="181">
        <f>'[2]AKAS 2021'!M80</f>
        <v>0</v>
      </c>
      <c r="Q29" s="186">
        <f t="shared" ref="Q29:Q33" si="28">P29+O29+N29</f>
        <v>0</v>
      </c>
      <c r="R29" s="189">
        <f>'[2]AKAS 2021'!O80</f>
        <v>0</v>
      </c>
      <c r="S29" s="189">
        <f>'[2]AKAS 2021'!P80</f>
        <v>0</v>
      </c>
      <c r="T29" s="189">
        <f>'[2]AKAS 2021'!Q80</f>
        <v>0</v>
      </c>
      <c r="U29" s="186">
        <f t="shared" ref="U29:U33" si="29">T29+S29+R29</f>
        <v>0</v>
      </c>
      <c r="V29" s="186">
        <f>'[2]AKAS 2021'!S80</f>
        <v>0</v>
      </c>
      <c r="W29" s="186">
        <f>'[2]AKAS 2021'!T80</f>
        <v>0</v>
      </c>
      <c r="X29" s="186">
        <f>'[2]AKAS 2021'!U80</f>
        <v>0</v>
      </c>
      <c r="Y29" s="186">
        <f t="shared" ref="Y29:Y33" si="30">X29+W29+V29</f>
        <v>0</v>
      </c>
      <c r="Z29" s="180">
        <f t="shared" si="5"/>
        <v>0</v>
      </c>
      <c r="AB29" s="180">
        <f t="shared" si="6"/>
        <v>0</v>
      </c>
      <c r="AC29" s="180"/>
      <c r="AD29" s="182" t="s">
        <v>433</v>
      </c>
      <c r="AE29" s="190">
        <f>'[2]Resume Akas 2020'!C27</f>
        <v>264000</v>
      </c>
      <c r="AF29" s="190">
        <f>'[2]Resume Akas 2020'!N27</f>
        <v>314234</v>
      </c>
      <c r="AG29" s="190">
        <f t="shared" si="7"/>
        <v>0</v>
      </c>
      <c r="AH29" s="184">
        <f t="shared" si="10"/>
        <v>119.02803030303031</v>
      </c>
      <c r="AI29" s="184">
        <f t="shared" si="10"/>
        <v>0</v>
      </c>
    </row>
    <row r="30" spans="2:37" s="240" customFormat="1" ht="20" customHeight="1" x14ac:dyDescent="0.35">
      <c r="B30" s="240" t="s">
        <v>486</v>
      </c>
      <c r="C30" s="241">
        <v>0</v>
      </c>
      <c r="D30" s="241">
        <v>0</v>
      </c>
      <c r="E30" s="241">
        <v>0</v>
      </c>
      <c r="F30" s="241">
        <v>20000</v>
      </c>
      <c r="G30" s="241"/>
      <c r="H30" s="241">
        <f t="shared" si="25"/>
        <v>20000</v>
      </c>
      <c r="I30" s="243">
        <f t="shared" si="26"/>
        <v>-20000</v>
      </c>
      <c r="J30" s="241">
        <v>20000</v>
      </c>
      <c r="K30" s="241"/>
      <c r="L30" s="241">
        <f>94000-40000</f>
        <v>54000</v>
      </c>
      <c r="M30" s="181">
        <f t="shared" si="27"/>
        <v>74000</v>
      </c>
      <c r="N30" s="242"/>
      <c r="O30" s="242"/>
      <c r="P30" s="242"/>
      <c r="Q30" s="186">
        <f t="shared" si="28"/>
        <v>0</v>
      </c>
      <c r="R30" s="244">
        <v>-94000</v>
      </c>
      <c r="S30" s="189">
        <f>'[2]AKAS 2021'!P81</f>
        <v>0</v>
      </c>
      <c r="T30" s="189">
        <f>'[2]AKAS 2021'!Q81</f>
        <v>0</v>
      </c>
      <c r="U30" s="186">
        <f t="shared" ref="U30" si="31">T30+S30+R30</f>
        <v>-94000</v>
      </c>
      <c r="V30" s="243"/>
      <c r="W30" s="243"/>
      <c r="X30" s="243"/>
      <c r="Y30" s="243"/>
      <c r="Z30" s="241"/>
      <c r="AB30" s="241"/>
      <c r="AC30" s="241"/>
      <c r="AD30" s="245"/>
      <c r="AE30" s="246"/>
      <c r="AF30" s="246"/>
      <c r="AG30" s="246"/>
      <c r="AH30" s="247"/>
      <c r="AI30" s="247"/>
    </row>
    <row r="31" spans="2:37" ht="20" customHeight="1" x14ac:dyDescent="0.35">
      <c r="B31" s="160" t="s">
        <v>434</v>
      </c>
      <c r="C31" s="180">
        <f>+'[1]AK Opr Juni GP Des (1)'!D77</f>
        <v>330000</v>
      </c>
      <c r="D31" s="180">
        <f>'[3]Rincian Arus Kas 20'!E77</f>
        <v>366724.09543799999</v>
      </c>
      <c r="E31" s="180">
        <v>523970</v>
      </c>
      <c r="F31" s="180">
        <v>17610</v>
      </c>
      <c r="G31" s="180"/>
      <c r="H31" s="180">
        <f t="shared" si="25"/>
        <v>541580</v>
      </c>
      <c r="I31" s="186">
        <f t="shared" si="26"/>
        <v>19010</v>
      </c>
      <c r="J31" s="180">
        <f>'[2]AKAS 2021'!G77</f>
        <v>0</v>
      </c>
      <c r="K31" s="180">
        <f>'[2]AKAS 2021'!H77</f>
        <v>0</v>
      </c>
      <c r="L31" s="435">
        <v>19010</v>
      </c>
      <c r="M31" s="188">
        <f t="shared" si="27"/>
        <v>19010</v>
      </c>
      <c r="N31" s="181">
        <f>'[2]AKAS 2021'!K77</f>
        <v>0</v>
      </c>
      <c r="O31" s="181">
        <f>'[2]AKAS 2021'!L77</f>
        <v>0</v>
      </c>
      <c r="P31" s="181">
        <f>'[2]AKAS 2021'!M77</f>
        <v>0</v>
      </c>
      <c r="Q31" s="186">
        <f t="shared" si="28"/>
        <v>0</v>
      </c>
      <c r="R31" s="189">
        <f>'[2]AKAS 2021'!O77</f>
        <v>0</v>
      </c>
      <c r="S31" s="189">
        <f>'[2]AKAS 2021'!P77</f>
        <v>0</v>
      </c>
      <c r="T31" s="189">
        <f>'[2]AKAS 2021'!Q77</f>
        <v>0</v>
      </c>
      <c r="U31" s="186">
        <f t="shared" si="29"/>
        <v>0</v>
      </c>
      <c r="V31" s="186">
        <f>'[2]AKAS 2021'!S77</f>
        <v>0</v>
      </c>
      <c r="W31" s="186">
        <f>'[2]AKAS 2021'!T77</f>
        <v>0</v>
      </c>
      <c r="X31" s="186">
        <f>'[2]AKAS 2021'!U77</f>
        <v>0</v>
      </c>
      <c r="Y31" s="186">
        <f t="shared" si="30"/>
        <v>0</v>
      </c>
      <c r="Z31" s="180">
        <f t="shared" si="5"/>
        <v>19010</v>
      </c>
      <c r="AB31" s="180">
        <f t="shared" si="6"/>
        <v>19010</v>
      </c>
      <c r="AC31" s="180"/>
      <c r="AD31" s="182" t="s">
        <v>434</v>
      </c>
      <c r="AE31" s="190">
        <f>'[2]Resume Akas 2020'!C28</f>
        <v>330000</v>
      </c>
      <c r="AF31" s="190">
        <f>'[2]Resume Akas 2020'!N28</f>
        <v>519670.83169599995</v>
      </c>
      <c r="AG31" s="190">
        <f t="shared" si="7"/>
        <v>19010</v>
      </c>
      <c r="AH31" s="184">
        <f t="shared" si="10"/>
        <v>157.47600960484846</v>
      </c>
      <c r="AI31" s="184">
        <f t="shared" si="10"/>
        <v>3.6580848569004503</v>
      </c>
    </row>
    <row r="32" spans="2:37" ht="20" customHeight="1" x14ac:dyDescent="0.35">
      <c r="B32" s="160" t="s">
        <v>435</v>
      </c>
      <c r="C32" s="180">
        <v>0</v>
      </c>
      <c r="D32" s="193">
        <v>-4393</v>
      </c>
      <c r="E32" s="180">
        <v>-94</v>
      </c>
      <c r="F32" s="180">
        <v>-4299</v>
      </c>
      <c r="G32" s="180"/>
      <c r="H32" s="180">
        <f t="shared" si="25"/>
        <v>-4393</v>
      </c>
      <c r="I32" s="186">
        <f t="shared" si="26"/>
        <v>-16753.9568</v>
      </c>
      <c r="J32" s="186">
        <f>-'[2]AKAS 2021'!G84</f>
        <v>0</v>
      </c>
      <c r="K32" s="186">
        <f>-'[2]AKAS 2021'!H84</f>
        <v>0</v>
      </c>
      <c r="L32" s="186">
        <f>-'[2]AKAS 2021'!I84</f>
        <v>-4188.4892</v>
      </c>
      <c r="M32" s="186">
        <f t="shared" si="27"/>
        <v>-4188.4892</v>
      </c>
      <c r="N32" s="181">
        <f>-'[2]AKAS 2021'!K84</f>
        <v>0</v>
      </c>
      <c r="O32" s="181">
        <f>-'[2]AKAS 2021'!L84</f>
        <v>0</v>
      </c>
      <c r="P32" s="193">
        <f>-'[2]AKAS 2021'!M84</f>
        <v>-4188.4892</v>
      </c>
      <c r="Q32" s="186">
        <f t="shared" si="28"/>
        <v>-4188.4892</v>
      </c>
      <c r="R32" s="189">
        <f>-'[2]AKAS 2021'!O84</f>
        <v>0</v>
      </c>
      <c r="S32" s="189">
        <f>-'[2]AKAS 2021'!P84</f>
        <v>0</v>
      </c>
      <c r="T32" s="189">
        <f>-'[2]AKAS 2021'!Q84</f>
        <v>-4188.4892</v>
      </c>
      <c r="U32" s="186">
        <f t="shared" si="29"/>
        <v>-4188.4892</v>
      </c>
      <c r="V32" s="186">
        <f>-'[2]AKAS 2021'!S84</f>
        <v>0</v>
      </c>
      <c r="W32" s="186">
        <f>-'[2]AKAS 2021'!T84</f>
        <v>0</v>
      </c>
      <c r="X32" s="186">
        <f>-'[2]AKAS 2021'!U84</f>
        <v>-4188.4892</v>
      </c>
      <c r="Y32" s="186">
        <f t="shared" si="30"/>
        <v>-4188.4892</v>
      </c>
      <c r="Z32" s="180">
        <f t="shared" si="5"/>
        <v>-16753.9568</v>
      </c>
      <c r="AB32" s="186">
        <f t="shared" si="6"/>
        <v>-16753.9568</v>
      </c>
      <c r="AC32" s="189"/>
      <c r="AD32" s="182" t="s">
        <v>435</v>
      </c>
      <c r="AE32" s="190">
        <f>'[2]Resume Akas 2020'!C29</f>
        <v>-220903</v>
      </c>
      <c r="AF32" s="190">
        <f>'[2]Resume Akas 2020'!N29</f>
        <v>-81350.565982550936</v>
      </c>
      <c r="AG32" s="190">
        <f t="shared" si="7"/>
        <v>-16753.9568</v>
      </c>
      <c r="AH32" s="184">
        <f t="shared" si="10"/>
        <v>36.82637446415437</v>
      </c>
      <c r="AI32" s="184">
        <f t="shared" si="10"/>
        <v>20.594763659780309</v>
      </c>
    </row>
    <row r="33" spans="2:35" ht="20" customHeight="1" thickBot="1" x14ac:dyDescent="0.4">
      <c r="B33" s="160" t="s">
        <v>436</v>
      </c>
      <c r="C33" s="193">
        <f>-'[1]AK Opr Juni GP Des (1)'!D84-'[1]AK Opr Juni GP Des (1)'!D85-'[1]AK Opr Juni GP Des (1)'!D86-'[1]AK Opr Juni GP Des (1)'!D87-'[1]AK Opr Juni GP Des (1)'!D88-'[1]AK Opr Juni GP Des (1)'!D89</f>
        <v>-220903</v>
      </c>
      <c r="D33" s="193">
        <v>-63070</v>
      </c>
      <c r="E33" s="193">
        <v>-70587</v>
      </c>
      <c r="F33" s="193">
        <v>-11187</v>
      </c>
      <c r="G33" s="193"/>
      <c r="H33" s="193">
        <f t="shared" si="25"/>
        <v>-81774</v>
      </c>
      <c r="I33" s="186">
        <f>-'[2]AKAS 2021'!F85-'[2]AKAS 2021'!F86-'[2]AKAS 2021'!F87</f>
        <v>-138192.4781147204</v>
      </c>
      <c r="J33" s="193">
        <f>-'[2]AKAS 2021'!G85-'[2]AKAS 2021'!G86-'[2]AKAS 2021'!G87</f>
        <v>-11492.087244552731</v>
      </c>
      <c r="K33" s="193">
        <f>-'[2]AKAS 2021'!H85-'[2]AKAS 2021'!H86-'[2]AKAS 2021'!H87</f>
        <v>-11527.412418949441</v>
      </c>
      <c r="L33" s="193">
        <f>-'[2]AKAS 2021'!I85-'[2]AKAS 2021'!I86-'[2]AKAS 2021'!I87</f>
        <v>-10783.626362914632</v>
      </c>
      <c r="M33" s="193">
        <f t="shared" si="27"/>
        <v>-33803.126026416809</v>
      </c>
      <c r="N33" s="193">
        <f>-'[2]AKAS 2021'!K85-'[2]AKAS 2021'!K86-'[2]AKAS 2021'!K87</f>
        <v>-11586.034429534222</v>
      </c>
      <c r="O33" s="193">
        <f>-'[2]AKAS 2021'!L85-'[2]AKAS 2021'!L86-'[2]AKAS 2021'!L87</f>
        <v>-11359.487093243139</v>
      </c>
      <c r="P33" s="193">
        <f>-'[2]AKAS 2021'!M85-'[2]AKAS 2021'!M86-'[2]AKAS 2021'!M87</f>
        <v>-11655.545256572912</v>
      </c>
      <c r="Q33" s="186">
        <f t="shared" si="28"/>
        <v>-34601.066779350273</v>
      </c>
      <c r="R33" s="193">
        <f>-'[2]AKAS 2021'!O85-'[2]AKAS 2021'!O86-'[2]AKAS 2021'!O87</f>
        <v>-11418.1458625942</v>
      </c>
      <c r="S33" s="193">
        <f>-'[2]AKAS 2021'!P85-'[2]AKAS 2021'!P86-'[2]AKAS 2021'!P87</f>
        <v>-11716.446310667157</v>
      </c>
      <c r="T33" s="193">
        <f>-'[2]AKAS 2021'!Q85-'[2]AKAS 2021'!Q86-'[2]AKAS 2021'!Q87</f>
        <v>-11751.771485063869</v>
      </c>
      <c r="U33" s="186">
        <f t="shared" si="29"/>
        <v>-34886.363658325223</v>
      </c>
      <c r="V33" s="186">
        <f>-'[2]AKAS 2021'!S85-'[2]AKAS 2021'!S86-'[2]AKAS 2021'!S87</f>
        <v>-11510.990284587242</v>
      </c>
      <c r="W33" s="186">
        <f>-'[2]AKAS 2021'!T85-'[2]AKAS 2021'!T86-'[2]AKAS 2021'!T87</f>
        <v>-11812.672539158113</v>
      </c>
      <c r="X33" s="186">
        <f>-'[2]AKAS 2021'!U85-'[2]AKAS 2021'!U86-'[2]AKAS 2021'!U87</f>
        <v>-11578.258826882748</v>
      </c>
      <c r="Y33" s="186">
        <f t="shared" si="30"/>
        <v>-34901.921650628101</v>
      </c>
      <c r="Z33" s="180">
        <f t="shared" si="5"/>
        <v>-138192.4781147204</v>
      </c>
      <c r="AB33" s="193">
        <f t="shared" si="6"/>
        <v>-138192.4781147204</v>
      </c>
      <c r="AC33" s="189"/>
      <c r="AD33" s="182" t="s">
        <v>436</v>
      </c>
      <c r="AE33" s="190">
        <v>0</v>
      </c>
      <c r="AF33" s="190">
        <v>0</v>
      </c>
      <c r="AG33" s="190">
        <f t="shared" si="7"/>
        <v>-138192.4781147204</v>
      </c>
      <c r="AH33" s="184">
        <v>0</v>
      </c>
      <c r="AI33" s="184">
        <v>0</v>
      </c>
    </row>
    <row r="34" spans="2:35" s="162" customFormat="1" ht="20" customHeight="1" thickBot="1" x14ac:dyDescent="0.4">
      <c r="B34" s="197" t="s">
        <v>437</v>
      </c>
      <c r="C34" s="211">
        <f>SUM(C29:C33)</f>
        <v>373097</v>
      </c>
      <c r="D34" s="211">
        <f>SUM(D29:D33)</f>
        <v>538695.09543800005</v>
      </c>
      <c r="E34" s="211">
        <f t="shared" ref="E34:F34" si="32">SUM(E29:E33)</f>
        <v>767523</v>
      </c>
      <c r="F34" s="211">
        <f t="shared" si="32"/>
        <v>22124</v>
      </c>
      <c r="G34" s="211"/>
      <c r="H34" s="211">
        <f t="shared" si="25"/>
        <v>789647</v>
      </c>
      <c r="I34" s="198">
        <f t="shared" si="0"/>
        <v>-155936.43491472042</v>
      </c>
      <c r="J34" s="198">
        <f>SUM(J29:J33)</f>
        <v>8507.9127554472689</v>
      </c>
      <c r="K34" s="198">
        <f t="shared" ref="K34:L34" si="33">SUM(K29:K33)</f>
        <v>-11527.412418949441</v>
      </c>
      <c r="L34" s="198">
        <f t="shared" si="33"/>
        <v>58037.884437085369</v>
      </c>
      <c r="M34" s="198">
        <f>SUM(M29:M33)</f>
        <v>55018.384773583195</v>
      </c>
      <c r="N34" s="198">
        <f>SUM(N29:N33)</f>
        <v>-11586.034429534222</v>
      </c>
      <c r="O34" s="198">
        <f t="shared" ref="O34:P34" si="34">SUM(O29:O33)</f>
        <v>-11359.487093243139</v>
      </c>
      <c r="P34" s="198">
        <f t="shared" si="34"/>
        <v>-15844.034456572912</v>
      </c>
      <c r="Q34" s="198">
        <f>SUM(Q29:Q33)</f>
        <v>-38789.555979350276</v>
      </c>
      <c r="R34" s="198">
        <f t="shared" ref="R34:Y34" si="35">SUM(R29:R33)</f>
        <v>-105418.1458625942</v>
      </c>
      <c r="S34" s="198">
        <f t="shared" si="35"/>
        <v>-11716.446310667157</v>
      </c>
      <c r="T34" s="198">
        <f t="shared" si="35"/>
        <v>-15940.260685063869</v>
      </c>
      <c r="U34" s="198">
        <f t="shared" si="35"/>
        <v>-133074.85285832523</v>
      </c>
      <c r="V34" s="198">
        <f t="shared" si="35"/>
        <v>-11510.990284587242</v>
      </c>
      <c r="W34" s="198">
        <f t="shared" si="35"/>
        <v>-11812.672539158113</v>
      </c>
      <c r="X34" s="198">
        <f t="shared" si="35"/>
        <v>-15766.748026882748</v>
      </c>
      <c r="Y34" s="198">
        <f t="shared" si="35"/>
        <v>-39090.410850628105</v>
      </c>
      <c r="Z34" s="180">
        <f t="shared" si="5"/>
        <v>-155936.43491472042</v>
      </c>
      <c r="AB34" s="198">
        <f t="shared" si="6"/>
        <v>-155936.43491472042</v>
      </c>
      <c r="AC34" s="200"/>
      <c r="AD34" s="201" t="s">
        <v>437</v>
      </c>
      <c r="AE34" s="202">
        <f>'[2]Resume Akas 2020'!C30</f>
        <v>373097</v>
      </c>
      <c r="AF34" s="203">
        <f>'[2]Resume Akas 2020'!N30</f>
        <v>752554.26571344899</v>
      </c>
      <c r="AG34" s="203">
        <f t="shared" si="7"/>
        <v>-155936.43491472042</v>
      </c>
      <c r="AH34" s="209">
        <f t="shared" si="10"/>
        <v>201.70472175156834</v>
      </c>
      <c r="AI34" s="204">
        <f t="shared" si="10"/>
        <v>-20.72095555353566</v>
      </c>
    </row>
    <row r="35" spans="2:35" ht="7.5" customHeight="1" thickBot="1" x14ac:dyDescent="0.4"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0">
        <f t="shared" si="5"/>
        <v>0</v>
      </c>
      <c r="AB35" s="160">
        <f t="shared" si="6"/>
        <v>0</v>
      </c>
      <c r="AE35" s="180"/>
      <c r="AF35" s="180"/>
      <c r="AG35" s="180"/>
      <c r="AH35" s="212"/>
      <c r="AI35" s="212"/>
    </row>
    <row r="36" spans="2:35" s="162" customFormat="1" ht="20" customHeight="1" thickBot="1" x14ac:dyDescent="0.4">
      <c r="B36" s="213" t="s">
        <v>438</v>
      </c>
      <c r="C36" s="214">
        <f>C34+C26+C20</f>
        <v>104285</v>
      </c>
      <c r="D36" s="214">
        <f>D34+D26+D20</f>
        <v>-3892.9045619999524</v>
      </c>
      <c r="E36" s="214">
        <f>E34+E26+E20</f>
        <v>69199</v>
      </c>
      <c r="F36" s="198">
        <f t="shared" ref="F36" si="36">F34+F26+F20</f>
        <v>-91355</v>
      </c>
      <c r="G36" s="198"/>
      <c r="H36" s="198">
        <f t="shared" si="25"/>
        <v>-22156</v>
      </c>
      <c r="I36" s="214">
        <f t="shared" si="0"/>
        <v>31850.083648607244</v>
      </c>
      <c r="J36" s="198">
        <f>J34+J26+J20</f>
        <v>16905.192883136984</v>
      </c>
      <c r="K36" s="198">
        <f>K34+K26+K20</f>
        <v>-3130.1322912597261</v>
      </c>
      <c r="L36" s="198">
        <f>L34+L26+L20</f>
        <v>-12815.835435224908</v>
      </c>
      <c r="M36" s="198">
        <f>M34+M26+M20</f>
        <v>959.22515665234823</v>
      </c>
      <c r="N36" s="198">
        <f>N34+N26+N20</f>
        <v>-27878.705033673585</v>
      </c>
      <c r="O36" s="198">
        <f t="shared" ref="O36:Y36" si="37">O34+O26+O20</f>
        <v>4275.8423026175024</v>
      </c>
      <c r="P36" s="198">
        <f t="shared" si="37"/>
        <v>-1158.705060712271</v>
      </c>
      <c r="Q36" s="198">
        <f t="shared" si="37"/>
        <v>-24761.567791768357</v>
      </c>
      <c r="R36" s="198">
        <f t="shared" si="37"/>
        <v>53927.305018851897</v>
      </c>
      <c r="S36" s="198">
        <f t="shared" si="37"/>
        <v>10115.276757778938</v>
      </c>
      <c r="T36" s="198">
        <f t="shared" si="37"/>
        <v>5891.4623833822261</v>
      </c>
      <c r="U36" s="198">
        <f t="shared" si="37"/>
        <v>69934.044160013058</v>
      </c>
      <c r="V36" s="214">
        <f t="shared" si="37"/>
        <v>10129.274040192187</v>
      </c>
      <c r="W36" s="214">
        <f t="shared" si="37"/>
        <v>9827.5917856213164</v>
      </c>
      <c r="X36" s="198">
        <f t="shared" si="37"/>
        <v>-34238.483702103316</v>
      </c>
      <c r="Y36" s="198">
        <f t="shared" si="37"/>
        <v>-14281.617876289805</v>
      </c>
      <c r="Z36" s="180">
        <f t="shared" si="5"/>
        <v>31850.083648607244</v>
      </c>
      <c r="AB36" s="198">
        <f t="shared" si="6"/>
        <v>31850.083648607244</v>
      </c>
      <c r="AC36" s="200">
        <v>4</v>
      </c>
      <c r="AD36" s="201" t="s">
        <v>438</v>
      </c>
      <c r="AE36" s="202">
        <f>'[2]Resume Akas 2020'!C32</f>
        <v>104285</v>
      </c>
      <c r="AF36" s="203">
        <f>'[2]Resume Akas 2020'!N32</f>
        <v>7368.2649984490126</v>
      </c>
      <c r="AG36" s="203">
        <f t="shared" si="7"/>
        <v>31850.083648607244</v>
      </c>
      <c r="AH36" s="209">
        <f t="shared" si="10"/>
        <v>7.0655079814441315</v>
      </c>
      <c r="AI36" s="210">
        <f t="shared" si="10"/>
        <v>432.26028997751229</v>
      </c>
    </row>
    <row r="37" spans="2:35" ht="7.9" customHeight="1" thickBot="1" x14ac:dyDescent="0.4">
      <c r="M37" s="160"/>
      <c r="N37" s="160"/>
      <c r="O37" s="160"/>
      <c r="P37" s="160"/>
      <c r="Q37" s="160"/>
      <c r="R37" s="160"/>
      <c r="S37" s="160"/>
      <c r="T37" s="160"/>
      <c r="AB37" s="160">
        <f t="shared" si="6"/>
        <v>0</v>
      </c>
      <c r="AE37" s="180"/>
      <c r="AF37" s="180"/>
      <c r="AG37" s="180"/>
      <c r="AH37" s="212"/>
      <c r="AI37" s="212"/>
    </row>
    <row r="38" spans="2:35" s="162" customFormat="1" ht="20" customHeight="1" thickBot="1" x14ac:dyDescent="0.4">
      <c r="B38" s="213" t="s">
        <v>439</v>
      </c>
      <c r="C38" s="215">
        <f>'[1]AK Opr Juni GP Des (1)'!D99</f>
        <v>56215</v>
      </c>
      <c r="D38" s="215">
        <f>'[1]AK Opr Juni GP Des (1)'!E99</f>
        <v>50219.215704000002</v>
      </c>
      <c r="E38" s="215">
        <f>D38</f>
        <v>50219.215704000002</v>
      </c>
      <c r="F38" s="215">
        <f t="shared" ref="F38" si="38">E40</f>
        <v>119418.215704</v>
      </c>
      <c r="G38" s="215"/>
      <c r="H38" s="215">
        <f>'[2]Resume Akas 2020'!N34</f>
        <v>50219.215704000002</v>
      </c>
      <c r="I38" s="215">
        <f>H40</f>
        <v>28062.215704000002</v>
      </c>
      <c r="J38" s="215">
        <f>'rcn CF 21'!G41</f>
        <v>55783.234942000003</v>
      </c>
      <c r="K38" s="215">
        <f t="shared" ref="K38:L38" si="39">J40</f>
        <v>72688.427825136983</v>
      </c>
      <c r="L38" s="215">
        <f t="shared" si="39"/>
        <v>69558.295533877259</v>
      </c>
      <c r="M38" s="215">
        <f>I38</f>
        <v>28062.215704000002</v>
      </c>
      <c r="N38" s="215">
        <f>M40</f>
        <v>29021.44086065235</v>
      </c>
      <c r="O38" s="198">
        <f>N40</f>
        <v>1142.7358269787655</v>
      </c>
      <c r="P38" s="198">
        <f>O40</f>
        <v>5418.5781295962679</v>
      </c>
      <c r="Q38" s="215">
        <f>M40</f>
        <v>29021.44086065235</v>
      </c>
      <c r="R38" s="215">
        <f>Q40</f>
        <v>4259.8730688839933</v>
      </c>
      <c r="S38" s="215">
        <f t="shared" ref="S38:T38" si="40">R40</f>
        <v>58187.178087735891</v>
      </c>
      <c r="T38" s="215">
        <f t="shared" si="40"/>
        <v>68302.454845514832</v>
      </c>
      <c r="U38" s="198">
        <f>Q40</f>
        <v>4259.8730688839933</v>
      </c>
      <c r="V38" s="215">
        <f>U40</f>
        <v>74193.917228897044</v>
      </c>
      <c r="W38" s="215">
        <f>V40</f>
        <v>84323.191269089235</v>
      </c>
      <c r="X38" s="215">
        <f>W40</f>
        <v>94150.783054710555</v>
      </c>
      <c r="Y38" s="215">
        <f>U40</f>
        <v>74193.917228897044</v>
      </c>
      <c r="Z38" s="205">
        <f>I38</f>
        <v>28062.215704000002</v>
      </c>
      <c r="AB38" s="215">
        <f>'[2]Resume Akas 2020'!U36</f>
        <v>-4814.6972170000663</v>
      </c>
      <c r="AC38" s="200">
        <v>5</v>
      </c>
      <c r="AD38" s="201" t="s">
        <v>439</v>
      </c>
      <c r="AE38" s="202">
        <f>'[2]Resume Akas 2020'!C34</f>
        <v>56215</v>
      </c>
      <c r="AF38" s="203">
        <f>'[2]Resume Akas 2020'!N34</f>
        <v>50219.215704000002</v>
      </c>
      <c r="AG38" s="203">
        <f t="shared" si="7"/>
        <v>28062.215704000002</v>
      </c>
      <c r="AH38" s="209">
        <f t="shared" si="10"/>
        <v>89.334191415102737</v>
      </c>
      <c r="AI38" s="210">
        <f t="shared" si="10"/>
        <v>55.879438399442826</v>
      </c>
    </row>
    <row r="39" spans="2:35" ht="6.75" customHeight="1" thickBot="1" x14ac:dyDescent="0.4">
      <c r="M39" s="160"/>
      <c r="N39" s="160"/>
      <c r="O39" s="160"/>
      <c r="P39" s="160"/>
      <c r="Q39" s="160"/>
      <c r="R39" s="160"/>
      <c r="S39" s="160"/>
      <c r="T39" s="160"/>
      <c r="AB39" s="160">
        <f t="shared" si="6"/>
        <v>0</v>
      </c>
      <c r="AE39" s="180"/>
      <c r="AF39" s="180"/>
      <c r="AG39" s="180"/>
      <c r="AH39" s="212"/>
      <c r="AI39" s="212"/>
    </row>
    <row r="40" spans="2:35" s="162" customFormat="1" ht="20" customHeight="1" thickBot="1" x14ac:dyDescent="0.4">
      <c r="B40" s="213" t="s">
        <v>440</v>
      </c>
      <c r="C40" s="214">
        <f>C38+C36</f>
        <v>160500</v>
      </c>
      <c r="D40" s="214">
        <f>D38+D36</f>
        <v>46326.31114200005</v>
      </c>
      <c r="E40" s="214">
        <f t="shared" ref="E40" si="41">E38+E36</f>
        <v>119418.215704</v>
      </c>
      <c r="F40" s="198">
        <f>F38+F36-1</f>
        <v>28062.215704000002</v>
      </c>
      <c r="G40" s="216"/>
      <c r="H40" s="214">
        <f>H38+H36-1</f>
        <v>28062.215704000002</v>
      </c>
      <c r="I40" s="214">
        <f>I38+I36</f>
        <v>59912.299352607246</v>
      </c>
      <c r="J40" s="198">
        <f>J38+J36</f>
        <v>72688.427825136983</v>
      </c>
      <c r="K40" s="198">
        <f t="shared" ref="K40:L40" si="42">K38+K36</f>
        <v>69558.295533877259</v>
      </c>
      <c r="L40" s="198">
        <f t="shared" si="42"/>
        <v>56742.460098652351</v>
      </c>
      <c r="M40" s="198">
        <f>M38+M36</f>
        <v>29021.44086065235</v>
      </c>
      <c r="N40" s="198">
        <f>N38+N36</f>
        <v>1142.7358269787655</v>
      </c>
      <c r="O40" s="198">
        <f t="shared" ref="O40:P40" si="43">O38+O36</f>
        <v>5418.5781295962679</v>
      </c>
      <c r="P40" s="198">
        <f t="shared" si="43"/>
        <v>4259.8730688839969</v>
      </c>
      <c r="Q40" s="198">
        <f>Q38+Q36</f>
        <v>4259.8730688839933</v>
      </c>
      <c r="R40" s="198">
        <f t="shared" ref="R40:Z40" si="44">R38+R36</f>
        <v>58187.178087735891</v>
      </c>
      <c r="S40" s="198">
        <f t="shared" si="44"/>
        <v>68302.454845514832</v>
      </c>
      <c r="T40" s="198">
        <f t="shared" si="44"/>
        <v>74193.917228897059</v>
      </c>
      <c r="U40" s="198">
        <f t="shared" si="44"/>
        <v>74193.917228897044</v>
      </c>
      <c r="V40" s="198">
        <f t="shared" si="44"/>
        <v>84323.191269089235</v>
      </c>
      <c r="W40" s="198">
        <f t="shared" si="44"/>
        <v>94150.783054710555</v>
      </c>
      <c r="X40" s="198">
        <f t="shared" si="44"/>
        <v>59912.299352607239</v>
      </c>
      <c r="Y40" s="198">
        <f t="shared" si="44"/>
        <v>59912.299352607239</v>
      </c>
      <c r="Z40" s="198">
        <f t="shared" si="44"/>
        <v>59912.299352607246</v>
      </c>
      <c r="AB40" s="217">
        <f>AB36+AB38</f>
        <v>27035.386431607178</v>
      </c>
      <c r="AC40" s="200">
        <v>6</v>
      </c>
      <c r="AD40" s="201" t="s">
        <v>440</v>
      </c>
      <c r="AE40" s="202">
        <f>'[2]Resume Akas 2020'!C36</f>
        <v>160500</v>
      </c>
      <c r="AF40" s="203">
        <f>'[2]Resume Akas 2020'!N36</f>
        <v>57587.480702449015</v>
      </c>
      <c r="AG40" s="203">
        <f t="shared" si="7"/>
        <v>59912.299352607246</v>
      </c>
      <c r="AH40" s="209">
        <f t="shared" si="10"/>
        <v>35.880050281899699</v>
      </c>
      <c r="AI40" s="210">
        <f t="shared" si="10"/>
        <v>104.03702093198073</v>
      </c>
    </row>
    <row r="41" spans="2:35" ht="20" hidden="1" customHeight="1" x14ac:dyDescent="0.35">
      <c r="C41" s="181"/>
      <c r="D41" s="181"/>
      <c r="E41" s="181"/>
      <c r="F41" s="181"/>
      <c r="G41" s="181"/>
      <c r="H41" s="181"/>
      <c r="I41" s="181">
        <f>'[2]AKAS 2021'!F100</f>
        <v>195300.16435105636</v>
      </c>
      <c r="J41" s="181">
        <f>'[2]AKAS 2021'!G100</f>
        <v>54492.67358558609</v>
      </c>
      <c r="K41" s="181">
        <f>'[2]AKAS 2021'!H100</f>
        <v>51362.541294326365</v>
      </c>
      <c r="L41" s="181">
        <f>'[2]AKAS 2021'!I100</f>
        <v>122989.30585910144</v>
      </c>
      <c r="M41" s="181">
        <f>'[2]AKAS 2021'!J100</f>
        <v>122989.30585910146</v>
      </c>
      <c r="N41" s="181">
        <f>'[2]AKAS 2021'!K100</f>
        <v>92110.600825427857</v>
      </c>
      <c r="O41" s="181">
        <f>'[2]AKAS 2021'!L100</f>
        <v>97886.443128045357</v>
      </c>
      <c r="P41" s="181">
        <f>'[2]AKAS 2021'!M100</f>
        <v>98227.738067333092</v>
      </c>
      <c r="Q41" s="181">
        <f>'[2]AKAS 2021'!N100</f>
        <v>98227.738067333092</v>
      </c>
      <c r="R41" s="181">
        <f>'[2]AKAS 2021'!O100</f>
        <v>193575.043086185</v>
      </c>
      <c r="S41" s="181">
        <f>'[2]AKAS 2021'!P100</f>
        <v>203690.31984396395</v>
      </c>
      <c r="T41" s="181">
        <f>'[2]AKAS 2021'!Q100</f>
        <v>209581.78222734618</v>
      </c>
      <c r="U41" s="181">
        <f>'[2]AKAS 2021'!R100</f>
        <v>209581.78222734615</v>
      </c>
      <c r="V41" s="181">
        <f>'[2]AKAS 2021'!S100</f>
        <v>219711.05626753837</v>
      </c>
      <c r="W41" s="181">
        <f>'[2]AKAS 2021'!T100</f>
        <v>229538.6480531597</v>
      </c>
      <c r="X41" s="181">
        <f>'[2]AKAS 2021'!U100</f>
        <v>195300.16435105639</v>
      </c>
      <c r="Y41" s="181">
        <f>'[2]AKAS 2021'!V100</f>
        <v>195300.16435105636</v>
      </c>
      <c r="Z41" s="181">
        <f>'[2]AKAS 2021'!W100</f>
        <v>0</v>
      </c>
      <c r="AB41" s="181">
        <f>'[2]AKAS 2021'!Y100</f>
        <v>0</v>
      </c>
      <c r="AC41" s="181"/>
    </row>
    <row r="42" spans="2:35" s="159" customFormat="1" x14ac:dyDescent="0.35">
      <c r="C42" s="158"/>
      <c r="D42" s="158"/>
      <c r="E42" s="158"/>
      <c r="F42" s="158"/>
      <c r="G42" s="158"/>
      <c r="H42" s="158"/>
      <c r="I42" s="158">
        <f>I41-I40</f>
        <v>135387.86499844911</v>
      </c>
      <c r="J42" s="218">
        <f t="shared" ref="J42:Y42" si="45">J40-J41</f>
        <v>18195.754239550894</v>
      </c>
      <c r="K42" s="218">
        <f t="shared" si="45"/>
        <v>18195.754239550894</v>
      </c>
      <c r="L42" s="218">
        <f t="shared" si="45"/>
        <v>-66246.845760449098</v>
      </c>
      <c r="M42" s="218">
        <f t="shared" si="45"/>
        <v>-93967.864998449106</v>
      </c>
      <c r="N42" s="218">
        <f t="shared" si="45"/>
        <v>-90967.864998449091</v>
      </c>
      <c r="O42" s="218">
        <f t="shared" si="45"/>
        <v>-92467.864998449091</v>
      </c>
      <c r="P42" s="218">
        <f t="shared" si="45"/>
        <v>-93967.864998449091</v>
      </c>
      <c r="Q42" s="218">
        <f t="shared" si="45"/>
        <v>-93967.864998449106</v>
      </c>
      <c r="R42" s="218">
        <f t="shared" si="45"/>
        <v>-135387.86499844911</v>
      </c>
      <c r="S42" s="218">
        <f t="shared" si="45"/>
        <v>-135387.86499844911</v>
      </c>
      <c r="T42" s="218">
        <f t="shared" si="45"/>
        <v>-135387.86499844911</v>
      </c>
      <c r="U42" s="218">
        <f t="shared" si="45"/>
        <v>-135387.86499844911</v>
      </c>
      <c r="V42" s="218">
        <f t="shared" si="45"/>
        <v>-135387.86499844913</v>
      </c>
      <c r="W42" s="218">
        <f t="shared" si="45"/>
        <v>-135387.86499844916</v>
      </c>
      <c r="X42" s="218">
        <f t="shared" si="45"/>
        <v>-135387.86499844916</v>
      </c>
      <c r="Y42" s="218">
        <f t="shared" si="45"/>
        <v>-135387.86499844911</v>
      </c>
      <c r="Z42" s="158"/>
      <c r="AB42" s="158">
        <f>AB41-AB40</f>
        <v>-27035.386431607178</v>
      </c>
      <c r="AC42" s="158"/>
      <c r="AE42" s="159">
        <v>160500</v>
      </c>
      <c r="AF42" s="159">
        <v>57587.480702449015</v>
      </c>
      <c r="AG42" s="159">
        <v>101300.16435105636</v>
      </c>
    </row>
    <row r="43" spans="2:35" ht="15.75" hidden="1" customHeight="1" x14ac:dyDescent="0.35">
      <c r="B43" s="160" t="s">
        <v>441</v>
      </c>
      <c r="M43" s="160"/>
      <c r="N43" s="160"/>
      <c r="O43" s="160"/>
      <c r="P43" s="160"/>
      <c r="Q43" s="160"/>
      <c r="R43" s="160"/>
      <c r="S43" s="160"/>
      <c r="T43" s="160"/>
      <c r="Z43" s="180">
        <f t="shared" ref="Z43" si="46">Z40-Z41</f>
        <v>59912.299352607246</v>
      </c>
      <c r="AD43" s="160" t="s">
        <v>441</v>
      </c>
    </row>
    <row r="44" spans="2:35" ht="15.75" hidden="1" customHeight="1" x14ac:dyDescent="0.35">
      <c r="B44" s="160" t="s">
        <v>442</v>
      </c>
      <c r="C44" s="160" t="s">
        <v>443</v>
      </c>
      <c r="AD44" s="160" t="s">
        <v>442</v>
      </c>
    </row>
    <row r="45" spans="2:35" ht="15.75" hidden="1" customHeight="1" x14ac:dyDescent="0.35">
      <c r="B45" s="160" t="s">
        <v>444</v>
      </c>
      <c r="C45" s="160" t="s">
        <v>445</v>
      </c>
      <c r="AD45" s="160" t="s">
        <v>444</v>
      </c>
    </row>
    <row r="46" spans="2:35" ht="15.75" hidden="1" customHeight="1" x14ac:dyDescent="0.35">
      <c r="B46" s="160" t="s">
        <v>446</v>
      </c>
      <c r="C46" s="160" t="s">
        <v>447</v>
      </c>
      <c r="AD46" s="160" t="s">
        <v>446</v>
      </c>
    </row>
    <row r="47" spans="2:35" ht="15.75" hidden="1" customHeight="1" x14ac:dyDescent="0.35">
      <c r="B47" s="160" t="s">
        <v>167</v>
      </c>
      <c r="C47" s="160" t="s">
        <v>448</v>
      </c>
      <c r="AD47" s="160" t="s">
        <v>167</v>
      </c>
    </row>
    <row r="50" spans="2:37" x14ac:dyDescent="0.35">
      <c r="AE50" s="181">
        <v>160500</v>
      </c>
      <c r="AF50" s="181">
        <v>57587.480702449015</v>
      </c>
      <c r="AG50" s="181">
        <v>101300.16435105636</v>
      </c>
    </row>
    <row r="51" spans="2:37" ht="18" thickBot="1" x14ac:dyDescent="0.4">
      <c r="AE51" s="180">
        <f>AE40-AE50</f>
        <v>0</v>
      </c>
      <c r="AF51" s="180">
        <f t="shared" ref="AF51:AG51" si="47">AF40-AF50</f>
        <v>0</v>
      </c>
      <c r="AG51" s="180">
        <f t="shared" si="47"/>
        <v>-41387.864998449113</v>
      </c>
    </row>
    <row r="52" spans="2:37" s="162" customFormat="1" ht="28.9" customHeight="1" thickBot="1" x14ac:dyDescent="0.4">
      <c r="B52" s="623" t="s">
        <v>396</v>
      </c>
      <c r="C52" s="624" t="s">
        <v>176</v>
      </c>
      <c r="D52" s="624" t="s">
        <v>397</v>
      </c>
      <c r="E52" s="625" t="s">
        <v>178</v>
      </c>
      <c r="F52" s="626"/>
      <c r="G52" s="626"/>
      <c r="H52" s="624" t="s">
        <v>398</v>
      </c>
      <c r="I52" s="621" t="s">
        <v>399</v>
      </c>
      <c r="J52" s="625" t="s">
        <v>400</v>
      </c>
      <c r="K52" s="626"/>
      <c r="L52" s="626"/>
      <c r="M52" s="626"/>
      <c r="N52" s="626"/>
      <c r="O52" s="626"/>
      <c r="P52" s="626"/>
      <c r="Q52" s="626"/>
      <c r="R52" s="626"/>
      <c r="S52" s="626"/>
      <c r="T52" s="626"/>
      <c r="U52" s="626"/>
      <c r="V52" s="626"/>
      <c r="W52" s="626"/>
      <c r="X52" s="626"/>
      <c r="Y52" s="627"/>
      <c r="AB52" s="620" t="s">
        <v>399</v>
      </c>
      <c r="AC52" s="628" t="s">
        <v>401</v>
      </c>
      <c r="AD52" s="628" t="s">
        <v>21</v>
      </c>
      <c r="AE52" s="612" t="s">
        <v>402</v>
      </c>
      <c r="AF52" s="612" t="s">
        <v>403</v>
      </c>
      <c r="AG52" s="612" t="s">
        <v>404</v>
      </c>
      <c r="AH52" s="622" t="s">
        <v>405</v>
      </c>
      <c r="AI52" s="622"/>
    </row>
    <row r="53" spans="2:37" s="162" customFormat="1" ht="27.4" customHeight="1" thickBot="1" x14ac:dyDescent="0.4">
      <c r="B53" s="623"/>
      <c r="C53" s="624"/>
      <c r="D53" s="624"/>
      <c r="E53" s="163" t="s">
        <v>190</v>
      </c>
      <c r="F53" s="163" t="s">
        <v>191</v>
      </c>
      <c r="G53" s="163" t="s">
        <v>192</v>
      </c>
      <c r="H53" s="624"/>
      <c r="I53" s="621"/>
      <c r="J53" s="164" t="s">
        <v>406</v>
      </c>
      <c r="K53" s="164" t="s">
        <v>407</v>
      </c>
      <c r="L53" s="164" t="s">
        <v>408</v>
      </c>
      <c r="M53" s="165" t="s">
        <v>409</v>
      </c>
      <c r="N53" s="164" t="s">
        <v>199</v>
      </c>
      <c r="O53" s="164" t="s">
        <v>200</v>
      </c>
      <c r="P53" s="164" t="s">
        <v>201</v>
      </c>
      <c r="Q53" s="165" t="s">
        <v>410</v>
      </c>
      <c r="R53" s="164" t="s">
        <v>202</v>
      </c>
      <c r="S53" s="164" t="s">
        <v>191</v>
      </c>
      <c r="T53" s="164" t="s">
        <v>192</v>
      </c>
      <c r="U53" s="165" t="s">
        <v>411</v>
      </c>
      <c r="V53" s="164" t="s">
        <v>193</v>
      </c>
      <c r="W53" s="164" t="s">
        <v>194</v>
      </c>
      <c r="X53" s="164" t="s">
        <v>204</v>
      </c>
      <c r="Y53" s="165" t="s">
        <v>412</v>
      </c>
      <c r="AB53" s="620"/>
      <c r="AC53" s="628"/>
      <c r="AD53" s="628"/>
      <c r="AE53" s="612"/>
      <c r="AF53" s="612"/>
      <c r="AG53" s="612"/>
      <c r="AH53" s="166" t="s">
        <v>413</v>
      </c>
      <c r="AI53" s="166" t="s">
        <v>414</v>
      </c>
    </row>
    <row r="54" spans="2:37" s="162" customFormat="1" ht="27.4" hidden="1" customHeight="1" x14ac:dyDescent="0.35">
      <c r="B54" s="167"/>
      <c r="C54" s="168"/>
      <c r="D54" s="168"/>
      <c r="E54" s="169"/>
      <c r="F54" s="169"/>
      <c r="G54" s="169"/>
      <c r="H54" s="168"/>
      <c r="I54" s="170"/>
      <c r="J54" s="170"/>
      <c r="K54" s="170"/>
      <c r="L54" s="170"/>
      <c r="M54" s="168"/>
      <c r="N54" s="170"/>
      <c r="O54" s="170"/>
      <c r="P54" s="170"/>
      <c r="Q54" s="168"/>
      <c r="R54" s="170"/>
      <c r="S54" s="170"/>
      <c r="T54" s="170"/>
      <c r="U54" s="168"/>
      <c r="V54" s="170"/>
      <c r="W54" s="170"/>
      <c r="X54" s="170"/>
      <c r="Y54" s="168"/>
      <c r="AB54" s="171"/>
      <c r="AC54" s="172">
        <v>1</v>
      </c>
      <c r="AD54" s="172">
        <v>2</v>
      </c>
      <c r="AE54" s="173">
        <v>3</v>
      </c>
      <c r="AF54" s="173">
        <v>4</v>
      </c>
      <c r="AG54" s="173">
        <v>5</v>
      </c>
      <c r="AH54" s="174" t="s">
        <v>415</v>
      </c>
      <c r="AI54" s="174" t="s">
        <v>416</v>
      </c>
    </row>
    <row r="55" spans="2:37" s="162" customFormat="1" ht="20" customHeight="1" x14ac:dyDescent="0.35">
      <c r="B55" s="175" t="s">
        <v>417</v>
      </c>
      <c r="C55" s="176"/>
      <c r="M55" s="228"/>
      <c r="N55" s="177"/>
      <c r="O55" s="177"/>
      <c r="P55" s="177"/>
      <c r="Q55" s="228"/>
      <c r="R55" s="178"/>
      <c r="S55" s="178"/>
      <c r="T55" s="178"/>
      <c r="U55" s="228"/>
      <c r="Y55" s="228"/>
      <c r="AC55" s="179">
        <v>1</v>
      </c>
      <c r="AD55" s="175" t="s">
        <v>417</v>
      </c>
      <c r="AF55" s="180"/>
    </row>
    <row r="56" spans="2:37" ht="20" customHeight="1" x14ac:dyDescent="0.35">
      <c r="B56" s="160" t="s">
        <v>418</v>
      </c>
      <c r="C56" s="181">
        <f>'[1]AK Opr Juni GP Des (1)'!D54</f>
        <v>135978</v>
      </c>
      <c r="D56" s="181">
        <f>'[3]Rincian Arus Kas 20'!E54</f>
        <v>11109.239382999998</v>
      </c>
      <c r="E56" s="181">
        <f>'[3]Rincian Arus Kas 20'!F54</f>
        <v>474.78519000000006</v>
      </c>
      <c r="F56" s="181">
        <f>'[3]Rincian Arus Kas 20'!G54</f>
        <v>42492.397907999999</v>
      </c>
      <c r="G56" s="181">
        <v>0</v>
      </c>
      <c r="H56" s="181">
        <f>'[2]Resume Akas 2020'!N53</f>
        <v>0</v>
      </c>
      <c r="I56" s="181">
        <f>M56+Q56+U56+Y56</f>
        <v>322082.00618363742</v>
      </c>
      <c r="J56" s="181">
        <f>J11</f>
        <v>16104.100309181871</v>
      </c>
      <c r="K56" s="181">
        <f t="shared" ref="K56:L56" si="48">K11</f>
        <v>16104.100309181871</v>
      </c>
      <c r="L56" s="181">
        <f t="shared" si="48"/>
        <v>16104.100309181871</v>
      </c>
      <c r="M56" s="229">
        <f>L56+K56+J56</f>
        <v>48312.300927545613</v>
      </c>
      <c r="N56" s="181">
        <f t="shared" ref="N56:P58" si="49">N11</f>
        <v>26840.167181969784</v>
      </c>
      <c r="O56" s="181">
        <f t="shared" si="49"/>
        <v>26840.167181969784</v>
      </c>
      <c r="P56" s="181">
        <f t="shared" si="49"/>
        <v>26840.167181969784</v>
      </c>
      <c r="Q56" s="229">
        <f>P56+O56+N56</f>
        <v>80520.501545909356</v>
      </c>
      <c r="R56" s="181">
        <f t="shared" ref="R56:T58" si="50">R11</f>
        <v>32208.200618363739</v>
      </c>
      <c r="S56" s="181">
        <f t="shared" si="50"/>
        <v>32208.200618363739</v>
      </c>
      <c r="T56" s="181">
        <f t="shared" si="50"/>
        <v>32208.200618363739</v>
      </c>
      <c r="U56" s="229">
        <f>T56+S56+R56</f>
        <v>96624.601855091212</v>
      </c>
      <c r="V56" s="181">
        <f t="shared" ref="V56:X58" si="51">V11</f>
        <v>32208.200618363739</v>
      </c>
      <c r="W56" s="181">
        <f t="shared" si="51"/>
        <v>32208.200618363739</v>
      </c>
      <c r="X56" s="181">
        <f t="shared" si="51"/>
        <v>32208.200618363739</v>
      </c>
      <c r="Y56" s="229">
        <f>X56+W56+V56</f>
        <v>96624.601855091212</v>
      </c>
      <c r="Z56" s="180">
        <f>Y56+U56+Q56+M56</f>
        <v>322082.00618363742</v>
      </c>
      <c r="AB56" s="181">
        <f>I56</f>
        <v>322082.00618363742</v>
      </c>
      <c r="AC56" s="181"/>
      <c r="AD56" s="182" t="s">
        <v>418</v>
      </c>
      <c r="AE56" s="183">
        <f>'[2]Resume Akas 2020'!C53</f>
        <v>0</v>
      </c>
      <c r="AF56" s="183">
        <f>'[2]Resume Akas 2020'!N53</f>
        <v>0</v>
      </c>
      <c r="AG56" s="183">
        <f>I56</f>
        <v>322082.00618363742</v>
      </c>
      <c r="AH56" s="184" t="e">
        <f>AF56/AE56*100</f>
        <v>#DIV/0!</v>
      </c>
      <c r="AI56" s="184" t="e">
        <f>AG56/AF56*100</f>
        <v>#DIV/0!</v>
      </c>
    </row>
    <row r="57" spans="2:37" ht="20" hidden="1" customHeight="1" x14ac:dyDescent="0.35">
      <c r="B57" s="160" t="s">
        <v>419</v>
      </c>
      <c r="C57" s="181">
        <f>'[1]AK Opr Juni GP Des (1)'!D55</f>
        <v>-113255</v>
      </c>
      <c r="D57" s="181">
        <v>0</v>
      </c>
      <c r="E57" s="181">
        <v>0</v>
      </c>
      <c r="F57" s="181">
        <v>0</v>
      </c>
      <c r="G57" s="181"/>
      <c r="H57" s="181"/>
      <c r="I57" s="181">
        <f t="shared" ref="I57:I63" si="52">M57+Q57+U57+Y57</f>
        <v>0</v>
      </c>
      <c r="J57" s="181">
        <f>J12</f>
        <v>0</v>
      </c>
      <c r="K57" s="181">
        <f>K12</f>
        <v>0</v>
      </c>
      <c r="L57" s="181">
        <f>L12</f>
        <v>0</v>
      </c>
      <c r="M57" s="229">
        <f t="shared" ref="M57:M63" si="53">L57+K57+J57</f>
        <v>0</v>
      </c>
      <c r="N57" s="181">
        <f t="shared" si="49"/>
        <v>0</v>
      </c>
      <c r="O57" s="181">
        <f t="shared" si="49"/>
        <v>0</v>
      </c>
      <c r="P57" s="181">
        <f t="shared" si="49"/>
        <v>0</v>
      </c>
      <c r="Q57" s="229">
        <f t="shared" ref="Q57:Q63" si="54">P57+O57+N57</f>
        <v>0</v>
      </c>
      <c r="R57" s="181">
        <f t="shared" si="50"/>
        <v>0</v>
      </c>
      <c r="S57" s="181">
        <f t="shared" si="50"/>
        <v>0</v>
      </c>
      <c r="T57" s="181">
        <f t="shared" si="50"/>
        <v>0</v>
      </c>
      <c r="U57" s="229">
        <f t="shared" ref="U57:U63" si="55">T57+S57+R57</f>
        <v>0</v>
      </c>
      <c r="V57" s="181">
        <f t="shared" si="51"/>
        <v>0</v>
      </c>
      <c r="W57" s="181">
        <f t="shared" si="51"/>
        <v>0</v>
      </c>
      <c r="X57" s="181">
        <f t="shared" si="51"/>
        <v>0</v>
      </c>
      <c r="Y57" s="229">
        <f t="shared" ref="Y57:Y63" si="56">X57+W57+V57</f>
        <v>0</v>
      </c>
      <c r="Z57" s="180">
        <f t="shared" ref="Z57:Z80" si="57">Y57+U57+Q57+M57</f>
        <v>0</v>
      </c>
      <c r="AB57" s="181">
        <f t="shared" ref="AB57:AB81" si="58">I57</f>
        <v>0</v>
      </c>
      <c r="AC57" s="181"/>
      <c r="AD57" s="182" t="s">
        <v>419</v>
      </c>
      <c r="AE57" s="183">
        <f>'[2]Resume Akas 2020'!C54</f>
        <v>0</v>
      </c>
      <c r="AF57" s="183">
        <f>'[2]Resume Akas 2020'!N54</f>
        <v>0</v>
      </c>
      <c r="AG57" s="183">
        <f t="shared" ref="AG57:AG64" si="59">I57</f>
        <v>0</v>
      </c>
      <c r="AH57" s="184">
        <v>0</v>
      </c>
      <c r="AI57" s="184">
        <v>0</v>
      </c>
    </row>
    <row r="58" spans="2:37" ht="20" hidden="1" customHeight="1" x14ac:dyDescent="0.35">
      <c r="B58" s="160" t="s">
        <v>420</v>
      </c>
      <c r="C58" s="181">
        <f>+'[1]AK Opr Juni GP Des (1)'!D55</f>
        <v>-113255</v>
      </c>
      <c r="D58" s="181">
        <f>'[2]EST Akas BLNN 2020'!E76</f>
        <v>0</v>
      </c>
      <c r="E58" s="181">
        <f>'[2]EST Akas BLNN 2020'!F76</f>
        <v>0</v>
      </c>
      <c r="F58" s="181">
        <f>'[2]EST Akas BLNN 2020'!G76</f>
        <v>0</v>
      </c>
      <c r="G58" s="181">
        <v>0</v>
      </c>
      <c r="H58" s="181">
        <f>'[2]Resume Akas 2020'!N55</f>
        <v>0</v>
      </c>
      <c r="I58" s="181">
        <f t="shared" si="52"/>
        <v>0</v>
      </c>
      <c r="J58" s="181">
        <f>J13</f>
        <v>0</v>
      </c>
      <c r="K58" s="181">
        <f>K13</f>
        <v>0</v>
      </c>
      <c r="L58" s="181">
        <f>L13</f>
        <v>0</v>
      </c>
      <c r="M58" s="229">
        <f t="shared" si="53"/>
        <v>0</v>
      </c>
      <c r="N58" s="181">
        <f t="shared" si="49"/>
        <v>0</v>
      </c>
      <c r="O58" s="181">
        <f t="shared" si="49"/>
        <v>0</v>
      </c>
      <c r="P58" s="181">
        <f t="shared" si="49"/>
        <v>0</v>
      </c>
      <c r="Q58" s="229">
        <f t="shared" si="54"/>
        <v>0</v>
      </c>
      <c r="R58" s="181">
        <f t="shared" si="50"/>
        <v>0</v>
      </c>
      <c r="S58" s="181">
        <f t="shared" si="50"/>
        <v>0</v>
      </c>
      <c r="T58" s="181">
        <f t="shared" si="50"/>
        <v>0</v>
      </c>
      <c r="U58" s="229">
        <f t="shared" si="55"/>
        <v>0</v>
      </c>
      <c r="V58" s="181">
        <f t="shared" si="51"/>
        <v>0</v>
      </c>
      <c r="W58" s="181">
        <f t="shared" si="51"/>
        <v>0</v>
      </c>
      <c r="X58" s="181">
        <f t="shared" si="51"/>
        <v>0</v>
      </c>
      <c r="Y58" s="229">
        <f t="shared" si="56"/>
        <v>0</v>
      </c>
      <c r="Z58" s="180">
        <f t="shared" si="57"/>
        <v>0</v>
      </c>
      <c r="AB58" s="181">
        <f t="shared" si="58"/>
        <v>0</v>
      </c>
      <c r="AC58" s="181"/>
      <c r="AD58" s="182" t="s">
        <v>420</v>
      </c>
      <c r="AE58" s="183">
        <f>'[2]Resume Akas 2020'!C55</f>
        <v>0</v>
      </c>
      <c r="AF58" s="183">
        <f>'[2]Resume Akas 2020'!N55</f>
        <v>0</v>
      </c>
      <c r="AG58" s="183">
        <f t="shared" si="59"/>
        <v>0</v>
      </c>
      <c r="AH58" s="184">
        <v>0</v>
      </c>
      <c r="AI58" s="184">
        <v>0</v>
      </c>
    </row>
    <row r="59" spans="2:37" ht="20" customHeight="1" x14ac:dyDescent="0.35">
      <c r="B59" s="160" t="s">
        <v>421</v>
      </c>
      <c r="C59" s="181">
        <f>'[1]AK Opr Juni GP Des (1)'!D56+'[1]AK Opr Juni GP Des (1)'!D66+'[1]AK Opr Juni GP Des (1)'!D67+'[1]AK Opr Juni GP Des (1)'!D68+'[1]AK Opr Juni GP Des (1)'!D69+'[1]AK Opr Juni GP Des (1)'!D70+'[1]AK Opr Juni GP Des (1)'!D71+'[1]AK Opr Juni GP Des (1)'!D72+'[1]AK Opr Juni GP Des (1)'!D73+'[1]AK Opr Juni GP Des (1)'!D74+'[1]AK Opr Juni GP Des (1)'!D75+'[1]AK Opr Juni GP Des (1)'!D76</f>
        <v>384904</v>
      </c>
      <c r="D59" s="181">
        <f>'[3]Rincian Arus Kas 20'!E70+'[3]Rincian Arus Kas 20'!E73</f>
        <v>0</v>
      </c>
      <c r="E59" s="181">
        <f>'[3]Rincian Arus Kas 20'!F73+'[3]Rincian Arus Kas 20'!F70</f>
        <v>0</v>
      </c>
      <c r="F59" s="181">
        <f>'[3]Rincian Arus Kas 20'!G73+'[3]Rincian Arus Kas 20'!G70</f>
        <v>23.067</v>
      </c>
      <c r="G59" s="181">
        <f>'[2]EST Akas BLNN 2020'!H73</f>
        <v>0</v>
      </c>
      <c r="H59" s="181">
        <f>'[2]Resume Akas 2020'!N56</f>
        <v>0</v>
      </c>
      <c r="I59" s="181">
        <f t="shared" si="52"/>
        <v>138613.727813</v>
      </c>
      <c r="J59" s="181">
        <f>J15</f>
        <v>50</v>
      </c>
      <c r="K59" s="181">
        <f>K15</f>
        <v>50</v>
      </c>
      <c r="L59" s="181">
        <f>L15</f>
        <v>550</v>
      </c>
      <c r="M59" s="229">
        <f t="shared" si="53"/>
        <v>650</v>
      </c>
      <c r="N59" s="181">
        <f t="shared" ref="N59:P63" si="60">N15</f>
        <v>50</v>
      </c>
      <c r="O59" s="181">
        <f t="shared" si="60"/>
        <v>50</v>
      </c>
      <c r="P59" s="181">
        <f t="shared" si="60"/>
        <v>50</v>
      </c>
      <c r="Q59" s="229">
        <f t="shared" si="54"/>
        <v>150</v>
      </c>
      <c r="R59" s="181">
        <f>R15</f>
        <v>137563.727813</v>
      </c>
      <c r="S59" s="181">
        <f>S15</f>
        <v>50</v>
      </c>
      <c r="T59" s="181">
        <f>T15</f>
        <v>50</v>
      </c>
      <c r="U59" s="229">
        <f t="shared" si="55"/>
        <v>137663.727813</v>
      </c>
      <c r="V59" s="181">
        <f t="shared" ref="V59:X63" si="61">V15</f>
        <v>50</v>
      </c>
      <c r="W59" s="181">
        <f t="shared" si="61"/>
        <v>50</v>
      </c>
      <c r="X59" s="181">
        <f t="shared" si="61"/>
        <v>50</v>
      </c>
      <c r="Y59" s="229">
        <f t="shared" si="56"/>
        <v>150</v>
      </c>
      <c r="Z59" s="180">
        <f t="shared" si="57"/>
        <v>138613.727813</v>
      </c>
      <c r="AB59" s="181">
        <f t="shared" si="58"/>
        <v>138613.727813</v>
      </c>
      <c r="AC59" s="181"/>
      <c r="AD59" s="182" t="s">
        <v>421</v>
      </c>
      <c r="AE59" s="183">
        <f>'[2]Resume Akas 2020'!C56</f>
        <v>0</v>
      </c>
      <c r="AF59" s="183">
        <f>'[2]Resume Akas 2020'!N56</f>
        <v>0</v>
      </c>
      <c r="AG59" s="183">
        <f t="shared" si="59"/>
        <v>138613.727813</v>
      </c>
      <c r="AH59" s="184" t="e">
        <f t="shared" ref="AH59:AI64" si="62">AF59/AE59*100</f>
        <v>#DIV/0!</v>
      </c>
      <c r="AI59" s="184" t="e">
        <f t="shared" si="62"/>
        <v>#DIV/0!</v>
      </c>
    </row>
    <row r="60" spans="2:37" ht="20" customHeight="1" x14ac:dyDescent="0.35">
      <c r="B60" s="160" t="s">
        <v>422</v>
      </c>
      <c r="C60" s="186">
        <f>-'[1]AK Opr Juni GP Des (1)'!D59-'[1]AK Opr Juni GP Des (1)'!D60-'[1]AK Opr Juni GP Des (1)'!D61-'[1]AK Opr Juni GP Des (1)'!D62</f>
        <v>0</v>
      </c>
      <c r="D60" s="186">
        <f>-'[3]Rincian Arus Kas 20'!E61</f>
        <v>0</v>
      </c>
      <c r="E60" s="186">
        <f>-'[3]Rincian Arus Kas 20'!F61</f>
        <v>0</v>
      </c>
      <c r="F60" s="186">
        <f>-'[3]Rincian Arus Kas 20'!G61</f>
        <v>0</v>
      </c>
      <c r="G60" s="186"/>
      <c r="H60" s="186">
        <f>'[2]Resume Akas 2020'!N57</f>
        <v>0</v>
      </c>
      <c r="I60" s="193">
        <f t="shared" si="52"/>
        <v>-79751</v>
      </c>
      <c r="J60" s="181">
        <f t="shared" ref="J60:K63" si="63">J16</f>
        <v>0</v>
      </c>
      <c r="K60" s="181">
        <f t="shared" si="63"/>
        <v>0</v>
      </c>
      <c r="L60" s="193">
        <f>-54328+27157-52580</f>
        <v>-79751</v>
      </c>
      <c r="M60" s="230">
        <f t="shared" si="53"/>
        <v>-79751</v>
      </c>
      <c r="N60" s="181">
        <f t="shared" si="60"/>
        <v>0</v>
      </c>
      <c r="O60" s="181">
        <f t="shared" si="60"/>
        <v>0</v>
      </c>
      <c r="P60" s="181">
        <f t="shared" si="60"/>
        <v>0</v>
      </c>
      <c r="Q60" s="230">
        <f t="shared" si="54"/>
        <v>0</v>
      </c>
      <c r="R60" s="181">
        <f>R16*0</f>
        <v>0</v>
      </c>
      <c r="S60" s="181">
        <f t="shared" ref="S60:T63" si="64">S16</f>
        <v>0</v>
      </c>
      <c r="T60" s="181">
        <f t="shared" si="64"/>
        <v>0</v>
      </c>
      <c r="U60" s="230">
        <f t="shared" si="55"/>
        <v>0</v>
      </c>
      <c r="V60" s="181">
        <f t="shared" si="61"/>
        <v>0</v>
      </c>
      <c r="W60" s="181">
        <f t="shared" si="61"/>
        <v>0</v>
      </c>
      <c r="X60" s="181">
        <f t="shared" si="61"/>
        <v>0</v>
      </c>
      <c r="Y60" s="230">
        <f t="shared" si="56"/>
        <v>0</v>
      </c>
      <c r="Z60" s="180">
        <f t="shared" si="57"/>
        <v>-79751</v>
      </c>
      <c r="AB60" s="186">
        <f t="shared" si="58"/>
        <v>-79751</v>
      </c>
      <c r="AC60" s="189"/>
      <c r="AD60" s="182" t="s">
        <v>422</v>
      </c>
      <c r="AE60" s="190">
        <f>'[2]Resume Akas 2020'!C57</f>
        <v>0</v>
      </c>
      <c r="AF60" s="190">
        <f>'[2]Resume Akas 2020'!N57</f>
        <v>0</v>
      </c>
      <c r="AG60" s="190">
        <f t="shared" si="59"/>
        <v>-79751</v>
      </c>
      <c r="AH60" s="184" t="e">
        <f t="shared" si="62"/>
        <v>#DIV/0!</v>
      </c>
      <c r="AI60" s="184" t="e">
        <f t="shared" si="62"/>
        <v>#DIV/0!</v>
      </c>
      <c r="AK60" s="180">
        <f>AG56+AG59</f>
        <v>460695.7339966374</v>
      </c>
    </row>
    <row r="61" spans="2:37" ht="20" customHeight="1" x14ac:dyDescent="0.35">
      <c r="B61" s="160" t="s">
        <v>423</v>
      </c>
      <c r="C61" s="186">
        <v>0</v>
      </c>
      <c r="D61" s="186">
        <f>-'[3]Rincian Arus Kas 20'!E59</f>
        <v>0</v>
      </c>
      <c r="E61" s="186">
        <f>-'[3]Rincian Arus Kas 20'!F59</f>
        <v>0</v>
      </c>
      <c r="F61" s="186">
        <f>-'[3]Rincian Arus Kas 20'!G59</f>
        <v>0</v>
      </c>
      <c r="G61" s="186">
        <f>-'[2]EST Akas BLNN 2020'!H59</f>
        <v>0</v>
      </c>
      <c r="H61" s="186">
        <f>'[2]Resume Akas 2020'!N58</f>
        <v>0</v>
      </c>
      <c r="I61" s="193">
        <f t="shared" si="52"/>
        <v>-23058</v>
      </c>
      <c r="J61" s="193">
        <f t="shared" si="63"/>
        <v>-1840</v>
      </c>
      <c r="K61" s="193">
        <f t="shared" si="63"/>
        <v>-1840</v>
      </c>
      <c r="L61" s="193">
        <f>L17</f>
        <v>-1840</v>
      </c>
      <c r="M61" s="230">
        <f t="shared" si="53"/>
        <v>-5520</v>
      </c>
      <c r="N61" s="193">
        <f t="shared" si="60"/>
        <v>-1840</v>
      </c>
      <c r="O61" s="193">
        <f t="shared" si="60"/>
        <v>-1840</v>
      </c>
      <c r="P61" s="193">
        <f t="shared" si="60"/>
        <v>-2790</v>
      </c>
      <c r="Q61" s="230">
        <f t="shared" si="54"/>
        <v>-6470</v>
      </c>
      <c r="R61" s="193">
        <f>R17</f>
        <v>-1840</v>
      </c>
      <c r="S61" s="193">
        <f t="shared" si="64"/>
        <v>-1840</v>
      </c>
      <c r="T61" s="193">
        <f t="shared" si="64"/>
        <v>-1840</v>
      </c>
      <c r="U61" s="230">
        <f t="shared" si="55"/>
        <v>-5520</v>
      </c>
      <c r="V61" s="193">
        <f t="shared" si="61"/>
        <v>-1840</v>
      </c>
      <c r="W61" s="193">
        <f t="shared" si="61"/>
        <v>-1840</v>
      </c>
      <c r="X61" s="193">
        <f t="shared" si="61"/>
        <v>-1868</v>
      </c>
      <c r="Y61" s="230">
        <f t="shared" si="56"/>
        <v>-5548</v>
      </c>
      <c r="Z61" s="180">
        <f t="shared" si="57"/>
        <v>-23058</v>
      </c>
      <c r="AB61" s="186">
        <f t="shared" si="58"/>
        <v>-23058</v>
      </c>
      <c r="AC61" s="189"/>
      <c r="AD61" s="182" t="s">
        <v>423</v>
      </c>
      <c r="AE61" s="183">
        <f>'[2]Resume Akas 2020'!C58</f>
        <v>0</v>
      </c>
      <c r="AF61" s="190">
        <f>'[2]Resume Akas 2020'!N58</f>
        <v>0</v>
      </c>
      <c r="AG61" s="190">
        <f t="shared" si="59"/>
        <v>-23058</v>
      </c>
      <c r="AH61" s="184">
        <v>0</v>
      </c>
      <c r="AI61" s="184" t="e">
        <f t="shared" si="62"/>
        <v>#DIV/0!</v>
      </c>
    </row>
    <row r="62" spans="2:37" ht="20" customHeight="1" x14ac:dyDescent="0.35">
      <c r="B62" s="160" t="s">
        <v>424</v>
      </c>
      <c r="C62" s="186">
        <f>-'[1]AK Opr Juni GP Des (1)'!D92</f>
        <v>-373097</v>
      </c>
      <c r="D62" s="186">
        <f>-'[3]Rincian Arus Kas 20'!E91-'[3]Rincian Arus Kas 20'!E92</f>
        <v>-606158.09543800005</v>
      </c>
      <c r="E62" s="186">
        <f>-'[3]Rincian Arus Kas 20'!F92</f>
        <v>-161986.425066</v>
      </c>
      <c r="F62" s="186">
        <f>-'[3]Rincian Arus Kas 20'!G92</f>
        <v>-62739.860755000009</v>
      </c>
      <c r="G62" s="186">
        <f>-'[2]EST Akas BLNN 2020'!H92</f>
        <v>-10867.203047000001</v>
      </c>
      <c r="H62" s="186">
        <f>'[2]Resume Akas 2020'!N59</f>
        <v>0</v>
      </c>
      <c r="I62" s="193">
        <f t="shared" si="52"/>
        <v>-75077.840742036497</v>
      </c>
      <c r="J62" s="193">
        <f t="shared" si="63"/>
        <v>-1932.4920371018247</v>
      </c>
      <c r="K62" s="193">
        <f t="shared" si="63"/>
        <v>-1932.4920371018247</v>
      </c>
      <c r="L62" s="193">
        <f>L18</f>
        <v>-1932.4920371018247</v>
      </c>
      <c r="M62" s="230">
        <f t="shared" si="53"/>
        <v>-5797.4761113054738</v>
      </c>
      <c r="N62" s="193">
        <f t="shared" si="60"/>
        <v>-36648.820061836377</v>
      </c>
      <c r="O62" s="193">
        <f t="shared" si="60"/>
        <v>-4720.8200618363744</v>
      </c>
      <c r="P62" s="193">
        <f t="shared" si="60"/>
        <v>-4720.8200618363744</v>
      </c>
      <c r="Q62" s="230">
        <f t="shared" si="54"/>
        <v>-46090.460185509124</v>
      </c>
      <c r="R62" s="193">
        <f>R18</f>
        <v>-3864.9840742036486</v>
      </c>
      <c r="S62" s="193">
        <f t="shared" si="64"/>
        <v>-3864.9840742036486</v>
      </c>
      <c r="T62" s="193">
        <f t="shared" si="64"/>
        <v>-3864.9840742036486</v>
      </c>
      <c r="U62" s="230">
        <f t="shared" si="55"/>
        <v>-11594.952222610946</v>
      </c>
      <c r="V62" s="193">
        <f t="shared" si="61"/>
        <v>-3864.9840742036486</v>
      </c>
      <c r="W62" s="193">
        <f t="shared" si="61"/>
        <v>-3864.9840742036486</v>
      </c>
      <c r="X62" s="193">
        <f t="shared" si="61"/>
        <v>-3864.9840742036486</v>
      </c>
      <c r="Y62" s="230">
        <f t="shared" si="56"/>
        <v>-11594.952222610946</v>
      </c>
      <c r="Z62" s="180">
        <f t="shared" si="57"/>
        <v>-75077.840742036482</v>
      </c>
      <c r="AB62" s="186">
        <f t="shared" si="58"/>
        <v>-75077.840742036497</v>
      </c>
      <c r="AC62" s="189"/>
      <c r="AD62" s="182" t="s">
        <v>424</v>
      </c>
      <c r="AE62" s="190">
        <f>'[2]Resume Akas 2020'!C59</f>
        <v>0</v>
      </c>
      <c r="AF62" s="190">
        <f>'[2]Resume Akas 2020'!N59</f>
        <v>0</v>
      </c>
      <c r="AG62" s="190">
        <f t="shared" si="59"/>
        <v>-75077.840742036497</v>
      </c>
      <c r="AH62" s="184" t="e">
        <f t="shared" ref="AH62:AH64" si="65">AF62/AE62*100</f>
        <v>#DIV/0!</v>
      </c>
      <c r="AI62" s="184" t="e">
        <f t="shared" si="62"/>
        <v>#DIV/0!</v>
      </c>
    </row>
    <row r="63" spans="2:37" ht="20" customHeight="1" thickBot="1" x14ac:dyDescent="0.4">
      <c r="B63" s="160" t="s">
        <v>425</v>
      </c>
      <c r="C63" s="193">
        <f>-'[1]AK Opr Juni GP Des (1)'!D79-'[1]AK Opr Juni GP Des (1)'!D80-'[1]AK Opr Juni GP Des (1)'!D81-'[1]AK Opr Juni GP Des (1)'!D82-'[1]AK Opr Juni GP Des (1)'!D83-'[1]AK Opr Juni GP Des (1)'!D84-'[1]AK Opr Juni GP Des (1)'!D85-'[1]AK Opr Juni GP Des (1)'!D86-'[1]AK Opr Juni GP Des (1)'!D87-'[1]AK Opr Juni GP Des (1)'!D88-'[1]AK Opr Juni GP Des (1)'!D89-'[1]AK Opr Juni GP Des (1)'!D90-'[1]AK Opr Juni GP Des (1)'!D91-'[1]AK Opr Juni GP Des (1)'!D93-'[1]AK Opr Juni GP Des (1)'!D94-'[1]AK Opr Juni GP Des (1)'!D95-'[1]AK Opr Juni GP Des (1)'!D96</f>
        <v>-1404091</v>
      </c>
      <c r="D63" s="193">
        <f>-'[3]Rincian Arus Kas 20'!E81-'[3]Rincian Arus Kas 20'!E82-'[3]Rincian Arus Kas 20'!E83-'[3]Rincian Arus Kas 20'!E84-'[3]Rincian Arus Kas 20'!E89-'[3]Rincian Arus Kas 20'!E94-'[3]Rincian Arus Kas 20'!E96</f>
        <v>-717883.30234699999</v>
      </c>
      <c r="E63" s="193">
        <f>-'[3]Rincian Arus Kas 20'!F81-'[3]Rincian Arus Kas 20'!F82-'[3]Rincian Arus Kas 20'!F83-'[3]Rincian Arus Kas 20'!F84-'[3]Rincian Arus Kas 20'!F89-'[3]Rincian Arus Kas 20'!F91-'[3]Rincian Arus Kas 20'!F94-'[3]Rincian Arus Kas 20'!F96</f>
        <v>-198325.62712899997</v>
      </c>
      <c r="F63" s="193">
        <f>-'[3]Rincian Arus Kas 20'!G81-'[3]Rincian Arus Kas 20'!G82-'[3]Rincian Arus Kas 20'!G83-'[3]Rincian Arus Kas 20'!G84-'[3]Rincian Arus Kas 20'!G89-'[3]Rincian Arus Kas 20'!G91-'[3]Rincian Arus Kas 20'!G94-'[3]Rincian Arus Kas 20'!G96</f>
        <v>-47674.199079000013</v>
      </c>
      <c r="G63" s="193">
        <f>-'[2]EST Akas BLNN 2020'!H82-'[2]EST Akas BLNN 2020'!H89</f>
        <v>0</v>
      </c>
      <c r="H63" s="193">
        <f>'[2]Resume Akas 2020'!N60</f>
        <v>0</v>
      </c>
      <c r="I63" s="193">
        <f t="shared" si="52"/>
        <v>-55022.37469127326</v>
      </c>
      <c r="J63" s="193">
        <f t="shared" si="63"/>
        <v>-3984.3281443903306</v>
      </c>
      <c r="K63" s="193">
        <f t="shared" si="63"/>
        <v>-3984.3281443903306</v>
      </c>
      <c r="L63" s="193">
        <f>L19</f>
        <v>-3984.3281443903306</v>
      </c>
      <c r="M63" s="231">
        <f t="shared" si="53"/>
        <v>-11952.984433170992</v>
      </c>
      <c r="N63" s="193">
        <f t="shared" si="60"/>
        <v>-4694.0177242727705</v>
      </c>
      <c r="O63" s="193">
        <f t="shared" si="60"/>
        <v>-4694.0177242727705</v>
      </c>
      <c r="P63" s="193">
        <f t="shared" si="60"/>
        <v>-4694.0177242727705</v>
      </c>
      <c r="Q63" s="231">
        <f t="shared" si="54"/>
        <v>-14082.053172818312</v>
      </c>
      <c r="R63" s="193">
        <f>R19</f>
        <v>-4721.4934757139936</v>
      </c>
      <c r="S63" s="193">
        <f t="shared" si="64"/>
        <v>-4721.4934757139936</v>
      </c>
      <c r="T63" s="193">
        <f t="shared" si="64"/>
        <v>-4721.4934757139936</v>
      </c>
      <c r="U63" s="231">
        <f t="shared" si="55"/>
        <v>-14164.480427141982</v>
      </c>
      <c r="V63" s="193">
        <f t="shared" si="61"/>
        <v>-4912.9522193806588</v>
      </c>
      <c r="W63" s="193">
        <f t="shared" si="61"/>
        <v>-4912.9522193806588</v>
      </c>
      <c r="X63" s="193">
        <f t="shared" si="61"/>
        <v>-4996.9522193806588</v>
      </c>
      <c r="Y63" s="231">
        <f t="shared" si="56"/>
        <v>-14822.856658141976</v>
      </c>
      <c r="Z63" s="180">
        <f t="shared" si="57"/>
        <v>-55022.37469127326</v>
      </c>
      <c r="AB63" s="193">
        <f t="shared" si="58"/>
        <v>-55022.37469127326</v>
      </c>
      <c r="AC63" s="189"/>
      <c r="AD63" s="194" t="s">
        <v>425</v>
      </c>
      <c r="AE63" s="195">
        <f>'[2]Resume Akas 2020'!C60</f>
        <v>0</v>
      </c>
      <c r="AF63" s="195">
        <f>'[2]Resume Akas 2020'!N60</f>
        <v>0</v>
      </c>
      <c r="AG63" s="195">
        <f t="shared" si="59"/>
        <v>-55022.37469127326</v>
      </c>
      <c r="AH63" s="196" t="e">
        <f t="shared" si="65"/>
        <v>#DIV/0!</v>
      </c>
      <c r="AI63" s="196" t="e">
        <f t="shared" si="62"/>
        <v>#DIV/0!</v>
      </c>
    </row>
    <row r="64" spans="2:37" s="162" customFormat="1" ht="20" customHeight="1" thickBot="1" x14ac:dyDescent="0.4">
      <c r="B64" s="197" t="s">
        <v>426</v>
      </c>
      <c r="C64" s="198">
        <f>SUM(C56:C63)</f>
        <v>-1482816</v>
      </c>
      <c r="D64" s="198">
        <f>SUM(D56:D63)</f>
        <v>-1312932.1584020001</v>
      </c>
      <c r="E64" s="198">
        <f t="shared" ref="E64:G64" si="66">SUM(E56:E63)</f>
        <v>-359837.26700499997</v>
      </c>
      <c r="F64" s="198">
        <f t="shared" si="66"/>
        <v>-67898.59492600002</v>
      </c>
      <c r="G64" s="198">
        <f t="shared" si="66"/>
        <v>-10867.203047000001</v>
      </c>
      <c r="H64" s="198">
        <f>'[2]Resume Akas 2020'!N61</f>
        <v>0</v>
      </c>
      <c r="I64" s="198">
        <f t="shared" ref="I64" si="67">Y64+U64+Q64+M64</f>
        <v>227786.5185633277</v>
      </c>
      <c r="J64" s="198">
        <f t="shared" ref="J64:L64" si="68">SUM(J56:J63)</f>
        <v>8397.2801276897153</v>
      </c>
      <c r="K64" s="198">
        <f t="shared" si="68"/>
        <v>8397.2801276897153</v>
      </c>
      <c r="L64" s="198">
        <f t="shared" si="68"/>
        <v>-70853.719872310277</v>
      </c>
      <c r="M64" s="232">
        <f>SUM(M56:M63)</f>
        <v>-54059.159616930847</v>
      </c>
      <c r="N64" s="198">
        <f t="shared" ref="N64:P64" si="69">SUM(N56:N63)</f>
        <v>-16292.670604139363</v>
      </c>
      <c r="O64" s="198">
        <f t="shared" si="69"/>
        <v>15635.329395860641</v>
      </c>
      <c r="P64" s="198">
        <f t="shared" si="69"/>
        <v>14685.329395860641</v>
      </c>
      <c r="Q64" s="232">
        <f>SUM(Q56:Q63)</f>
        <v>14027.988187581919</v>
      </c>
      <c r="R64" s="198">
        <f>SUM(R56:R63)</f>
        <v>159345.4508814461</v>
      </c>
      <c r="S64" s="198">
        <f t="shared" ref="S64:Y64" si="70">SUM(S56:S63)</f>
        <v>21831.723068446096</v>
      </c>
      <c r="T64" s="198">
        <f t="shared" si="70"/>
        <v>21831.723068446096</v>
      </c>
      <c r="U64" s="232">
        <f t="shared" si="70"/>
        <v>203008.89701833829</v>
      </c>
      <c r="V64" s="198">
        <f t="shared" si="70"/>
        <v>21640.264324779429</v>
      </c>
      <c r="W64" s="198">
        <f t="shared" si="70"/>
        <v>21640.264324779429</v>
      </c>
      <c r="X64" s="198">
        <f t="shared" si="70"/>
        <v>21528.264324779429</v>
      </c>
      <c r="Y64" s="232">
        <f t="shared" si="70"/>
        <v>64808.792974338299</v>
      </c>
      <c r="Z64" s="180">
        <f t="shared" si="57"/>
        <v>227786.5185633277</v>
      </c>
      <c r="AB64" s="199">
        <f t="shared" si="58"/>
        <v>227786.5185633277</v>
      </c>
      <c r="AC64" s="200"/>
      <c r="AD64" s="201" t="s">
        <v>426</v>
      </c>
      <c r="AE64" s="202">
        <f>'[2]Resume Akas 2020'!C61</f>
        <v>0</v>
      </c>
      <c r="AF64" s="203">
        <f>'[2]Resume Akas 2020'!N61</f>
        <v>0</v>
      </c>
      <c r="AG64" s="203">
        <f t="shared" si="59"/>
        <v>227786.5185633277</v>
      </c>
      <c r="AH64" s="204" t="e">
        <f t="shared" si="65"/>
        <v>#DIV/0!</v>
      </c>
      <c r="AI64" s="204" t="e">
        <f t="shared" si="62"/>
        <v>#DIV/0!</v>
      </c>
      <c r="AK64" s="205">
        <f>(AG56+AG59)+AG60+AG61+AG62+AG63</f>
        <v>227786.51856332767</v>
      </c>
    </row>
    <row r="65" spans="2:37" ht="5.4" customHeight="1" x14ac:dyDescent="0.35">
      <c r="D65" s="181"/>
      <c r="E65" s="181"/>
      <c r="F65" s="181"/>
      <c r="G65" s="181"/>
      <c r="J65" s="181"/>
      <c r="K65" s="181"/>
      <c r="L65" s="181"/>
      <c r="M65" s="229"/>
      <c r="N65" s="181"/>
      <c r="O65" s="181"/>
      <c r="P65" s="181"/>
      <c r="Q65" s="229"/>
      <c r="R65" s="181"/>
      <c r="S65" s="181"/>
      <c r="T65" s="181"/>
      <c r="U65" s="229"/>
      <c r="V65" s="181"/>
      <c r="W65" s="181"/>
      <c r="X65" s="181"/>
      <c r="Y65" s="229"/>
      <c r="Z65" s="180"/>
      <c r="AE65" s="180"/>
      <c r="AF65" s="180"/>
      <c r="AG65" s="180"/>
      <c r="AH65" s="206"/>
      <c r="AI65" s="206"/>
      <c r="AK65" s="180"/>
    </row>
    <row r="66" spans="2:37" ht="20" customHeight="1" x14ac:dyDescent="0.35">
      <c r="B66" s="175" t="s">
        <v>427</v>
      </c>
      <c r="C66" s="175"/>
      <c r="D66" s="207"/>
      <c r="E66" s="207"/>
      <c r="F66" s="207"/>
      <c r="G66" s="207"/>
      <c r="H66" s="175"/>
      <c r="I66" s="175"/>
      <c r="J66" s="207"/>
      <c r="K66" s="207"/>
      <c r="L66" s="207"/>
      <c r="M66" s="233"/>
      <c r="N66" s="207"/>
      <c r="O66" s="207"/>
      <c r="P66" s="207"/>
      <c r="Q66" s="233"/>
      <c r="R66" s="207"/>
      <c r="S66" s="207"/>
      <c r="T66" s="207"/>
      <c r="U66" s="233"/>
      <c r="V66" s="207"/>
      <c r="W66" s="207"/>
      <c r="X66" s="207"/>
      <c r="Y66" s="233"/>
      <c r="Z66" s="180">
        <f t="shared" si="57"/>
        <v>0</v>
      </c>
      <c r="AB66" s="175">
        <f t="shared" si="58"/>
        <v>0</v>
      </c>
      <c r="AC66" s="157">
        <v>2</v>
      </c>
      <c r="AD66" s="175" t="s">
        <v>427</v>
      </c>
      <c r="AE66" s="180"/>
      <c r="AF66" s="180"/>
      <c r="AG66" s="180"/>
      <c r="AH66" s="206"/>
      <c r="AI66" s="206"/>
    </row>
    <row r="67" spans="2:37" ht="20" customHeight="1" x14ac:dyDescent="0.35">
      <c r="B67" s="160" t="s">
        <v>428</v>
      </c>
      <c r="C67" s="186" t="e">
        <f>-'[1]AK Opr Juni GP Des (1)'!D110-'[1]AK Opr Juni GP Des (1)'!D112-'[1]AK Opr Juni GP Des (1)'!D113-'[1]AK Opr Juni GP Des (1)'!D114</f>
        <v>#REF!</v>
      </c>
      <c r="D67" s="186" t="e">
        <f>-'[3]Rincian Arus Kas 20'!E112-'[3]Rincian Arus Kas 20'!E113</f>
        <v>#VALUE!</v>
      </c>
      <c r="E67" s="186">
        <f>-'[3]Rincian Arus Kas 20'!F112</f>
        <v>0</v>
      </c>
      <c r="F67" s="186">
        <f>-'[3]Rincian Arus Kas 20'!G112</f>
        <v>0</v>
      </c>
      <c r="G67" s="186">
        <v>0</v>
      </c>
      <c r="H67" s="186">
        <f>'[2]Resume Akas 2020'!N64</f>
        <v>0</v>
      </c>
      <c r="I67" s="181">
        <f t="shared" ref="I67:I69" si="71">M67+Q67+U67+Y67</f>
        <v>0</v>
      </c>
      <c r="J67" s="181">
        <f t="shared" ref="J67:L69" si="72">J23</f>
        <v>0</v>
      </c>
      <c r="K67" s="181">
        <f t="shared" si="72"/>
        <v>0</v>
      </c>
      <c r="L67" s="181">
        <f t="shared" si="72"/>
        <v>0</v>
      </c>
      <c r="M67" s="229">
        <f t="shared" ref="M67:M69" si="73">L67+K67+J67</f>
        <v>0</v>
      </c>
      <c r="N67" s="181">
        <f t="shared" ref="N67:P69" si="74">N23</f>
        <v>0</v>
      </c>
      <c r="O67" s="181">
        <f t="shared" si="74"/>
        <v>0</v>
      </c>
      <c r="P67" s="181">
        <f t="shared" si="74"/>
        <v>0</v>
      </c>
      <c r="Q67" s="229">
        <f t="shared" ref="Q67:Q69" si="75">P67+O67+N67</f>
        <v>0</v>
      </c>
      <c r="R67" s="181">
        <f t="shared" ref="R67:T69" si="76">R23</f>
        <v>0</v>
      </c>
      <c r="S67" s="181">
        <f t="shared" si="76"/>
        <v>0</v>
      </c>
      <c r="T67" s="181">
        <f t="shared" si="76"/>
        <v>0</v>
      </c>
      <c r="U67" s="229">
        <f t="shared" ref="U67:U69" si="77">T67+S67+R67</f>
        <v>0</v>
      </c>
      <c r="V67" s="181">
        <f t="shared" ref="V67:X69" si="78">V23</f>
        <v>0</v>
      </c>
      <c r="W67" s="181">
        <f t="shared" si="78"/>
        <v>0</v>
      </c>
      <c r="X67" s="181">
        <f t="shared" si="78"/>
        <v>0</v>
      </c>
      <c r="Y67" s="229">
        <f t="shared" ref="Y67:Y69" si="79">X67+W67+V67</f>
        <v>0</v>
      </c>
      <c r="Z67" s="180">
        <f t="shared" si="57"/>
        <v>0</v>
      </c>
      <c r="AB67" s="186">
        <f t="shared" si="58"/>
        <v>0</v>
      </c>
      <c r="AC67" s="189"/>
      <c r="AD67" s="182" t="s">
        <v>428</v>
      </c>
      <c r="AE67" s="190">
        <f>'[2]Resume Akas 2020'!C64</f>
        <v>0</v>
      </c>
      <c r="AF67" s="190">
        <f>'[2]Resume Akas 2020'!N64</f>
        <v>0</v>
      </c>
      <c r="AG67" s="190">
        <f t="shared" ref="AG67" si="80">I67</f>
        <v>0</v>
      </c>
      <c r="AH67" s="184" t="e">
        <f t="shared" ref="AH67:AI70" si="81">AF67/AE67*100</f>
        <v>#DIV/0!</v>
      </c>
      <c r="AI67" s="184" t="e">
        <f t="shared" si="81"/>
        <v>#DIV/0!</v>
      </c>
    </row>
    <row r="68" spans="2:37" ht="20" customHeight="1" x14ac:dyDescent="0.35">
      <c r="B68" s="160" t="s">
        <v>429</v>
      </c>
      <c r="C68" s="181">
        <v>0</v>
      </c>
      <c r="D68" s="181">
        <v>0</v>
      </c>
      <c r="E68" s="181">
        <f>-'[3]Rincian Arus Kas 20'!F113</f>
        <v>0</v>
      </c>
      <c r="F68" s="181">
        <f>-'[3]Rincian Arus Kas 20'!G113</f>
        <v>0</v>
      </c>
      <c r="G68" s="181">
        <v>0</v>
      </c>
      <c r="H68" s="186">
        <f>'[2]Resume Akas 2020'!N65</f>
        <v>0</v>
      </c>
      <c r="I68" s="193">
        <f t="shared" si="71"/>
        <v>-40000</v>
      </c>
      <c r="J68" s="181">
        <f t="shared" si="72"/>
        <v>0</v>
      </c>
      <c r="K68" s="181">
        <f t="shared" si="72"/>
        <v>0</v>
      </c>
      <c r="L68" s="181">
        <f t="shared" si="72"/>
        <v>0</v>
      </c>
      <c r="M68" s="229">
        <f t="shared" si="73"/>
        <v>0</v>
      </c>
      <c r="N68" s="181">
        <f t="shared" si="74"/>
        <v>0</v>
      </c>
      <c r="O68" s="181">
        <f t="shared" si="74"/>
        <v>0</v>
      </c>
      <c r="P68" s="181">
        <f t="shared" si="74"/>
        <v>0</v>
      </c>
      <c r="Q68" s="229">
        <f t="shared" si="75"/>
        <v>0</v>
      </c>
      <c r="R68" s="181">
        <f t="shared" si="76"/>
        <v>0</v>
      </c>
      <c r="S68" s="181">
        <f t="shared" si="76"/>
        <v>0</v>
      </c>
      <c r="T68" s="181">
        <f t="shared" si="76"/>
        <v>0</v>
      </c>
      <c r="U68" s="229">
        <f t="shared" si="77"/>
        <v>0</v>
      </c>
      <c r="V68" s="181">
        <f t="shared" si="78"/>
        <v>0</v>
      </c>
      <c r="W68" s="181">
        <f t="shared" si="78"/>
        <v>0</v>
      </c>
      <c r="X68" s="193">
        <f t="shared" si="78"/>
        <v>-40000</v>
      </c>
      <c r="Y68" s="230">
        <f t="shared" si="79"/>
        <v>-40000</v>
      </c>
      <c r="Z68" s="180">
        <f t="shared" si="57"/>
        <v>-40000</v>
      </c>
      <c r="AB68" s="181">
        <f t="shared" si="58"/>
        <v>-40000</v>
      </c>
      <c r="AC68" s="181"/>
      <c r="AD68" s="182" t="s">
        <v>429</v>
      </c>
      <c r="AE68" s="190">
        <f>'[2]Resume Akas 2020'!C65</f>
        <v>0</v>
      </c>
      <c r="AF68" s="190">
        <f>'[2]Resume Akas 2020'!N65</f>
        <v>0</v>
      </c>
      <c r="AG68" s="190">
        <v>0</v>
      </c>
      <c r="AH68" s="184">
        <v>0</v>
      </c>
      <c r="AI68" s="184" t="e">
        <f t="shared" si="81"/>
        <v>#DIV/0!</v>
      </c>
    </row>
    <row r="69" spans="2:37" ht="20" customHeight="1" thickBot="1" x14ac:dyDescent="0.4">
      <c r="B69" s="160" t="s">
        <v>430</v>
      </c>
      <c r="C69" s="186" t="e">
        <f>-'[1]AK Opr Juni GP Des (1)'!D111</f>
        <v>#REF!</v>
      </c>
      <c r="D69" s="186" t="e">
        <f>-'[3]Rincian Arus Kas 20'!E111</f>
        <v>#VALUE!</v>
      </c>
      <c r="E69" s="186">
        <f>-'[3]Rincian Arus Kas 20'!F111</f>
        <v>0</v>
      </c>
      <c r="F69" s="186">
        <f>-'[3]Rincian Arus Kas 20'!G111</f>
        <v>0</v>
      </c>
      <c r="G69" s="186">
        <f>-'[2]EST Akas BLNN 2020'!H111</f>
        <v>0</v>
      </c>
      <c r="H69" s="186">
        <f>'[2]Resume Akas 2020'!N66</f>
        <v>0</v>
      </c>
      <c r="I69" s="181">
        <f t="shared" si="71"/>
        <v>0</v>
      </c>
      <c r="J69" s="181">
        <f t="shared" si="72"/>
        <v>0</v>
      </c>
      <c r="K69" s="181">
        <f t="shared" si="72"/>
        <v>0</v>
      </c>
      <c r="L69" s="181">
        <f t="shared" si="72"/>
        <v>0</v>
      </c>
      <c r="M69" s="229">
        <f t="shared" si="73"/>
        <v>0</v>
      </c>
      <c r="N69" s="181">
        <f t="shared" si="74"/>
        <v>0</v>
      </c>
      <c r="O69" s="181">
        <f t="shared" si="74"/>
        <v>0</v>
      </c>
      <c r="P69" s="181">
        <f t="shared" si="74"/>
        <v>0</v>
      </c>
      <c r="Q69" s="229">
        <f t="shared" si="75"/>
        <v>0</v>
      </c>
      <c r="R69" s="181">
        <f t="shared" si="76"/>
        <v>0</v>
      </c>
      <c r="S69" s="181">
        <f t="shared" si="76"/>
        <v>0</v>
      </c>
      <c r="T69" s="181">
        <f t="shared" si="76"/>
        <v>0</v>
      </c>
      <c r="U69" s="229">
        <f t="shared" si="77"/>
        <v>0</v>
      </c>
      <c r="V69" s="181">
        <f t="shared" si="78"/>
        <v>0</v>
      </c>
      <c r="W69" s="181">
        <f t="shared" si="78"/>
        <v>0</v>
      </c>
      <c r="X69" s="181">
        <f t="shared" si="78"/>
        <v>0</v>
      </c>
      <c r="Y69" s="229">
        <f t="shared" si="79"/>
        <v>0</v>
      </c>
      <c r="Z69" s="180">
        <f t="shared" si="57"/>
        <v>0</v>
      </c>
      <c r="AB69" s="186">
        <f t="shared" si="58"/>
        <v>0</v>
      </c>
      <c r="AC69" s="189"/>
      <c r="AD69" s="182" t="s">
        <v>430</v>
      </c>
      <c r="AE69" s="190">
        <f>'[2]Resume Akas 2020'!C66</f>
        <v>0</v>
      </c>
      <c r="AF69" s="190">
        <f>'[2]Resume Akas 2020'!N66</f>
        <v>0</v>
      </c>
      <c r="AG69" s="190">
        <f>X68</f>
        <v>-40000</v>
      </c>
      <c r="AH69" s="184" t="e">
        <f t="shared" ref="AH69:AH70" si="82">AF69/AE69*100</f>
        <v>#DIV/0!</v>
      </c>
      <c r="AI69" s="184" t="e">
        <f t="shared" si="81"/>
        <v>#DIV/0!</v>
      </c>
    </row>
    <row r="70" spans="2:37" s="162" customFormat="1" ht="20" customHeight="1" thickBot="1" x14ac:dyDescent="0.4">
      <c r="B70" s="197" t="s">
        <v>431</v>
      </c>
      <c r="C70" s="198" t="e">
        <f>SUM(C67:C69)</f>
        <v>#REF!</v>
      </c>
      <c r="D70" s="198" t="e">
        <f>SUM(D67:D69)</f>
        <v>#VALUE!</v>
      </c>
      <c r="E70" s="198">
        <f t="shared" ref="E70:G70" si="83">SUM(E67:E69)</f>
        <v>0</v>
      </c>
      <c r="F70" s="198">
        <f t="shared" si="83"/>
        <v>0</v>
      </c>
      <c r="G70" s="198">
        <f t="shared" si="83"/>
        <v>0</v>
      </c>
      <c r="H70" s="198">
        <f>'[2]Resume Akas 2020'!N67</f>
        <v>0</v>
      </c>
      <c r="I70" s="198">
        <f t="shared" ref="I70:I71" si="84">Y70+U70+Q70+M70</f>
        <v>-40000</v>
      </c>
      <c r="J70" s="198">
        <f>SUM(J67:J69)</f>
        <v>0</v>
      </c>
      <c r="K70" s="198">
        <f t="shared" ref="K70:L70" si="85">SUM(K67:K69)</f>
        <v>0</v>
      </c>
      <c r="L70" s="198">
        <f t="shared" si="85"/>
        <v>0</v>
      </c>
      <c r="M70" s="232">
        <f>SUM(M67:M69)</f>
        <v>0</v>
      </c>
      <c r="N70" s="198">
        <f t="shared" ref="N70:P70" si="86">SUM(N67:N69)</f>
        <v>0</v>
      </c>
      <c r="O70" s="198">
        <f t="shared" si="86"/>
        <v>0</v>
      </c>
      <c r="P70" s="198">
        <f t="shared" si="86"/>
        <v>0</v>
      </c>
      <c r="Q70" s="232">
        <f>SUM(Q67:Q69)</f>
        <v>0</v>
      </c>
      <c r="R70" s="198">
        <f>SUM(R67:R69)</f>
        <v>0</v>
      </c>
      <c r="S70" s="198">
        <f t="shared" ref="S70:Y70" si="87">SUM(S67:S69)</f>
        <v>0</v>
      </c>
      <c r="T70" s="198">
        <f t="shared" si="87"/>
        <v>0</v>
      </c>
      <c r="U70" s="232">
        <f t="shared" si="87"/>
        <v>0</v>
      </c>
      <c r="V70" s="198">
        <f t="shared" si="87"/>
        <v>0</v>
      </c>
      <c r="W70" s="198">
        <f t="shared" si="87"/>
        <v>0</v>
      </c>
      <c r="X70" s="198">
        <f t="shared" si="87"/>
        <v>-40000</v>
      </c>
      <c r="Y70" s="232">
        <f t="shared" si="87"/>
        <v>-40000</v>
      </c>
      <c r="Z70" s="180">
        <f t="shared" si="57"/>
        <v>-40000</v>
      </c>
      <c r="AB70" s="198">
        <f t="shared" si="58"/>
        <v>-40000</v>
      </c>
      <c r="AC70" s="200"/>
      <c r="AD70" s="201" t="s">
        <v>431</v>
      </c>
      <c r="AE70" s="203">
        <f>'[2]Resume Akas 2020'!C67</f>
        <v>0</v>
      </c>
      <c r="AF70" s="203">
        <f>'[2]Resume Akas 2020'!N67</f>
        <v>0</v>
      </c>
      <c r="AG70" s="203">
        <f t="shared" ref="AG70" si="88">I70</f>
        <v>-40000</v>
      </c>
      <c r="AH70" s="209" t="e">
        <f t="shared" si="82"/>
        <v>#DIV/0!</v>
      </c>
      <c r="AI70" s="210" t="e">
        <f t="shared" si="81"/>
        <v>#DIV/0!</v>
      </c>
    </row>
    <row r="71" spans="2:37" ht="6.75" customHeight="1" x14ac:dyDescent="0.35">
      <c r="D71" s="181"/>
      <c r="E71" s="181"/>
      <c r="F71" s="181"/>
      <c r="G71" s="181"/>
      <c r="I71" s="160">
        <f t="shared" si="84"/>
        <v>0</v>
      </c>
      <c r="J71" s="181"/>
      <c r="K71" s="181"/>
      <c r="L71" s="181"/>
      <c r="M71" s="229"/>
      <c r="N71" s="181"/>
      <c r="O71" s="181"/>
      <c r="P71" s="181"/>
      <c r="Q71" s="229"/>
      <c r="R71" s="181"/>
      <c r="S71" s="181"/>
      <c r="T71" s="181"/>
      <c r="U71" s="229"/>
      <c r="V71" s="181"/>
      <c r="W71" s="181"/>
      <c r="X71" s="181"/>
      <c r="Y71" s="229"/>
      <c r="Z71" s="180">
        <f t="shared" si="57"/>
        <v>0</v>
      </c>
      <c r="AB71" s="160">
        <f t="shared" si="58"/>
        <v>0</v>
      </c>
      <c r="AE71" s="180"/>
      <c r="AF71" s="180"/>
      <c r="AG71" s="180"/>
      <c r="AH71" s="206"/>
      <c r="AI71" s="206"/>
    </row>
    <row r="72" spans="2:37" ht="20" customHeight="1" x14ac:dyDescent="0.35">
      <c r="B72" s="175" t="s">
        <v>432</v>
      </c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234"/>
      <c r="N72" s="175"/>
      <c r="O72" s="175"/>
      <c r="P72" s="175"/>
      <c r="Q72" s="234"/>
      <c r="R72" s="175"/>
      <c r="S72" s="175"/>
      <c r="T72" s="175"/>
      <c r="U72" s="234"/>
      <c r="V72" s="175"/>
      <c r="W72" s="175"/>
      <c r="X72" s="175"/>
      <c r="Y72" s="234"/>
      <c r="Z72" s="180">
        <f t="shared" si="57"/>
        <v>0</v>
      </c>
      <c r="AB72" s="175">
        <f t="shared" si="58"/>
        <v>0</v>
      </c>
      <c r="AC72" s="157">
        <v>3</v>
      </c>
      <c r="AD72" s="175" t="s">
        <v>432</v>
      </c>
      <c r="AE72" s="180"/>
      <c r="AF72" s="180"/>
      <c r="AG72" s="180"/>
      <c r="AH72" s="206"/>
      <c r="AI72" s="206"/>
    </row>
    <row r="73" spans="2:37" ht="20" customHeight="1" thickBot="1" x14ac:dyDescent="0.4">
      <c r="B73" s="160" t="s">
        <v>433</v>
      </c>
      <c r="C73" s="180" t="e">
        <f>'[1]AK Opr Juni GP Des (1)'!D123+'[1]AK Opr Juni GP Des (1)'!D122</f>
        <v>#REF!</v>
      </c>
      <c r="D73" s="180">
        <f>'[3]Rincian Arus Kas 20'!E123</f>
        <v>0</v>
      </c>
      <c r="E73" s="180">
        <f>'[3]Rincian Arus Kas 20'!F123</f>
        <v>0</v>
      </c>
      <c r="F73" s="180">
        <f>'[3]Rincian Arus Kas 20'!G123</f>
        <v>0</v>
      </c>
      <c r="G73" s="180">
        <v>0</v>
      </c>
      <c r="H73" s="180">
        <f>'[2]Resume Akas 2020'!N70</f>
        <v>0</v>
      </c>
      <c r="I73" s="193">
        <f t="shared" ref="I73:I77" si="89">M73+Q73+U73+Y73</f>
        <v>0</v>
      </c>
      <c r="J73" s="193">
        <f>J29</f>
        <v>0</v>
      </c>
      <c r="K73" s="193">
        <f>K29</f>
        <v>0</v>
      </c>
      <c r="L73" s="193">
        <v>0</v>
      </c>
      <c r="M73" s="229">
        <f t="shared" ref="M73:M77" si="90">L73+K73+J73</f>
        <v>0</v>
      </c>
      <c r="N73" s="193">
        <f t="shared" ref="N73:P73" si="91">N29</f>
        <v>0</v>
      </c>
      <c r="O73" s="193">
        <f t="shared" si="91"/>
        <v>0</v>
      </c>
      <c r="P73" s="193">
        <f t="shared" si="91"/>
        <v>0</v>
      </c>
      <c r="Q73" s="229">
        <f t="shared" ref="Q73:Q77" si="92">P73+O73+N73</f>
        <v>0</v>
      </c>
      <c r="R73" s="193">
        <f t="shared" ref="R73:T73" si="93">R29</f>
        <v>0</v>
      </c>
      <c r="S73" s="193">
        <f t="shared" si="93"/>
        <v>0</v>
      </c>
      <c r="T73" s="193">
        <f t="shared" si="93"/>
        <v>0</v>
      </c>
      <c r="U73" s="229">
        <f t="shared" ref="U73:U77" si="94">T73+S73+R73</f>
        <v>0</v>
      </c>
      <c r="V73" s="193">
        <f t="shared" ref="V73:X73" si="95">V29</f>
        <v>0</v>
      </c>
      <c r="W73" s="193">
        <f t="shared" si="95"/>
        <v>0</v>
      </c>
      <c r="X73" s="193">
        <f t="shared" si="95"/>
        <v>0</v>
      </c>
      <c r="Y73" s="229">
        <f t="shared" ref="Y73:Y77" si="96">X73+W73+V73</f>
        <v>0</v>
      </c>
      <c r="Z73" s="180">
        <f t="shared" si="57"/>
        <v>0</v>
      </c>
      <c r="AB73" s="180">
        <f t="shared" si="58"/>
        <v>0</v>
      </c>
      <c r="AC73" s="180"/>
      <c r="AD73" s="182" t="s">
        <v>433</v>
      </c>
      <c r="AE73" s="190">
        <f>'[2]Resume Akas 2020'!C70</f>
        <v>0</v>
      </c>
      <c r="AF73" s="190">
        <f>'[2]Resume Akas 2020'!N70</f>
        <v>0</v>
      </c>
      <c r="AG73" s="190">
        <f t="shared" ref="AG73:AG78" si="97">I73</f>
        <v>0</v>
      </c>
      <c r="AH73" s="184" t="e">
        <f t="shared" ref="AH73:AI76" si="98">AF73/AE73*100</f>
        <v>#DIV/0!</v>
      </c>
      <c r="AI73" s="184" t="e">
        <f t="shared" si="98"/>
        <v>#DIV/0!</v>
      </c>
    </row>
    <row r="74" spans="2:37" s="223" customFormat="1" ht="20" customHeight="1" thickBot="1" x14ac:dyDescent="0.4">
      <c r="B74" s="219" t="s">
        <v>449</v>
      </c>
      <c r="C74" s="220"/>
      <c r="D74" s="220"/>
      <c r="E74" s="220"/>
      <c r="F74" s="220"/>
      <c r="G74" s="220"/>
      <c r="H74" s="220"/>
      <c r="I74" s="221">
        <f t="shared" si="89"/>
        <v>-20000</v>
      </c>
      <c r="J74" s="221">
        <v>0</v>
      </c>
      <c r="K74" s="221">
        <v>0</v>
      </c>
      <c r="L74" s="221">
        <v>74000</v>
      </c>
      <c r="M74" s="235">
        <f t="shared" si="90"/>
        <v>74000</v>
      </c>
      <c r="N74" s="221"/>
      <c r="O74" s="221"/>
      <c r="P74" s="221"/>
      <c r="Q74" s="235"/>
      <c r="R74" s="221">
        <v>-94000</v>
      </c>
      <c r="S74" s="221"/>
      <c r="T74" s="221"/>
      <c r="U74" s="235">
        <f t="shared" si="94"/>
        <v>-94000</v>
      </c>
      <c r="V74" s="221"/>
      <c r="W74" s="221"/>
      <c r="X74" s="221"/>
      <c r="Y74" s="235"/>
      <c r="Z74" s="222"/>
      <c r="AB74" s="222"/>
      <c r="AC74" s="222"/>
      <c r="AD74" s="224"/>
      <c r="AE74" s="225"/>
      <c r="AF74" s="225"/>
      <c r="AG74" s="225"/>
      <c r="AH74" s="226"/>
      <c r="AI74" s="226"/>
    </row>
    <row r="75" spans="2:37" ht="20" customHeight="1" x14ac:dyDescent="0.35">
      <c r="B75" s="160" t="s">
        <v>434</v>
      </c>
      <c r="C75" s="180" t="e">
        <f>+'[1]AK Opr Juni GP Des (1)'!D120</f>
        <v>#REF!</v>
      </c>
      <c r="D75" s="180">
        <f>'[3]Rincian Arus Kas 20'!E120</f>
        <v>0</v>
      </c>
      <c r="E75" s="180">
        <f>'[3]Rincian Arus Kas 20'!F120</f>
        <v>0</v>
      </c>
      <c r="F75" s="180">
        <f>'[3]Rincian Arus Kas 20'!G120</f>
        <v>0</v>
      </c>
      <c r="G75" s="180">
        <v>0</v>
      </c>
      <c r="H75" s="180">
        <f>'[2]Resume Akas 2020'!N71</f>
        <v>0</v>
      </c>
      <c r="I75" s="227">
        <f t="shared" si="89"/>
        <v>19009.899999999998</v>
      </c>
      <c r="J75" s="227">
        <f t="shared" ref="J75:K77" si="99">J31</f>
        <v>0</v>
      </c>
      <c r="K75" s="227">
        <f t="shared" si="99"/>
        <v>0</v>
      </c>
      <c r="L75" s="227">
        <f>27157*0.7</f>
        <v>19009.899999999998</v>
      </c>
      <c r="M75" s="229">
        <f t="shared" si="90"/>
        <v>19009.899999999998</v>
      </c>
      <c r="N75" s="227">
        <f t="shared" ref="N75:P77" si="100">N31</f>
        <v>0</v>
      </c>
      <c r="O75" s="227">
        <f t="shared" si="100"/>
        <v>0</v>
      </c>
      <c r="P75" s="227">
        <f t="shared" si="100"/>
        <v>0</v>
      </c>
      <c r="Q75" s="229">
        <f t="shared" si="92"/>
        <v>0</v>
      </c>
      <c r="R75" s="227">
        <f t="shared" ref="R75:T77" si="101">R31</f>
        <v>0</v>
      </c>
      <c r="S75" s="227">
        <f t="shared" si="101"/>
        <v>0</v>
      </c>
      <c r="T75" s="227">
        <f t="shared" si="101"/>
        <v>0</v>
      </c>
      <c r="U75" s="229">
        <f t="shared" si="94"/>
        <v>0</v>
      </c>
      <c r="V75" s="227">
        <f t="shared" ref="V75:X77" si="102">V31</f>
        <v>0</v>
      </c>
      <c r="W75" s="227">
        <f t="shared" si="102"/>
        <v>0</v>
      </c>
      <c r="X75" s="227">
        <f t="shared" si="102"/>
        <v>0</v>
      </c>
      <c r="Y75" s="229">
        <f t="shared" si="96"/>
        <v>0</v>
      </c>
      <c r="Z75" s="180">
        <f t="shared" si="57"/>
        <v>19009.899999999998</v>
      </c>
      <c r="AB75" s="180">
        <f t="shared" si="58"/>
        <v>19009.899999999998</v>
      </c>
      <c r="AC75" s="180"/>
      <c r="AD75" s="182" t="s">
        <v>434</v>
      </c>
      <c r="AE75" s="190">
        <f>'[2]Resume Akas 2020'!C71</f>
        <v>0</v>
      </c>
      <c r="AF75" s="190">
        <f>'[2]Resume Akas 2020'!N71</f>
        <v>0</v>
      </c>
      <c r="AG75" s="190">
        <f t="shared" si="97"/>
        <v>19009.899999999998</v>
      </c>
      <c r="AH75" s="184" t="e">
        <f t="shared" si="98"/>
        <v>#DIV/0!</v>
      </c>
      <c r="AI75" s="184" t="e">
        <f t="shared" si="98"/>
        <v>#DIV/0!</v>
      </c>
    </row>
    <row r="76" spans="2:37" ht="20" customHeight="1" x14ac:dyDescent="0.35">
      <c r="B76" s="160" t="s">
        <v>435</v>
      </c>
      <c r="C76" s="180">
        <v>0</v>
      </c>
      <c r="D76" s="180"/>
      <c r="E76" s="180"/>
      <c r="F76" s="180"/>
      <c r="G76" s="180"/>
      <c r="H76" s="180">
        <v>0</v>
      </c>
      <c r="I76" s="193">
        <f t="shared" si="89"/>
        <v>-16753.9568</v>
      </c>
      <c r="J76" s="193">
        <f t="shared" si="99"/>
        <v>0</v>
      </c>
      <c r="K76" s="193">
        <f t="shared" si="99"/>
        <v>0</v>
      </c>
      <c r="L76" s="193">
        <f>L32</f>
        <v>-4188.4892</v>
      </c>
      <c r="M76" s="230">
        <f t="shared" si="90"/>
        <v>-4188.4892</v>
      </c>
      <c r="N76" s="193">
        <f t="shared" si="100"/>
        <v>0</v>
      </c>
      <c r="O76" s="193">
        <f t="shared" si="100"/>
        <v>0</v>
      </c>
      <c r="P76" s="193">
        <f t="shared" si="100"/>
        <v>-4188.4892</v>
      </c>
      <c r="Q76" s="230">
        <f t="shared" si="92"/>
        <v>-4188.4892</v>
      </c>
      <c r="R76" s="193">
        <f t="shared" si="101"/>
        <v>0</v>
      </c>
      <c r="S76" s="193">
        <f t="shared" si="101"/>
        <v>0</v>
      </c>
      <c r="T76" s="193">
        <f t="shared" si="101"/>
        <v>-4188.4892</v>
      </c>
      <c r="U76" s="230">
        <f t="shared" si="94"/>
        <v>-4188.4892</v>
      </c>
      <c r="V76" s="193">
        <f t="shared" si="102"/>
        <v>0</v>
      </c>
      <c r="W76" s="193">
        <f t="shared" si="102"/>
        <v>0</v>
      </c>
      <c r="X76" s="193">
        <f t="shared" si="102"/>
        <v>-4188.4892</v>
      </c>
      <c r="Y76" s="230">
        <f t="shared" si="96"/>
        <v>-4188.4892</v>
      </c>
      <c r="Z76" s="180">
        <f t="shared" si="57"/>
        <v>-16753.9568</v>
      </c>
      <c r="AB76" s="186">
        <f t="shared" si="58"/>
        <v>-16753.9568</v>
      </c>
      <c r="AC76" s="189"/>
      <c r="AD76" s="182" t="s">
        <v>435</v>
      </c>
      <c r="AE76" s="190">
        <f>'[2]Resume Akas 2020'!C72</f>
        <v>0</v>
      </c>
      <c r="AF76" s="190">
        <f>'[2]Resume Akas 2020'!N72</f>
        <v>0</v>
      </c>
      <c r="AG76" s="190">
        <f t="shared" si="97"/>
        <v>-16753.9568</v>
      </c>
      <c r="AH76" s="184" t="e">
        <f t="shared" si="98"/>
        <v>#DIV/0!</v>
      </c>
      <c r="AI76" s="184" t="e">
        <f t="shared" si="98"/>
        <v>#DIV/0!</v>
      </c>
    </row>
    <row r="77" spans="2:37" ht="20" customHeight="1" thickBot="1" x14ac:dyDescent="0.4">
      <c r="B77" s="160" t="s">
        <v>436</v>
      </c>
      <c r="C77" s="193" t="e">
        <f>-'[1]AK Opr Juni GP Des (1)'!D127-'[1]AK Opr Juni GP Des (1)'!D128-'[1]AK Opr Juni GP Des (1)'!D129-'[1]AK Opr Juni GP Des (1)'!D130-'[1]AK Opr Juni GP Des (1)'!D131-'[1]AK Opr Juni GP Des (1)'!D132</f>
        <v>#REF!</v>
      </c>
      <c r="D77" s="193">
        <f>-'[3]Rincian Arus Kas 20'!E127-'[3]Rincian Arus Kas 20'!E128-'[3]Rincian Arus Kas 20'!E129-'[3]Rincian Arus Kas 20'!E130</f>
        <v>0</v>
      </c>
      <c r="E77" s="193">
        <f>-'[3]Rincian Arus Kas 20'!F127-'[3]Rincian Arus Kas 20'!F128-'[3]Rincian Arus Kas 20'!F129-'[3]Rincian Arus Kas 20'!F130</f>
        <v>0</v>
      </c>
      <c r="F77" s="193">
        <f>-'[3]Rincian Arus Kas 20'!G127-'[3]Rincian Arus Kas 20'!G128-'[3]Rincian Arus Kas 20'!G129-'[3]Rincian Arus Kas 20'!G130</f>
        <v>0</v>
      </c>
      <c r="G77" s="193">
        <f>-'[2]EST Akas BLNN 2020'!H129</f>
        <v>0</v>
      </c>
      <c r="H77" s="193">
        <f>'[2]Resume Akas 2020'!N72</f>
        <v>0</v>
      </c>
      <c r="I77" s="193">
        <f t="shared" si="89"/>
        <v>-138192.4781147204</v>
      </c>
      <c r="J77" s="193">
        <f t="shared" si="99"/>
        <v>-11492.087244552731</v>
      </c>
      <c r="K77" s="193">
        <f t="shared" si="99"/>
        <v>-11527.412418949441</v>
      </c>
      <c r="L77" s="193">
        <f>L33</f>
        <v>-10783.626362914632</v>
      </c>
      <c r="M77" s="231">
        <f t="shared" si="90"/>
        <v>-33803.126026416809</v>
      </c>
      <c r="N77" s="193">
        <f t="shared" si="100"/>
        <v>-11586.034429534222</v>
      </c>
      <c r="O77" s="193">
        <f t="shared" si="100"/>
        <v>-11359.487093243139</v>
      </c>
      <c r="P77" s="193">
        <f t="shared" si="100"/>
        <v>-11655.545256572912</v>
      </c>
      <c r="Q77" s="231">
        <f t="shared" si="92"/>
        <v>-34601.066779350273</v>
      </c>
      <c r="R77" s="193">
        <f t="shared" si="101"/>
        <v>-11418.1458625942</v>
      </c>
      <c r="S77" s="193">
        <f t="shared" si="101"/>
        <v>-11716.446310667157</v>
      </c>
      <c r="T77" s="193">
        <f t="shared" si="101"/>
        <v>-11751.771485063869</v>
      </c>
      <c r="U77" s="231">
        <f t="shared" si="94"/>
        <v>-34886.363658325223</v>
      </c>
      <c r="V77" s="193">
        <f t="shared" si="102"/>
        <v>-11510.990284587242</v>
      </c>
      <c r="W77" s="193">
        <f t="shared" si="102"/>
        <v>-11812.672539158113</v>
      </c>
      <c r="X77" s="193">
        <f t="shared" si="102"/>
        <v>-11578.258826882748</v>
      </c>
      <c r="Y77" s="231">
        <f t="shared" si="96"/>
        <v>-34901.921650628101</v>
      </c>
      <c r="Z77" s="180">
        <f t="shared" si="57"/>
        <v>-138192.4781147204</v>
      </c>
      <c r="AB77" s="193">
        <f t="shared" si="58"/>
        <v>-138192.4781147204</v>
      </c>
      <c r="AC77" s="189"/>
      <c r="AD77" s="182" t="s">
        <v>436</v>
      </c>
      <c r="AE77" s="190">
        <v>0</v>
      </c>
      <c r="AF77" s="190">
        <v>0</v>
      </c>
      <c r="AG77" s="190">
        <f t="shared" si="97"/>
        <v>-138192.4781147204</v>
      </c>
      <c r="AH77" s="184">
        <v>0</v>
      </c>
      <c r="AI77" s="184">
        <v>0</v>
      </c>
    </row>
    <row r="78" spans="2:37" s="162" customFormat="1" ht="20" customHeight="1" thickBot="1" x14ac:dyDescent="0.4">
      <c r="B78" s="197" t="s">
        <v>437</v>
      </c>
      <c r="C78" s="211" t="e">
        <f>SUM(C73:C77)</f>
        <v>#REF!</v>
      </c>
      <c r="D78" s="211">
        <f>SUM(D73:D77)</f>
        <v>0</v>
      </c>
      <c r="E78" s="211">
        <f>SUM(E73:E77)</f>
        <v>0</v>
      </c>
      <c r="F78" s="211">
        <f>SUM(F73:F77)</f>
        <v>0</v>
      </c>
      <c r="G78" s="211">
        <f>SUM(G73:G77)</f>
        <v>0</v>
      </c>
      <c r="H78" s="211">
        <f>'[2]Resume Akas 2020'!N73</f>
        <v>0</v>
      </c>
      <c r="I78" s="198">
        <f t="shared" ref="I78" si="103">Y78+U78+Q78+M78</f>
        <v>-155936.53491472045</v>
      </c>
      <c r="J78" s="198">
        <f t="shared" ref="J78:Y78" si="104">SUM(J73:J77)</f>
        <v>-11492.087244552731</v>
      </c>
      <c r="K78" s="198">
        <f t="shared" si="104"/>
        <v>-11527.412418949441</v>
      </c>
      <c r="L78" s="198">
        <f t="shared" si="104"/>
        <v>78037.784437085371</v>
      </c>
      <c r="M78" s="232">
        <f t="shared" si="104"/>
        <v>55018.284773583189</v>
      </c>
      <c r="N78" s="198">
        <f t="shared" si="104"/>
        <v>-11586.034429534222</v>
      </c>
      <c r="O78" s="198">
        <f t="shared" si="104"/>
        <v>-11359.487093243139</v>
      </c>
      <c r="P78" s="198">
        <f t="shared" si="104"/>
        <v>-15844.034456572912</v>
      </c>
      <c r="Q78" s="232">
        <f t="shared" si="104"/>
        <v>-38789.555979350276</v>
      </c>
      <c r="R78" s="198">
        <f t="shared" si="104"/>
        <v>-105418.1458625942</v>
      </c>
      <c r="S78" s="198">
        <f t="shared" si="104"/>
        <v>-11716.446310667157</v>
      </c>
      <c r="T78" s="198">
        <f t="shared" si="104"/>
        <v>-15940.260685063869</v>
      </c>
      <c r="U78" s="232">
        <f t="shared" si="104"/>
        <v>-133074.85285832523</v>
      </c>
      <c r="V78" s="198">
        <f t="shared" si="104"/>
        <v>-11510.990284587242</v>
      </c>
      <c r="W78" s="198">
        <f t="shared" si="104"/>
        <v>-11812.672539158113</v>
      </c>
      <c r="X78" s="198">
        <f t="shared" si="104"/>
        <v>-15766.748026882748</v>
      </c>
      <c r="Y78" s="232">
        <f t="shared" si="104"/>
        <v>-39090.410850628105</v>
      </c>
      <c r="Z78" s="180">
        <f t="shared" si="57"/>
        <v>-155936.53491472045</v>
      </c>
      <c r="AB78" s="198">
        <f t="shared" si="58"/>
        <v>-155936.53491472045</v>
      </c>
      <c r="AC78" s="200"/>
      <c r="AD78" s="201" t="s">
        <v>437</v>
      </c>
      <c r="AE78" s="202">
        <f>'[2]Resume Akas 2020'!C73</f>
        <v>0</v>
      </c>
      <c r="AF78" s="203">
        <f>'[2]Resume Akas 2020'!N73</f>
        <v>0</v>
      </c>
      <c r="AG78" s="203">
        <f t="shared" si="97"/>
        <v>-155936.53491472045</v>
      </c>
      <c r="AH78" s="209" t="e">
        <f t="shared" ref="AH78:AI78" si="105">AF78/AE78*100</f>
        <v>#DIV/0!</v>
      </c>
      <c r="AI78" s="204" t="e">
        <f t="shared" si="105"/>
        <v>#DIV/0!</v>
      </c>
    </row>
    <row r="79" spans="2:37" ht="6" customHeight="1" thickBot="1" x14ac:dyDescent="0.4">
      <c r="D79" s="181"/>
      <c r="E79" s="181"/>
      <c r="F79" s="181"/>
      <c r="G79" s="181"/>
      <c r="J79" s="181"/>
      <c r="K79" s="181"/>
      <c r="L79" s="181"/>
      <c r="M79" s="229"/>
      <c r="N79" s="181"/>
      <c r="O79" s="181"/>
      <c r="P79" s="181"/>
      <c r="Q79" s="229"/>
      <c r="R79" s="181"/>
      <c r="S79" s="181"/>
      <c r="T79" s="181"/>
      <c r="U79" s="229"/>
      <c r="V79" s="181"/>
      <c r="W79" s="181"/>
      <c r="X79" s="181"/>
      <c r="Y79" s="229"/>
      <c r="Z79" s="180">
        <f t="shared" si="57"/>
        <v>0</v>
      </c>
      <c r="AB79" s="160">
        <f t="shared" si="58"/>
        <v>0</v>
      </c>
      <c r="AE79" s="180"/>
      <c r="AF79" s="180"/>
      <c r="AG79" s="180"/>
      <c r="AH79" s="212"/>
      <c r="AI79" s="212"/>
    </row>
    <row r="80" spans="2:37" s="162" customFormat="1" ht="20" customHeight="1" thickBot="1" x14ac:dyDescent="0.4">
      <c r="B80" s="213" t="s">
        <v>450</v>
      </c>
      <c r="C80" s="214" t="e">
        <f>C78+C70+C64</f>
        <v>#REF!</v>
      </c>
      <c r="D80" s="214" t="e">
        <f>D78+D70+D64</f>
        <v>#VALUE!</v>
      </c>
      <c r="E80" s="198">
        <f>E78+E70+E64</f>
        <v>-359837.26700499997</v>
      </c>
      <c r="F80" s="198">
        <f>F78+F70+F64</f>
        <v>-67898.59492600002</v>
      </c>
      <c r="G80" s="198">
        <f>G78+G70+G64</f>
        <v>-10867.203047000001</v>
      </c>
      <c r="H80" s="214">
        <f>'[2]Resume Akas 2020'!N75</f>
        <v>0</v>
      </c>
      <c r="I80" s="198">
        <f t="shared" ref="I80:Y80" si="106">I78+I70+I64</f>
        <v>31849.983648607245</v>
      </c>
      <c r="J80" s="198">
        <f t="shared" si="106"/>
        <v>-3094.8071168630158</v>
      </c>
      <c r="K80" s="198">
        <f t="shared" si="106"/>
        <v>-3130.1322912597261</v>
      </c>
      <c r="L80" s="198">
        <f t="shared" si="106"/>
        <v>7184.0645647750935</v>
      </c>
      <c r="M80" s="232">
        <f t="shared" si="106"/>
        <v>959.12515665234241</v>
      </c>
      <c r="N80" s="198">
        <f t="shared" si="106"/>
        <v>-27878.705033673585</v>
      </c>
      <c r="O80" s="198">
        <f t="shared" si="106"/>
        <v>4275.8423026175024</v>
      </c>
      <c r="P80" s="198">
        <f t="shared" si="106"/>
        <v>-1158.705060712271</v>
      </c>
      <c r="Q80" s="232">
        <f t="shared" si="106"/>
        <v>-24761.567791768357</v>
      </c>
      <c r="R80" s="198">
        <f t="shared" si="106"/>
        <v>53927.305018851897</v>
      </c>
      <c r="S80" s="198">
        <f t="shared" si="106"/>
        <v>10115.276757778938</v>
      </c>
      <c r="T80" s="198">
        <f t="shared" si="106"/>
        <v>5891.4623833822261</v>
      </c>
      <c r="U80" s="232">
        <f t="shared" si="106"/>
        <v>69934.044160013058</v>
      </c>
      <c r="V80" s="214">
        <f t="shared" si="106"/>
        <v>10129.274040192187</v>
      </c>
      <c r="W80" s="214">
        <f t="shared" si="106"/>
        <v>9827.5917856213164</v>
      </c>
      <c r="X80" s="198">
        <f t="shared" si="106"/>
        <v>-34238.483702103316</v>
      </c>
      <c r="Y80" s="232">
        <f t="shared" si="106"/>
        <v>-14281.617876289805</v>
      </c>
      <c r="Z80" s="180">
        <f t="shared" si="57"/>
        <v>31849.983648607238</v>
      </c>
      <c r="AB80" s="198">
        <f t="shared" si="58"/>
        <v>31849.983648607245</v>
      </c>
      <c r="AC80" s="200">
        <v>4</v>
      </c>
      <c r="AD80" s="201" t="s">
        <v>438</v>
      </c>
      <c r="AE80" s="202">
        <f>'[2]Resume Akas 2020'!C75</f>
        <v>0</v>
      </c>
      <c r="AF80" s="203">
        <f>'[2]Resume Akas 2020'!N75</f>
        <v>0</v>
      </c>
      <c r="AG80" s="203">
        <f t="shared" ref="AG80" si="107">I80</f>
        <v>31849.983648607245</v>
      </c>
      <c r="AH80" s="209" t="e">
        <f t="shared" ref="AH80:AI80" si="108">AF80/AE80*100</f>
        <v>#DIV/0!</v>
      </c>
      <c r="AI80" s="210" t="e">
        <f t="shared" si="108"/>
        <v>#DIV/0!</v>
      </c>
    </row>
    <row r="81" spans="2:35" ht="6.75" customHeight="1" thickBot="1" x14ac:dyDescent="0.4">
      <c r="M81" s="236"/>
      <c r="N81" s="160"/>
      <c r="O81" s="160"/>
      <c r="P81" s="160"/>
      <c r="Q81" s="236"/>
      <c r="R81" s="160"/>
      <c r="S81" s="160"/>
      <c r="T81" s="160"/>
      <c r="U81" s="236"/>
      <c r="Y81" s="236"/>
      <c r="AB81" s="160">
        <f t="shared" si="58"/>
        <v>0</v>
      </c>
      <c r="AE81" s="180"/>
      <c r="AF81" s="180"/>
      <c r="AG81" s="180"/>
      <c r="AH81" s="212"/>
      <c r="AI81" s="212"/>
    </row>
    <row r="82" spans="2:35" s="162" customFormat="1" ht="20" customHeight="1" thickBot="1" x14ac:dyDescent="0.4">
      <c r="B82" s="213" t="s">
        <v>439</v>
      </c>
      <c r="C82" s="215" t="e">
        <f>'[1]AK Opr Juni GP Des (1)'!D142</f>
        <v>#REF!</v>
      </c>
      <c r="D82" s="215">
        <f>'[1]AK Opr Juni GP Des (1)'!E142</f>
        <v>0</v>
      </c>
      <c r="E82" s="215" t="e">
        <f t="shared" ref="E82:F82" si="109">D84</f>
        <v>#VALUE!</v>
      </c>
      <c r="F82" s="215" t="e">
        <f t="shared" si="109"/>
        <v>#VALUE!</v>
      </c>
      <c r="G82" s="215" t="e">
        <f>F84</f>
        <v>#VALUE!</v>
      </c>
      <c r="H82" s="215">
        <f>'[2]Resume Akas 2020'!N77</f>
        <v>0</v>
      </c>
      <c r="I82" s="215">
        <f>J82</f>
        <v>29062</v>
      </c>
      <c r="J82" s="215">
        <v>29062</v>
      </c>
      <c r="K82" s="215">
        <f t="shared" ref="K82:L82" si="110">J84</f>
        <v>25967.192883136984</v>
      </c>
      <c r="L82" s="215">
        <f t="shared" si="110"/>
        <v>22837.060591877256</v>
      </c>
      <c r="M82" s="237">
        <f>J82</f>
        <v>29062</v>
      </c>
      <c r="N82" s="215">
        <f>M84</f>
        <v>30021.125156652342</v>
      </c>
      <c r="O82" s="215">
        <f>N84</f>
        <v>2142.4201229787577</v>
      </c>
      <c r="P82" s="215">
        <f>O84</f>
        <v>6418.2624255962601</v>
      </c>
      <c r="Q82" s="237">
        <f>M84</f>
        <v>30021.125156652342</v>
      </c>
      <c r="R82" s="215">
        <f>Q84</f>
        <v>5259.5573648839854</v>
      </c>
      <c r="S82" s="215">
        <f t="shared" ref="S82:T82" si="111">R84</f>
        <v>59186.862383735883</v>
      </c>
      <c r="T82" s="215">
        <f t="shared" si="111"/>
        <v>69302.139141514825</v>
      </c>
      <c r="U82" s="237">
        <f>Q84</f>
        <v>5259.5573648839854</v>
      </c>
      <c r="V82" s="215">
        <f>U84</f>
        <v>75193.601524897036</v>
      </c>
      <c r="W82" s="215">
        <f>V84</f>
        <v>85322.875565089227</v>
      </c>
      <c r="X82" s="215">
        <f>W84</f>
        <v>95150.467350710547</v>
      </c>
      <c r="Y82" s="237">
        <f>U84</f>
        <v>75193.601524897036</v>
      </c>
      <c r="Z82" s="205">
        <f>I82</f>
        <v>29062</v>
      </c>
      <c r="AB82" s="215">
        <f>'[2]Resume Akas 2020'!U79</f>
        <v>0</v>
      </c>
      <c r="AC82" s="200">
        <v>5</v>
      </c>
      <c r="AD82" s="201" t="s">
        <v>439</v>
      </c>
      <c r="AE82" s="202">
        <f>'[2]Resume Akas 2020'!C77</f>
        <v>0</v>
      </c>
      <c r="AF82" s="203">
        <f>'[2]Resume Akas 2020'!N77</f>
        <v>0</v>
      </c>
      <c r="AG82" s="203">
        <f t="shared" ref="AG82" si="112">I82</f>
        <v>29062</v>
      </c>
      <c r="AH82" s="209" t="e">
        <f t="shared" ref="AH82:AI82" si="113">AF82/AE82*100</f>
        <v>#DIV/0!</v>
      </c>
      <c r="AI82" s="210" t="e">
        <f t="shared" si="113"/>
        <v>#DIV/0!</v>
      </c>
    </row>
    <row r="83" spans="2:35" ht="6.75" customHeight="1" thickBot="1" x14ac:dyDescent="0.4">
      <c r="M83" s="236"/>
      <c r="N83" s="160"/>
      <c r="O83" s="160"/>
      <c r="P83" s="160"/>
      <c r="Q83" s="236"/>
      <c r="R83" s="160"/>
      <c r="S83" s="160"/>
      <c r="T83" s="160"/>
      <c r="U83" s="236"/>
      <c r="Y83" s="236"/>
      <c r="AB83" s="160">
        <f t="shared" ref="AB83" si="114">I83</f>
        <v>0</v>
      </c>
      <c r="AE83" s="180"/>
      <c r="AF83" s="180"/>
      <c r="AG83" s="180"/>
      <c r="AH83" s="212"/>
      <c r="AI83" s="212"/>
    </row>
    <row r="84" spans="2:35" s="162" customFormat="1" ht="20" customHeight="1" thickBot="1" x14ac:dyDescent="0.4">
      <c r="B84" s="213" t="s">
        <v>440</v>
      </c>
      <c r="C84" s="214" t="e">
        <f>C82+C80</f>
        <v>#REF!</v>
      </c>
      <c r="D84" s="214" t="e">
        <f>D82+D80</f>
        <v>#VALUE!</v>
      </c>
      <c r="E84" s="214" t="e">
        <f t="shared" ref="E84:F84" si="115">E82+E80</f>
        <v>#VALUE!</v>
      </c>
      <c r="F84" s="198" t="e">
        <f t="shared" si="115"/>
        <v>#VALUE!</v>
      </c>
      <c r="G84" s="216" t="e">
        <f>G82+G80</f>
        <v>#VALUE!</v>
      </c>
      <c r="H84" s="214">
        <f>'[2]Resume Akas 2020'!N79</f>
        <v>0</v>
      </c>
      <c r="I84" s="198">
        <f>I82+I80</f>
        <v>60911.983648607245</v>
      </c>
      <c r="J84" s="198">
        <f>J82+J80</f>
        <v>25967.192883136984</v>
      </c>
      <c r="K84" s="198">
        <f t="shared" ref="K84:L84" si="116">K82+K80</f>
        <v>22837.060591877256</v>
      </c>
      <c r="L84" s="198">
        <f t="shared" si="116"/>
        <v>30021.12515665235</v>
      </c>
      <c r="M84" s="232">
        <f>M82+M80</f>
        <v>30021.125156652342</v>
      </c>
      <c r="N84" s="198">
        <f>N82+N80</f>
        <v>2142.4201229787577</v>
      </c>
      <c r="O84" s="198">
        <f t="shared" ref="O84:P84" si="117">O82+O80</f>
        <v>6418.2624255962601</v>
      </c>
      <c r="P84" s="198">
        <f t="shared" si="117"/>
        <v>5259.5573648839891</v>
      </c>
      <c r="Q84" s="232">
        <f>Q82+Q80</f>
        <v>5259.5573648839854</v>
      </c>
      <c r="R84" s="198">
        <f t="shared" ref="R84:Z84" si="118">R82+R80</f>
        <v>59186.862383735883</v>
      </c>
      <c r="S84" s="198">
        <f t="shared" si="118"/>
        <v>69302.139141514825</v>
      </c>
      <c r="T84" s="198">
        <f t="shared" si="118"/>
        <v>75193.601524897051</v>
      </c>
      <c r="U84" s="232">
        <f t="shared" si="118"/>
        <v>75193.601524897036</v>
      </c>
      <c r="V84" s="198">
        <f t="shared" si="118"/>
        <v>85322.875565089227</v>
      </c>
      <c r="W84" s="198">
        <f t="shared" si="118"/>
        <v>95150.467350710547</v>
      </c>
      <c r="X84" s="198">
        <f t="shared" si="118"/>
        <v>60911.983648607231</v>
      </c>
      <c r="Y84" s="232">
        <f t="shared" si="118"/>
        <v>60911.983648607231</v>
      </c>
      <c r="Z84" s="198">
        <f t="shared" si="118"/>
        <v>60911.983648607238</v>
      </c>
      <c r="AB84" s="217">
        <f>AB80+AB82</f>
        <v>31849.983648607245</v>
      </c>
      <c r="AC84" s="200">
        <v>6</v>
      </c>
      <c r="AD84" s="201" t="s">
        <v>440</v>
      </c>
      <c r="AE84" s="202">
        <f>'[2]Resume Akas 2020'!C79</f>
        <v>0</v>
      </c>
      <c r="AF84" s="203">
        <f>'[2]Resume Akas 2020'!N79</f>
        <v>0</v>
      </c>
      <c r="AG84" s="203">
        <f t="shared" ref="AG84" si="119">I84</f>
        <v>60911.983648607245</v>
      </c>
      <c r="AH84" s="209" t="e">
        <f t="shared" ref="AH84:AI84" si="120">AF84/AE84*100</f>
        <v>#DIV/0!</v>
      </c>
      <c r="AI84" s="210" t="e">
        <f t="shared" si="120"/>
        <v>#DIV/0!</v>
      </c>
    </row>
    <row r="85" spans="2:35" ht="20" customHeight="1" x14ac:dyDescent="0.35">
      <c r="C85" s="181"/>
      <c r="D85" s="181"/>
      <c r="E85" s="181"/>
      <c r="F85" s="181"/>
      <c r="G85" s="181"/>
      <c r="H85" s="181"/>
      <c r="I85" s="181">
        <f>'[2]AKAS 2021'!F143</f>
        <v>0</v>
      </c>
      <c r="J85" s="181">
        <f>'[2]AKAS 2021'!G143</f>
        <v>0</v>
      </c>
      <c r="K85" s="181">
        <f>'[2]AKAS 2021'!H143</f>
        <v>0</v>
      </c>
      <c r="L85" s="181">
        <f>'[2]AKAS 2021'!I143</f>
        <v>0</v>
      </c>
      <c r="M85" s="181">
        <f>'[2]AKAS 2021'!J143</f>
        <v>0</v>
      </c>
      <c r="N85" s="181">
        <f>'[2]AKAS 2021'!K143</f>
        <v>0</v>
      </c>
      <c r="O85" s="181">
        <f>'[2]AKAS 2021'!L143</f>
        <v>0</v>
      </c>
      <c r="P85" s="181">
        <f>'[2]AKAS 2021'!M143</f>
        <v>0</v>
      </c>
      <c r="Q85" s="181">
        <f>'[2]AKAS 2021'!N143</f>
        <v>0</v>
      </c>
      <c r="R85" s="181">
        <f>'[2]AKAS 2021'!O143</f>
        <v>0</v>
      </c>
      <c r="S85" s="181">
        <f>'[2]AKAS 2021'!P143</f>
        <v>0</v>
      </c>
      <c r="T85" s="181">
        <f>'[2]AKAS 2021'!Q143</f>
        <v>0</v>
      </c>
      <c r="U85" s="181">
        <f>'[2]AKAS 2021'!R143</f>
        <v>0</v>
      </c>
      <c r="V85" s="181">
        <f>'[2]AKAS 2021'!S143</f>
        <v>0</v>
      </c>
      <c r="W85" s="181">
        <f>'[2]AKAS 2021'!T143</f>
        <v>0</v>
      </c>
      <c r="X85" s="181">
        <f>'[2]AKAS 2021'!U143</f>
        <v>0</v>
      </c>
      <c r="Y85" s="181">
        <f>'[2]AKAS 2021'!V143</f>
        <v>0</v>
      </c>
      <c r="Z85" s="181">
        <f>'[2]AKAS 2021'!W143</f>
        <v>0</v>
      </c>
      <c r="AB85" s="181">
        <f>'[2]AKAS 2021'!Y143</f>
        <v>0</v>
      </c>
      <c r="AC85" s="181"/>
    </row>
  </sheetData>
  <mergeCells count="30">
    <mergeCell ref="AC52:AC53"/>
    <mergeCell ref="AD52:AD53"/>
    <mergeCell ref="AE52:AE53"/>
    <mergeCell ref="AF52:AF53"/>
    <mergeCell ref="AG52:AG53"/>
    <mergeCell ref="AH52:AI52"/>
    <mergeCell ref="AG7:AG8"/>
    <mergeCell ref="AH7:AI7"/>
    <mergeCell ref="B52:B53"/>
    <mergeCell ref="C52:C53"/>
    <mergeCell ref="D52:D53"/>
    <mergeCell ref="E52:G52"/>
    <mergeCell ref="H52:H53"/>
    <mergeCell ref="I52:I53"/>
    <mergeCell ref="J52:Y52"/>
    <mergeCell ref="AB52:AB53"/>
    <mergeCell ref="J7:Y7"/>
    <mergeCell ref="AB7:AB8"/>
    <mergeCell ref="AC7:AC8"/>
    <mergeCell ref="AD7:AD8"/>
    <mergeCell ref="AE7:AE8"/>
    <mergeCell ref="AF7:AF8"/>
    <mergeCell ref="B5:I5"/>
    <mergeCell ref="B7:B8"/>
    <mergeCell ref="C7:C8"/>
    <mergeCell ref="D7:D8"/>
    <mergeCell ref="H7:H8"/>
    <mergeCell ref="I7:I8"/>
    <mergeCell ref="E7:E8"/>
    <mergeCell ref="F7:F8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E60D-96F5-4B72-B3B7-C0113D245B9C}">
  <dimension ref="A3:G14"/>
  <sheetViews>
    <sheetView showGridLines="0" topLeftCell="A4" workbookViewId="0">
      <selection activeCell="B4" sqref="B4:C4"/>
    </sheetView>
  </sheetViews>
  <sheetFormatPr defaultColWidth="9.08984375" defaultRowHeight="14" x14ac:dyDescent="0.3"/>
  <cols>
    <col min="1" max="1" width="9.08984375" style="248"/>
    <col min="2" max="2" width="2.1796875" style="248" bestFit="1" customWidth="1"/>
    <col min="3" max="3" width="32.54296875" style="248" bestFit="1" customWidth="1"/>
    <col min="4" max="4" width="2.1796875" style="248" bestFit="1" customWidth="1"/>
    <col min="5" max="5" width="30.08984375" style="248" customWidth="1"/>
    <col min="6" max="6" width="2.1796875" style="248" bestFit="1" customWidth="1"/>
    <col min="7" max="7" width="33" style="248" customWidth="1"/>
    <col min="8" max="16384" width="9.08984375" style="248"/>
  </cols>
  <sheetData>
    <row r="3" spans="1:7" ht="14.5" thickBot="1" x14ac:dyDescent="0.35"/>
    <row r="4" spans="1:7" ht="27.4" customHeight="1" x14ac:dyDescent="0.3">
      <c r="B4" s="631" t="s">
        <v>506</v>
      </c>
      <c r="C4" s="632"/>
      <c r="D4" s="633" t="s">
        <v>507</v>
      </c>
      <c r="E4" s="634"/>
      <c r="F4" s="633" t="s">
        <v>508</v>
      </c>
      <c r="G4" s="634"/>
    </row>
    <row r="5" spans="1:7" ht="17.5" x14ac:dyDescent="0.35">
      <c r="B5" s="441"/>
      <c r="C5" s="442"/>
      <c r="D5" s="443"/>
      <c r="E5" s="444"/>
      <c r="F5" s="443"/>
      <c r="G5" s="444"/>
    </row>
    <row r="6" spans="1:7" ht="17.5" x14ac:dyDescent="0.3">
      <c r="A6" s="440"/>
      <c r="B6" s="445" t="s">
        <v>207</v>
      </c>
      <c r="C6" s="446" t="s">
        <v>488</v>
      </c>
      <c r="D6" s="447" t="s">
        <v>207</v>
      </c>
      <c r="E6" s="446" t="s">
        <v>488</v>
      </c>
      <c r="F6" s="447" t="s">
        <v>207</v>
      </c>
      <c r="G6" s="451" t="s">
        <v>489</v>
      </c>
    </row>
    <row r="7" spans="1:7" ht="4.9000000000000004" customHeight="1" x14ac:dyDescent="0.35">
      <c r="B7" s="441"/>
      <c r="C7" s="442"/>
      <c r="D7" s="443"/>
      <c r="E7" s="444"/>
      <c r="F7" s="443"/>
      <c r="G7" s="444"/>
    </row>
    <row r="8" spans="1:7" ht="52.5" x14ac:dyDescent="0.35">
      <c r="B8" s="445" t="s">
        <v>216</v>
      </c>
      <c r="C8" s="448" t="s">
        <v>493</v>
      </c>
      <c r="D8" s="447" t="s">
        <v>216</v>
      </c>
      <c r="E8" s="449" t="s">
        <v>494</v>
      </c>
      <c r="F8" s="447" t="s">
        <v>216</v>
      </c>
      <c r="G8" s="450" t="s">
        <v>509</v>
      </c>
    </row>
    <row r="9" spans="1:7" ht="4.9000000000000004" customHeight="1" x14ac:dyDescent="0.35">
      <c r="B9" s="441"/>
      <c r="C9" s="442"/>
      <c r="D9" s="443"/>
      <c r="E9" s="444"/>
      <c r="F9" s="443"/>
      <c r="G9" s="444"/>
    </row>
    <row r="10" spans="1:7" s="440" customFormat="1" ht="35" x14ac:dyDescent="0.35">
      <c r="B10" s="445" t="s">
        <v>224</v>
      </c>
      <c r="C10" s="448" t="s">
        <v>492</v>
      </c>
      <c r="D10" s="447" t="s">
        <v>224</v>
      </c>
      <c r="E10" s="450" t="s">
        <v>491</v>
      </c>
      <c r="F10" s="447" t="s">
        <v>224</v>
      </c>
      <c r="G10" s="450" t="s">
        <v>491</v>
      </c>
    </row>
    <row r="11" spans="1:7" ht="4.9000000000000004" customHeight="1" x14ac:dyDescent="0.35">
      <c r="B11" s="441"/>
      <c r="C11" s="442"/>
      <c r="D11" s="443"/>
      <c r="E11" s="444"/>
      <c r="F11" s="443"/>
      <c r="G11" s="444"/>
    </row>
    <row r="12" spans="1:7" s="440" customFormat="1" ht="52.5" x14ac:dyDescent="0.35">
      <c r="B12" s="445" t="s">
        <v>226</v>
      </c>
      <c r="C12" s="448" t="s">
        <v>496</v>
      </c>
      <c r="D12" s="447" t="s">
        <v>226</v>
      </c>
      <c r="E12" s="450" t="s">
        <v>495</v>
      </c>
      <c r="F12" s="447" t="s">
        <v>226</v>
      </c>
      <c r="G12" s="450" t="s">
        <v>490</v>
      </c>
    </row>
    <row r="13" spans="1:7" ht="4.9000000000000004" customHeight="1" x14ac:dyDescent="0.35">
      <c r="B13" s="441"/>
      <c r="C13" s="442"/>
      <c r="D13" s="443"/>
      <c r="E13" s="444"/>
      <c r="F13" s="443"/>
      <c r="G13" s="444"/>
    </row>
    <row r="14" spans="1:7" ht="140.5" thickBot="1" x14ac:dyDescent="0.4">
      <c r="B14" s="452"/>
      <c r="C14" s="453"/>
      <c r="D14" s="454" t="s">
        <v>247</v>
      </c>
      <c r="E14" s="455" t="s">
        <v>510</v>
      </c>
      <c r="F14" s="454"/>
      <c r="G14" s="455"/>
    </row>
  </sheetData>
  <mergeCells count="3">
    <mergeCell ref="B4:C4"/>
    <mergeCell ref="D4:E4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2B3A-3315-4841-A772-A0B0980E49AA}">
  <sheetPr>
    <tabColor rgb="FF00B0F0"/>
  </sheetPr>
  <dimension ref="B3:AO61"/>
  <sheetViews>
    <sheetView topLeftCell="C6" workbookViewId="0">
      <selection activeCell="Q11" sqref="Q11"/>
    </sheetView>
  </sheetViews>
  <sheetFormatPr defaultRowHeight="14.5" x14ac:dyDescent="0.35"/>
  <cols>
    <col min="3" max="3" width="34.08984375" customWidth="1"/>
    <col min="4" max="4" width="10.08984375" hidden="1" customWidth="1"/>
    <col min="5" max="5" width="9.08984375" customWidth="1"/>
    <col min="6" max="6" width="11.7265625" customWidth="1"/>
    <col min="7" max="7" width="13.26953125" customWidth="1"/>
    <col min="8" max="9" width="12.36328125" customWidth="1"/>
    <col min="10" max="12" width="8.08984375" bestFit="1" customWidth="1"/>
    <col min="13" max="13" width="10.08984375" customWidth="1"/>
    <col min="14" max="16" width="9.08984375" customWidth="1"/>
    <col min="17" max="17" width="8.08984375" bestFit="1" customWidth="1"/>
    <col min="18" max="19" width="8.08984375" customWidth="1"/>
    <col min="20" max="20" width="8" customWidth="1"/>
    <col min="21" max="21" width="9.6328125" customWidth="1"/>
    <col min="22" max="22" width="8.08984375" customWidth="1"/>
    <col min="23" max="24" width="9" customWidth="1"/>
    <col min="25" max="25" width="8.81640625" customWidth="1"/>
    <col min="26" max="29" width="0" hidden="1" customWidth="1"/>
    <col min="31" max="31" width="0" hidden="1" customWidth="1"/>
    <col min="32" max="32" width="38.6328125" hidden="1" customWidth="1"/>
    <col min="33" max="36" width="11.36328125" hidden="1" customWidth="1"/>
    <col min="37" max="37" width="11.08984375" hidden="1" customWidth="1"/>
    <col min="38" max="38" width="11.453125" hidden="1" customWidth="1"/>
    <col min="39" max="39" width="0" hidden="1" customWidth="1"/>
    <col min="40" max="40" width="9.7265625" hidden="1" customWidth="1"/>
    <col min="41" max="42" width="0" hidden="1" customWidth="1"/>
  </cols>
  <sheetData>
    <row r="3" spans="2:40" ht="23.5" x14ac:dyDescent="0.55000000000000004">
      <c r="C3" s="635" t="s">
        <v>511</v>
      </c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</row>
    <row r="4" spans="2:40" ht="15" thickBot="1" x14ac:dyDescent="0.4"/>
    <row r="5" spans="2:40" ht="15.75" customHeight="1" thickBot="1" x14ac:dyDescent="0.4">
      <c r="B5" s="636" t="s">
        <v>174</v>
      </c>
      <c r="C5" s="636" t="s">
        <v>468</v>
      </c>
      <c r="D5" s="637" t="s">
        <v>512</v>
      </c>
      <c r="E5" s="636" t="s">
        <v>402</v>
      </c>
      <c r="F5" s="636" t="s">
        <v>589</v>
      </c>
      <c r="G5" s="636" t="s">
        <v>588</v>
      </c>
      <c r="H5" s="636" t="s">
        <v>575</v>
      </c>
      <c r="I5" s="636" t="s">
        <v>514</v>
      </c>
      <c r="J5" s="638" t="s">
        <v>513</v>
      </c>
      <c r="K5" s="639"/>
      <c r="L5" s="639"/>
      <c r="M5" s="639"/>
      <c r="N5" s="639"/>
      <c r="O5" s="639"/>
      <c r="P5" s="639"/>
      <c r="Q5" s="639"/>
      <c r="R5" s="639"/>
      <c r="S5" s="639"/>
      <c r="T5" s="639"/>
      <c r="U5" s="639"/>
      <c r="V5" s="639"/>
      <c r="W5" s="639"/>
      <c r="X5" s="639"/>
      <c r="Y5" s="640"/>
      <c r="AE5" s="643" t="s">
        <v>174</v>
      </c>
      <c r="AF5" s="643" t="s">
        <v>468</v>
      </c>
      <c r="AG5" s="643" t="s">
        <v>402</v>
      </c>
      <c r="AH5" s="643" t="s">
        <v>403</v>
      </c>
      <c r="AI5" s="644" t="s">
        <v>514</v>
      </c>
      <c r="AJ5" s="644" t="s">
        <v>515</v>
      </c>
      <c r="AK5" s="641" t="s">
        <v>405</v>
      </c>
      <c r="AL5" s="642"/>
    </row>
    <row r="6" spans="2:40" ht="33" customHeight="1" x14ac:dyDescent="0.35">
      <c r="B6" s="636"/>
      <c r="C6" s="636"/>
      <c r="D6" s="637"/>
      <c r="E6" s="636"/>
      <c r="F6" s="636"/>
      <c r="G6" s="636"/>
      <c r="H6" s="636"/>
      <c r="I6" s="636"/>
      <c r="J6" s="464" t="s">
        <v>196</v>
      </c>
      <c r="K6" s="464" t="s">
        <v>197</v>
      </c>
      <c r="L6" s="464" t="s">
        <v>516</v>
      </c>
      <c r="M6" s="465" t="s">
        <v>345</v>
      </c>
      <c r="N6" s="464" t="s">
        <v>517</v>
      </c>
      <c r="O6" s="464" t="s">
        <v>200</v>
      </c>
      <c r="P6" s="464" t="s">
        <v>518</v>
      </c>
      <c r="Q6" s="465" t="s">
        <v>346</v>
      </c>
      <c r="R6" s="464" t="s">
        <v>190</v>
      </c>
      <c r="S6" s="464" t="s">
        <v>191</v>
      </c>
      <c r="T6" s="464" t="s">
        <v>192</v>
      </c>
      <c r="U6" s="465" t="s">
        <v>347</v>
      </c>
      <c r="V6" s="464" t="s">
        <v>193</v>
      </c>
      <c r="W6" s="464" t="s">
        <v>194</v>
      </c>
      <c r="X6" s="464" t="s">
        <v>204</v>
      </c>
      <c r="Y6" s="465" t="s">
        <v>519</v>
      </c>
      <c r="AE6" s="643"/>
      <c r="AF6" s="643"/>
      <c r="AG6" s="643"/>
      <c r="AH6" s="643"/>
      <c r="AI6" s="643"/>
      <c r="AJ6" s="643"/>
      <c r="AK6" s="466" t="s">
        <v>413</v>
      </c>
      <c r="AL6" s="466" t="s">
        <v>414</v>
      </c>
    </row>
    <row r="7" spans="2:40" s="377" customFormat="1" ht="14.25" hidden="1" customHeight="1" x14ac:dyDescent="0.35">
      <c r="C7" s="467" t="s">
        <v>520</v>
      </c>
      <c r="D7" s="467"/>
      <c r="E7" s="468" t="s">
        <v>521</v>
      </c>
      <c r="F7" s="468"/>
      <c r="G7" s="468"/>
      <c r="H7" s="468"/>
      <c r="I7" s="468"/>
      <c r="J7" s="468"/>
      <c r="K7" s="468"/>
      <c r="L7" s="468"/>
      <c r="M7" s="468"/>
      <c r="N7" s="468"/>
      <c r="O7" s="468"/>
      <c r="P7" s="468"/>
      <c r="Q7" s="468"/>
      <c r="R7" s="468" t="s">
        <v>522</v>
      </c>
      <c r="S7" s="468"/>
      <c r="T7" s="468" t="s">
        <v>523</v>
      </c>
      <c r="U7" s="468" t="s">
        <v>524</v>
      </c>
      <c r="V7" s="468" t="s">
        <v>525</v>
      </c>
      <c r="W7" s="468" t="s">
        <v>526</v>
      </c>
      <c r="X7" s="468" t="s">
        <v>527</v>
      </c>
      <c r="Y7" s="468" t="s">
        <v>528</v>
      </c>
      <c r="AF7" s="467" t="s">
        <v>520</v>
      </c>
    </row>
    <row r="8" spans="2:40" s="377" customFormat="1" ht="14.25" hidden="1" customHeight="1" x14ac:dyDescent="0.35">
      <c r="C8" s="467"/>
      <c r="D8" s="467"/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8"/>
      <c r="R8" s="468"/>
      <c r="S8" s="468"/>
      <c r="T8" s="468"/>
      <c r="U8" s="468"/>
      <c r="V8" s="468"/>
      <c r="W8" s="468"/>
      <c r="X8" s="468"/>
      <c r="Y8" s="468"/>
      <c r="AE8" s="469">
        <v>1</v>
      </c>
      <c r="AF8" s="469">
        <v>2</v>
      </c>
      <c r="AG8" s="469">
        <v>3</v>
      </c>
      <c r="AH8" s="469">
        <v>4</v>
      </c>
      <c r="AI8" s="469">
        <v>5</v>
      </c>
      <c r="AJ8" s="469"/>
      <c r="AK8" s="469">
        <v>6</v>
      </c>
      <c r="AL8" s="469">
        <v>7</v>
      </c>
    </row>
    <row r="9" spans="2:40" s="377" customFormat="1" x14ac:dyDescent="0.35">
      <c r="B9" s="470" t="s">
        <v>205</v>
      </c>
      <c r="C9" s="471" t="s">
        <v>529</v>
      </c>
      <c r="D9" s="471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AE9" s="470" t="s">
        <v>205</v>
      </c>
      <c r="AF9" s="471" t="s">
        <v>529</v>
      </c>
    </row>
    <row r="10" spans="2:40" x14ac:dyDescent="0.35">
      <c r="B10" s="473" t="s">
        <v>530</v>
      </c>
      <c r="C10" s="474" t="s">
        <v>531</v>
      </c>
      <c r="D10" s="475">
        <v>0</v>
      </c>
      <c r="E10" s="476">
        <v>1622</v>
      </c>
      <c r="F10" s="476">
        <v>405.6</v>
      </c>
      <c r="G10" s="476">
        <v>0</v>
      </c>
      <c r="H10" s="476">
        <v>0</v>
      </c>
      <c r="I10" s="476">
        <f>+M10+Q10+U10+Y10</f>
        <v>5681.9914552981863</v>
      </c>
      <c r="J10" s="476">
        <f>334.23479148813*0</f>
        <v>0</v>
      </c>
      <c r="K10" s="476">
        <f>334.23479148813*0</f>
        <v>0</v>
      </c>
      <c r="L10" s="476">
        <f>334.23479148813*0</f>
        <v>0</v>
      </c>
      <c r="M10" s="477">
        <f>L10+K10+J10</f>
        <v>0</v>
      </c>
      <c r="N10" s="476">
        <f>Q10/3</f>
        <v>557.0579858135477</v>
      </c>
      <c r="O10" s="476">
        <f>Q10/3</f>
        <v>557.0579858135477</v>
      </c>
      <c r="P10" s="476">
        <f>Q10/3</f>
        <v>557.0579858135477</v>
      </c>
      <c r="Q10" s="477">
        <v>1671.1739574406431</v>
      </c>
      <c r="R10" s="476">
        <f>U10/3</f>
        <v>668.46958297625713</v>
      </c>
      <c r="S10" s="476">
        <f>U10/3</f>
        <v>668.46958297625713</v>
      </c>
      <c r="T10" s="476">
        <f>U10/3</f>
        <v>668.46958297625713</v>
      </c>
      <c r="U10" s="477">
        <v>2005.4087489287715</v>
      </c>
      <c r="V10" s="476">
        <f>Y10/3</f>
        <v>668.46958297625713</v>
      </c>
      <c r="W10" s="476">
        <f>Y10/3</f>
        <v>668.46958297625713</v>
      </c>
      <c r="X10" s="476">
        <f>Y10/3</f>
        <v>668.46958297625713</v>
      </c>
      <c r="Y10" s="477">
        <v>2005.4087489287715</v>
      </c>
      <c r="Z10" s="375">
        <v>6684.6958297625761</v>
      </c>
      <c r="AE10" s="473" t="s">
        <v>530</v>
      </c>
      <c r="AF10" s="474" t="s">
        <v>531</v>
      </c>
      <c r="AG10" s="476">
        <f>'[2]LR EST BLN 2020'!D9</f>
        <v>1622</v>
      </c>
      <c r="AH10" s="476">
        <f>'[2]LR EST BLN 2020'!X9</f>
        <v>14697</v>
      </c>
      <c r="AI10" s="476">
        <f>I10</f>
        <v>5681.9914552981863</v>
      </c>
      <c r="AJ10" s="476">
        <f>M10</f>
        <v>0</v>
      </c>
      <c r="AK10" s="478">
        <f>AH10/AG10*100</f>
        <v>906.10357583230575</v>
      </c>
      <c r="AL10" s="478">
        <f>AI10/AH10*100</f>
        <v>38.660893075445237</v>
      </c>
    </row>
    <row r="11" spans="2:40" x14ac:dyDescent="0.35">
      <c r="B11" s="473" t="s">
        <v>532</v>
      </c>
      <c r="C11" s="474" t="s">
        <v>533</v>
      </c>
      <c r="D11" s="475">
        <v>0</v>
      </c>
      <c r="E11" s="476">
        <v>177702</v>
      </c>
      <c r="F11" s="476">
        <v>44425.4</v>
      </c>
      <c r="G11" s="476">
        <v>0</v>
      </c>
      <c r="H11" s="476">
        <v>46575</v>
      </c>
      <c r="I11" s="476">
        <f>+M11+Q11+U11+Y11</f>
        <v>275972.64655964042</v>
      </c>
      <c r="J11" s="476">
        <f>7884.93275884687*0</f>
        <v>0</v>
      </c>
      <c r="K11" s="476">
        <f>15769.8655176937*0</f>
        <v>0</v>
      </c>
      <c r="L11" s="476">
        <f>15769.8655176937*0.5</f>
        <v>7884.9327588468504</v>
      </c>
      <c r="M11" s="477">
        <f>L11+K11+J11</f>
        <v>7884.9327588468504</v>
      </c>
      <c r="N11" s="476">
        <f>Q11/3</f>
        <v>26283.109196156238</v>
      </c>
      <c r="O11" s="476">
        <f>Q11/3</f>
        <v>26283.109196156238</v>
      </c>
      <c r="P11" s="476">
        <f>Q11/3</f>
        <v>26283.109196156238</v>
      </c>
      <c r="Q11" s="477">
        <v>78849.327588468717</v>
      </c>
      <c r="R11" s="476">
        <f>U11/3</f>
        <v>31539.731035387482</v>
      </c>
      <c r="S11" s="476">
        <f>U11/3</f>
        <v>31539.731035387482</v>
      </c>
      <c r="T11" s="476">
        <f>U11/3</f>
        <v>31539.731035387482</v>
      </c>
      <c r="U11" s="477">
        <v>94619.193106162449</v>
      </c>
      <c r="V11" s="476">
        <f>Y11/3</f>
        <v>31539.731035387482</v>
      </c>
      <c r="W11" s="476">
        <f>Y11/3</f>
        <v>31539.731035387482</v>
      </c>
      <c r="X11" s="476">
        <f>Y11/3</f>
        <v>31539.731035387482</v>
      </c>
      <c r="Y11" s="477">
        <v>94619.193106162449</v>
      </c>
      <c r="Z11" s="375">
        <v>315397.31035387481</v>
      </c>
      <c r="AE11" s="473" t="s">
        <v>532</v>
      </c>
      <c r="AF11" s="474" t="s">
        <v>533</v>
      </c>
      <c r="AG11" s="476">
        <f>'[2]LR EST BLN 2020'!D10</f>
        <v>177702</v>
      </c>
      <c r="AH11" s="476">
        <f>'[2]LR EST BLN 2020'!X10</f>
        <v>16745</v>
      </c>
      <c r="AI11" s="476">
        <f t="shared" ref="AI11:AI36" si="0">I11</f>
        <v>275972.64655964042</v>
      </c>
      <c r="AJ11" s="476">
        <f>M11</f>
        <v>7884.9327588468504</v>
      </c>
      <c r="AK11" s="478">
        <f t="shared" ref="AK11:AL36" si="1">AH11/AG11*100</f>
        <v>9.4230790874610317</v>
      </c>
      <c r="AL11" s="478">
        <f t="shared" si="1"/>
        <v>1648.0898570298023</v>
      </c>
    </row>
    <row r="12" spans="2:40" ht="15" thickBot="1" x14ac:dyDescent="0.4">
      <c r="B12" s="479" t="s">
        <v>534</v>
      </c>
      <c r="C12" s="480" t="s">
        <v>535</v>
      </c>
      <c r="D12" s="481">
        <v>0</v>
      </c>
      <c r="E12" s="482">
        <v>196364</v>
      </c>
      <c r="F12" s="482">
        <v>0</v>
      </c>
      <c r="G12" s="482">
        <v>0</v>
      </c>
      <c r="H12" s="482">
        <v>588</v>
      </c>
      <c r="I12" s="482">
        <v>0</v>
      </c>
      <c r="J12" s="482">
        <v>0</v>
      </c>
      <c r="K12" s="482">
        <v>0</v>
      </c>
      <c r="L12" s="482"/>
      <c r="M12" s="482">
        <v>0</v>
      </c>
      <c r="N12" s="482">
        <v>0</v>
      </c>
      <c r="O12" s="482">
        <v>0</v>
      </c>
      <c r="P12" s="482">
        <v>0</v>
      </c>
      <c r="Q12" s="482">
        <v>0</v>
      </c>
      <c r="R12" s="482">
        <v>0</v>
      </c>
      <c r="S12" s="482">
        <v>0</v>
      </c>
      <c r="T12" s="482">
        <v>0</v>
      </c>
      <c r="U12" s="482">
        <v>0</v>
      </c>
      <c r="V12" s="482">
        <v>0</v>
      </c>
      <c r="W12" s="482">
        <v>0</v>
      </c>
      <c r="X12" s="482">
        <v>0</v>
      </c>
      <c r="Y12" s="482">
        <f t="shared" ref="Y12" si="2">SUM(V12:X12)</f>
        <v>0</v>
      </c>
      <c r="Z12" s="375">
        <v>0</v>
      </c>
      <c r="AE12" s="473" t="s">
        <v>534</v>
      </c>
      <c r="AF12" s="480" t="s">
        <v>535</v>
      </c>
      <c r="AG12" s="482">
        <f>'[2]LR EST BLN 2020'!D11</f>
        <v>196364</v>
      </c>
      <c r="AH12" s="482">
        <f>'[2]LR EST BLN 2020'!X11</f>
        <v>0</v>
      </c>
      <c r="AI12" s="482">
        <f t="shared" si="0"/>
        <v>0</v>
      </c>
      <c r="AJ12" s="482">
        <f t="shared" ref="AJ12:AJ13" si="3">M12</f>
        <v>0</v>
      </c>
      <c r="AK12" s="483">
        <f t="shared" si="1"/>
        <v>0</v>
      </c>
      <c r="AL12" s="483">
        <v>0</v>
      </c>
    </row>
    <row r="13" spans="2:40" s="377" customFormat="1" ht="15" thickBot="1" x14ac:dyDescent="0.4">
      <c r="B13" s="484"/>
      <c r="C13" s="485" t="s">
        <v>536</v>
      </c>
      <c r="D13" s="486">
        <v>0</v>
      </c>
      <c r="E13" s="487">
        <f t="shared" ref="E13:Y13" si="4">SUM(E10:E12)</f>
        <v>375688</v>
      </c>
      <c r="F13" s="487">
        <f t="shared" si="4"/>
        <v>44831</v>
      </c>
      <c r="G13" s="487">
        <f t="shared" si="4"/>
        <v>0</v>
      </c>
      <c r="H13" s="487">
        <f t="shared" si="4"/>
        <v>47163</v>
      </c>
      <c r="I13" s="487">
        <f t="shared" si="4"/>
        <v>281654.63801493862</v>
      </c>
      <c r="J13" s="487">
        <f t="shared" si="4"/>
        <v>0</v>
      </c>
      <c r="K13" s="487">
        <f t="shared" si="4"/>
        <v>0</v>
      </c>
      <c r="L13" s="487">
        <f t="shared" si="4"/>
        <v>7884.9327588468504</v>
      </c>
      <c r="M13" s="487">
        <f t="shared" si="4"/>
        <v>7884.9327588468504</v>
      </c>
      <c r="N13" s="487">
        <f t="shared" si="4"/>
        <v>26840.167181969784</v>
      </c>
      <c r="O13" s="487">
        <f t="shared" si="4"/>
        <v>26840.167181969784</v>
      </c>
      <c r="P13" s="487">
        <f t="shared" si="4"/>
        <v>26840.167181969784</v>
      </c>
      <c r="Q13" s="487">
        <f t="shared" si="4"/>
        <v>80520.501545909356</v>
      </c>
      <c r="R13" s="487">
        <f t="shared" si="4"/>
        <v>32208.200618363739</v>
      </c>
      <c r="S13" s="487">
        <f t="shared" si="4"/>
        <v>32208.200618363739</v>
      </c>
      <c r="T13" s="487">
        <f t="shared" si="4"/>
        <v>32208.200618363739</v>
      </c>
      <c r="U13" s="487">
        <f>SUM(U10:U12)</f>
        <v>96624.601855091227</v>
      </c>
      <c r="V13" s="487">
        <f t="shared" ref="V13:X13" si="5">SUM(V10:V12)</f>
        <v>32208.200618363739</v>
      </c>
      <c r="W13" s="487">
        <f t="shared" si="5"/>
        <v>32208.200618363739</v>
      </c>
      <c r="X13" s="487">
        <f t="shared" si="5"/>
        <v>32208.200618363739</v>
      </c>
      <c r="Y13" s="487">
        <f t="shared" si="4"/>
        <v>96624.601855091227</v>
      </c>
      <c r="Z13" s="375">
        <v>322082.00618363736</v>
      </c>
      <c r="AA13" s="488">
        <f>Z13-I13</f>
        <v>40427.36816869874</v>
      </c>
      <c r="AE13" s="484"/>
      <c r="AF13" s="485" t="s">
        <v>536</v>
      </c>
      <c r="AG13" s="487">
        <f t="shared" ref="AG13" si="6">SUM(AG10:AG12)</f>
        <v>375688</v>
      </c>
      <c r="AH13" s="487">
        <f>'[2]LR EST BLN 2020'!X12</f>
        <v>31442</v>
      </c>
      <c r="AI13" s="487">
        <f t="shared" si="0"/>
        <v>281654.63801493862</v>
      </c>
      <c r="AJ13" s="487">
        <f t="shared" si="3"/>
        <v>7884.9327588468504</v>
      </c>
      <c r="AK13" s="489">
        <f t="shared" si="1"/>
        <v>8.3691786801814274</v>
      </c>
      <c r="AL13" s="489">
        <f t="shared" si="1"/>
        <v>895.79110112250703</v>
      </c>
      <c r="AN13" s="382">
        <v>322082.00618363736</v>
      </c>
    </row>
    <row r="14" spans="2:40" s="377" customFormat="1" x14ac:dyDescent="0.35">
      <c r="B14" s="490" t="s">
        <v>278</v>
      </c>
      <c r="C14" s="491" t="s">
        <v>537</v>
      </c>
      <c r="D14" s="492"/>
      <c r="E14" s="493"/>
      <c r="F14" s="493"/>
      <c r="G14" s="493"/>
      <c r="H14" s="493"/>
      <c r="I14" s="493"/>
      <c r="J14" s="493"/>
      <c r="K14" s="493"/>
      <c r="L14" s="493"/>
      <c r="M14" s="493">
        <f>2644-(875*2)</f>
        <v>894</v>
      </c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375">
        <v>1921.5335530083332</v>
      </c>
      <c r="AA14" s="488">
        <f t="shared" ref="AA14:AA36" si="7">Z14-I14</f>
        <v>1921.5335530083332</v>
      </c>
      <c r="AE14" s="490" t="s">
        <v>278</v>
      </c>
      <c r="AF14" s="491" t="s">
        <v>537</v>
      </c>
      <c r="AG14" s="493"/>
      <c r="AH14" s="493"/>
      <c r="AI14" s="493"/>
      <c r="AJ14" s="493"/>
      <c r="AK14" s="494"/>
      <c r="AL14" s="494"/>
      <c r="AN14" s="488">
        <f>AI13-AN13</f>
        <v>-40427.36816869874</v>
      </c>
    </row>
    <row r="15" spans="2:40" x14ac:dyDescent="0.35">
      <c r="B15" s="473">
        <v>5101</v>
      </c>
      <c r="C15" s="474" t="s">
        <v>538</v>
      </c>
      <c r="D15" s="475">
        <v>9439.7000000000007</v>
      </c>
      <c r="E15" s="476">
        <v>21963</v>
      </c>
      <c r="F15" s="476">
        <v>13019</v>
      </c>
      <c r="G15" s="476">
        <v>14121.615744999999</v>
      </c>
      <c r="H15" s="476">
        <v>9504.0045642000005</v>
      </c>
      <c r="I15" s="476">
        <f t="shared" ref="I15:I23" si="8">+M15+Q15+U15+Y15</f>
        <v>23058</v>
      </c>
      <c r="J15" s="476">
        <v>1840</v>
      </c>
      <c r="K15" s="476">
        <v>1840</v>
      </c>
      <c r="L15" s="476">
        <v>1840</v>
      </c>
      <c r="M15" s="477">
        <f t="shared" ref="M15:M23" si="9">L15+K15+J15</f>
        <v>5520</v>
      </c>
      <c r="N15" s="476">
        <v>1840</v>
      </c>
      <c r="O15" s="476">
        <v>1840</v>
      </c>
      <c r="P15" s="476">
        <f>1840+950</f>
        <v>2790</v>
      </c>
      <c r="Q15" s="477">
        <f>SUM(N15:P15)</f>
        <v>6470</v>
      </c>
      <c r="R15" s="476">
        <v>1840</v>
      </c>
      <c r="S15" s="476">
        <v>1840</v>
      </c>
      <c r="T15" s="476">
        <v>1840</v>
      </c>
      <c r="U15" s="477">
        <f>SUM(R15:T15)</f>
        <v>5520</v>
      </c>
      <c r="V15" s="476">
        <v>1840</v>
      </c>
      <c r="W15" s="476">
        <v>1840</v>
      </c>
      <c r="X15" s="476">
        <f>1840+28</f>
        <v>1868</v>
      </c>
      <c r="Y15" s="477">
        <f>SUM(V15:X15)</f>
        <v>5548</v>
      </c>
      <c r="Z15" s="375">
        <v>23058.4026361</v>
      </c>
      <c r="AA15" s="488">
        <f t="shared" si="7"/>
        <v>0.40263609999965411</v>
      </c>
      <c r="AB15" s="375">
        <f>Z15-950</f>
        <v>22108.4026361</v>
      </c>
      <c r="AE15" s="473">
        <v>5101</v>
      </c>
      <c r="AF15" s="474" t="s">
        <v>538</v>
      </c>
      <c r="AG15" s="476">
        <f>'[2]LR EST BLN 2020'!D14</f>
        <v>21963</v>
      </c>
      <c r="AH15" s="476">
        <f>'[2]LR EST BLN 2020'!X14</f>
        <v>18945.657972000001</v>
      </c>
      <c r="AI15" s="476">
        <f t="shared" si="0"/>
        <v>23058</v>
      </c>
      <c r="AJ15" s="476">
        <f t="shared" ref="AJ15:AJ32" si="10">M15</f>
        <v>5520</v>
      </c>
      <c r="AK15" s="478">
        <f t="shared" si="1"/>
        <v>86.261703647042751</v>
      </c>
      <c r="AL15" s="478">
        <f t="shared" si="1"/>
        <v>121.70598684974507</v>
      </c>
    </row>
    <row r="16" spans="2:40" x14ac:dyDescent="0.35">
      <c r="B16" s="473">
        <v>5105</v>
      </c>
      <c r="C16" s="474" t="s">
        <v>539</v>
      </c>
      <c r="D16" s="475">
        <v>601.4</v>
      </c>
      <c r="E16" s="476">
        <v>15866</v>
      </c>
      <c r="F16" s="476">
        <v>10497</v>
      </c>
      <c r="G16" s="476">
        <v>7139.1277410000002</v>
      </c>
      <c r="H16" s="476">
        <v>3086.312766</v>
      </c>
      <c r="I16" s="476">
        <f t="shared" si="8"/>
        <v>10576</v>
      </c>
      <c r="J16" s="476">
        <v>850</v>
      </c>
      <c r="K16" s="476">
        <v>850</v>
      </c>
      <c r="L16" s="476">
        <v>850</v>
      </c>
      <c r="M16" s="477">
        <f t="shared" si="9"/>
        <v>2550</v>
      </c>
      <c r="N16" s="476">
        <v>875</v>
      </c>
      <c r="O16" s="476">
        <v>875</v>
      </c>
      <c r="P16" s="476">
        <v>875</v>
      </c>
      <c r="Q16" s="477">
        <f t="shared" ref="Q16:Q23" si="11">SUM(N16:P16)</f>
        <v>2625</v>
      </c>
      <c r="R16" s="476">
        <v>875</v>
      </c>
      <c r="S16" s="476">
        <v>875</v>
      </c>
      <c r="T16" s="476">
        <v>875</v>
      </c>
      <c r="U16" s="477">
        <f t="shared" ref="U16:U23" si="12">SUM(R16:T16)</f>
        <v>2625</v>
      </c>
      <c r="V16" s="476">
        <v>925</v>
      </c>
      <c r="W16" s="476">
        <v>925</v>
      </c>
      <c r="X16" s="476">
        <v>926</v>
      </c>
      <c r="Y16" s="477">
        <f t="shared" ref="Y16:Y23" si="13">SUM(V16:X16)</f>
        <v>2776</v>
      </c>
      <c r="Z16" s="375">
        <v>10575.928</v>
      </c>
      <c r="AA16" s="488">
        <f t="shared" si="7"/>
        <v>-7.2000000000116415E-2</v>
      </c>
      <c r="AB16" s="375">
        <f>AB15/12</f>
        <v>1842.3668863416667</v>
      </c>
      <c r="AE16" s="473">
        <v>5105</v>
      </c>
      <c r="AF16" s="474" t="s">
        <v>539</v>
      </c>
      <c r="AG16" s="476">
        <f>'[2]LR EST BLN 2020'!D15</f>
        <v>15866</v>
      </c>
      <c r="AH16" s="476">
        <f>'[2]LR EST BLN 2020'!X15</f>
        <v>7085.9217690000005</v>
      </c>
      <c r="AI16" s="476">
        <f t="shared" si="0"/>
        <v>10576</v>
      </c>
      <c r="AJ16" s="476">
        <f t="shared" si="10"/>
        <v>2550</v>
      </c>
      <c r="AK16" s="478">
        <f t="shared" si="1"/>
        <v>44.66104732761881</v>
      </c>
      <c r="AL16" s="478">
        <f t="shared" si="1"/>
        <v>149.25369408209733</v>
      </c>
    </row>
    <row r="17" spans="2:41" x14ac:dyDescent="0.35">
      <c r="B17" s="473">
        <v>5110</v>
      </c>
      <c r="C17" s="474" t="s">
        <v>540</v>
      </c>
      <c r="D17" s="475">
        <v>34.137</v>
      </c>
      <c r="E17" s="476">
        <v>19808</v>
      </c>
      <c r="F17" s="476">
        <v>10169</v>
      </c>
      <c r="G17" s="476">
        <v>248.41605000000001</v>
      </c>
      <c r="H17" s="476">
        <v>4169.3335239999997</v>
      </c>
      <c r="I17" s="476">
        <f t="shared" si="8"/>
        <v>23559.691075273262</v>
      </c>
      <c r="J17" s="476">
        <v>1497.4381700569966</v>
      </c>
      <c r="K17" s="476">
        <v>1497.4381700569966</v>
      </c>
      <c r="L17" s="476">
        <v>1497.4381700569966</v>
      </c>
      <c r="M17" s="477">
        <f t="shared" si="9"/>
        <v>4492.3145101709897</v>
      </c>
      <c r="N17" s="476">
        <v>2085.3774229394367</v>
      </c>
      <c r="O17" s="476">
        <v>2085.3774229394367</v>
      </c>
      <c r="P17" s="476">
        <v>2085.3774229394367</v>
      </c>
      <c r="Q17" s="477">
        <f t="shared" si="11"/>
        <v>6256.13226881831</v>
      </c>
      <c r="R17" s="476">
        <v>2112.8531743806602</v>
      </c>
      <c r="S17" s="476">
        <v>2112.8531743806602</v>
      </c>
      <c r="T17" s="476">
        <v>2112.8531743806602</v>
      </c>
      <c r="U17" s="477">
        <f t="shared" si="12"/>
        <v>6338.5595231419811</v>
      </c>
      <c r="V17" s="476">
        <v>2157.5615910473266</v>
      </c>
      <c r="W17" s="476">
        <v>2157.5615910473266</v>
      </c>
      <c r="X17" s="476">
        <v>2157.5615910473266</v>
      </c>
      <c r="Y17" s="477">
        <f t="shared" si="13"/>
        <v>6472.6847731419803</v>
      </c>
      <c r="Z17" s="375">
        <v>23559.691075273258</v>
      </c>
      <c r="AA17" s="488">
        <f t="shared" si="7"/>
        <v>0</v>
      </c>
      <c r="AE17" s="473">
        <v>5110</v>
      </c>
      <c r="AF17" s="474" t="s">
        <v>540</v>
      </c>
      <c r="AG17" s="476">
        <f>'[2]LR EST BLN 2020'!D16</f>
        <v>19808</v>
      </c>
      <c r="AH17" s="476">
        <f>'[2]LR EST BLN 2020'!X16</f>
        <v>3520.6280000000002</v>
      </c>
      <c r="AI17" s="476">
        <f t="shared" si="0"/>
        <v>23559.691075273262</v>
      </c>
      <c r="AJ17" s="476">
        <f t="shared" si="10"/>
        <v>4492.3145101709897</v>
      </c>
      <c r="AK17" s="478">
        <f t="shared" si="1"/>
        <v>17.773768174474959</v>
      </c>
      <c r="AL17" s="478">
        <f t="shared" si="1"/>
        <v>669.19001596514204</v>
      </c>
    </row>
    <row r="18" spans="2:41" x14ac:dyDescent="0.35">
      <c r="B18" s="473">
        <v>5125</v>
      </c>
      <c r="C18" s="474" t="s">
        <v>541</v>
      </c>
      <c r="D18" s="475">
        <v>0</v>
      </c>
      <c r="E18" s="476">
        <v>73508</v>
      </c>
      <c r="F18" s="476">
        <v>52505</v>
      </c>
      <c r="G18" s="476">
        <v>0</v>
      </c>
      <c r="H18" s="476">
        <v>73508.2498311534</v>
      </c>
      <c r="I18" s="476">
        <f t="shared" si="8"/>
        <v>73508.249831153371</v>
      </c>
      <c r="J18" s="476">
        <v>6125.6874859294476</v>
      </c>
      <c r="K18" s="476">
        <v>6125.6874859294476</v>
      </c>
      <c r="L18" s="476">
        <v>6125.6874859294476</v>
      </c>
      <c r="M18" s="477">
        <f t="shared" si="9"/>
        <v>18377.062457788343</v>
      </c>
      <c r="N18" s="476">
        <v>6125.6874859294476</v>
      </c>
      <c r="O18" s="476">
        <v>6125.6874859294476</v>
      </c>
      <c r="P18" s="476">
        <v>6125.6874859294476</v>
      </c>
      <c r="Q18" s="477">
        <f t="shared" si="11"/>
        <v>18377.062457788343</v>
      </c>
      <c r="R18" s="476">
        <v>6125.6874859294476</v>
      </c>
      <c r="S18" s="476">
        <v>6125.6874859294476</v>
      </c>
      <c r="T18" s="476">
        <v>6125.6874859294476</v>
      </c>
      <c r="U18" s="477">
        <f t="shared" si="12"/>
        <v>18377.062457788343</v>
      </c>
      <c r="V18" s="476">
        <v>6125.6874859294476</v>
      </c>
      <c r="W18" s="476">
        <v>6125.6874859294476</v>
      </c>
      <c r="X18" s="476">
        <v>6125.6874859294476</v>
      </c>
      <c r="Y18" s="477">
        <f t="shared" si="13"/>
        <v>18377.062457788343</v>
      </c>
      <c r="Z18" s="375">
        <v>73508.249831153371</v>
      </c>
      <c r="AA18" s="488">
        <f t="shared" si="7"/>
        <v>0</v>
      </c>
      <c r="AE18" s="473">
        <v>5125</v>
      </c>
      <c r="AF18" s="474" t="s">
        <v>541</v>
      </c>
      <c r="AG18" s="476">
        <f>'[2]LR EST BLN 2020'!D17</f>
        <v>73508</v>
      </c>
      <c r="AH18" s="476">
        <f>'[2]LR EST BLN 2020'!X17</f>
        <v>18234.110400000009</v>
      </c>
      <c r="AI18" s="476">
        <f t="shared" si="0"/>
        <v>73508.249831153371</v>
      </c>
      <c r="AJ18" s="476">
        <f t="shared" si="10"/>
        <v>18377.062457788343</v>
      </c>
      <c r="AK18" s="478">
        <f t="shared" si="1"/>
        <v>24.80561353866247</v>
      </c>
      <c r="AL18" s="478">
        <f t="shared" si="1"/>
        <v>403.13592612202973</v>
      </c>
    </row>
    <row r="19" spans="2:41" x14ac:dyDescent="0.35">
      <c r="B19" s="473">
        <v>5130</v>
      </c>
      <c r="C19" s="474" t="s">
        <v>542</v>
      </c>
      <c r="D19" s="475">
        <v>119.4</v>
      </c>
      <c r="E19" s="476">
        <v>18245</v>
      </c>
      <c r="F19" s="476">
        <v>10327</v>
      </c>
      <c r="G19" s="476">
        <v>8437.5722100000003</v>
      </c>
      <c r="H19" s="476">
        <v>9999.9999996000006</v>
      </c>
      <c r="I19" s="476">
        <f t="shared" si="8"/>
        <v>9999.9999996000006</v>
      </c>
      <c r="J19" s="476">
        <v>833.33333330000005</v>
      </c>
      <c r="K19" s="476">
        <v>833.33333330000005</v>
      </c>
      <c r="L19" s="476">
        <v>833.33333330000005</v>
      </c>
      <c r="M19" s="477">
        <f t="shared" si="9"/>
        <v>2499.9999999000001</v>
      </c>
      <c r="N19" s="476">
        <v>833.33333330000005</v>
      </c>
      <c r="O19" s="476">
        <v>833.33333330000005</v>
      </c>
      <c r="P19" s="476">
        <v>833.33333330000005</v>
      </c>
      <c r="Q19" s="477">
        <f t="shared" si="11"/>
        <v>2499.9999999000001</v>
      </c>
      <c r="R19" s="476">
        <v>833.33333330000005</v>
      </c>
      <c r="S19" s="476">
        <v>833.33333330000005</v>
      </c>
      <c r="T19" s="476">
        <v>833.33333330000005</v>
      </c>
      <c r="U19" s="477">
        <f t="shared" si="12"/>
        <v>2499.9999999000001</v>
      </c>
      <c r="V19" s="476">
        <v>833.33333330000005</v>
      </c>
      <c r="W19" s="476">
        <v>833.33333330000005</v>
      </c>
      <c r="X19" s="476">
        <v>833.33333330000005</v>
      </c>
      <c r="Y19" s="477">
        <f t="shared" si="13"/>
        <v>2499.9999999000001</v>
      </c>
      <c r="Z19" s="375">
        <v>9999.9999996000006</v>
      </c>
      <c r="AA19" s="488">
        <f t="shared" si="7"/>
        <v>0</v>
      </c>
      <c r="AE19" s="473">
        <v>5130</v>
      </c>
      <c r="AF19" s="474" t="s">
        <v>542</v>
      </c>
      <c r="AG19" s="476">
        <f>'[2]LR EST BLN 2020'!D18</f>
        <v>18245</v>
      </c>
      <c r="AH19" s="476">
        <f>'[2]LR EST BLN 2020'!X18</f>
        <v>9903.964704</v>
      </c>
      <c r="AI19" s="476">
        <f t="shared" si="0"/>
        <v>9999.9999996000006</v>
      </c>
      <c r="AJ19" s="476">
        <f t="shared" si="10"/>
        <v>2499.9999999000001</v>
      </c>
      <c r="AK19" s="478">
        <f t="shared" si="1"/>
        <v>54.283171849821862</v>
      </c>
      <c r="AL19" s="478">
        <f t="shared" si="1"/>
        <v>100.96966516410559</v>
      </c>
    </row>
    <row r="20" spans="2:41" x14ac:dyDescent="0.35">
      <c r="B20" s="473">
        <v>5115</v>
      </c>
      <c r="C20" s="474" t="s">
        <v>543</v>
      </c>
      <c r="D20" s="475">
        <v>1650.9</v>
      </c>
      <c r="E20" s="476">
        <v>4536</v>
      </c>
      <c r="F20" s="476">
        <v>3738</v>
      </c>
      <c r="G20" s="476">
        <v>3727.2668020000001</v>
      </c>
      <c r="H20" s="476">
        <v>3738.8503740000001</v>
      </c>
      <c r="I20" s="476">
        <f t="shared" si="8"/>
        <v>9225.0424359999997</v>
      </c>
      <c r="J20" s="476">
        <v>697.51056233333338</v>
      </c>
      <c r="K20" s="476">
        <v>697.51056233333338</v>
      </c>
      <c r="L20" s="476">
        <v>697.51056233333338</v>
      </c>
      <c r="M20" s="477">
        <f t="shared" si="9"/>
        <v>2092.5316870000001</v>
      </c>
      <c r="N20" s="476">
        <v>768.75353633333327</v>
      </c>
      <c r="O20" s="476">
        <v>768.75353633333327</v>
      </c>
      <c r="P20" s="476">
        <v>768.75353633333327</v>
      </c>
      <c r="Q20" s="477">
        <f t="shared" si="11"/>
        <v>2306.2606089999999</v>
      </c>
      <c r="R20" s="476">
        <v>768.75353633333327</v>
      </c>
      <c r="S20" s="476">
        <v>768.75353633333327</v>
      </c>
      <c r="T20" s="476">
        <v>768.75353633333327</v>
      </c>
      <c r="U20" s="477">
        <f t="shared" si="12"/>
        <v>2306.2606089999999</v>
      </c>
      <c r="V20" s="476">
        <v>839.99651033333339</v>
      </c>
      <c r="W20" s="476">
        <v>839.99651033333339</v>
      </c>
      <c r="X20" s="476">
        <v>839.99651033333339</v>
      </c>
      <c r="Y20" s="477">
        <f t="shared" si="13"/>
        <v>2519.9895310000002</v>
      </c>
      <c r="Z20" s="375">
        <v>9225.0424359999997</v>
      </c>
      <c r="AA20" s="488">
        <f t="shared" si="7"/>
        <v>0</v>
      </c>
      <c r="AE20" s="473">
        <v>5115</v>
      </c>
      <c r="AF20" s="474" t="s">
        <v>543</v>
      </c>
      <c r="AG20" s="476">
        <f>'[2]LR EST BLN 2020'!D19</f>
        <v>4536</v>
      </c>
      <c r="AH20" s="476">
        <f>'[2]LR EST BLN 2020'!X19</f>
        <v>5383.8340189999999</v>
      </c>
      <c r="AI20" s="476">
        <f t="shared" si="0"/>
        <v>9225.0424359999997</v>
      </c>
      <c r="AJ20" s="476">
        <f t="shared" si="10"/>
        <v>2092.5316870000001</v>
      </c>
      <c r="AK20" s="478">
        <f t="shared" si="1"/>
        <v>118.69122616843033</v>
      </c>
      <c r="AL20" s="478">
        <f t="shared" si="1"/>
        <v>171.34708097322567</v>
      </c>
    </row>
    <row r="21" spans="2:41" x14ac:dyDescent="0.35">
      <c r="B21" s="473">
        <v>5135</v>
      </c>
      <c r="C21" s="474" t="s">
        <v>544</v>
      </c>
      <c r="D21" s="475">
        <v>0</v>
      </c>
      <c r="E21" s="476">
        <v>341</v>
      </c>
      <c r="F21" s="476">
        <v>0</v>
      </c>
      <c r="G21" s="476">
        <v>0</v>
      </c>
      <c r="H21" s="476">
        <v>250</v>
      </c>
      <c r="I21" s="476">
        <f t="shared" si="8"/>
        <v>1482.44118</v>
      </c>
      <c r="J21" s="476">
        <v>98.829411999999991</v>
      </c>
      <c r="K21" s="476">
        <v>98.829411999999991</v>
      </c>
      <c r="L21" s="476">
        <v>98.829411999999991</v>
      </c>
      <c r="M21" s="477">
        <f t="shared" si="9"/>
        <v>296.48823599999997</v>
      </c>
      <c r="N21" s="476">
        <v>123.536765</v>
      </c>
      <c r="O21" s="476">
        <v>123.536765</v>
      </c>
      <c r="P21" s="476">
        <v>123.536765</v>
      </c>
      <c r="Q21" s="477">
        <f t="shared" si="11"/>
        <v>370.61029500000001</v>
      </c>
      <c r="R21" s="476">
        <v>123.536765</v>
      </c>
      <c r="S21" s="476">
        <v>123.536765</v>
      </c>
      <c r="T21" s="476">
        <v>123.536765</v>
      </c>
      <c r="U21" s="477">
        <f t="shared" si="12"/>
        <v>370.61029500000001</v>
      </c>
      <c r="V21" s="476">
        <v>148.24411799999999</v>
      </c>
      <c r="W21" s="476">
        <v>148.24411799999999</v>
      </c>
      <c r="X21" s="476">
        <v>148.24411799999999</v>
      </c>
      <c r="Y21" s="477">
        <f t="shared" si="13"/>
        <v>444.73235399999999</v>
      </c>
      <c r="Z21" s="375">
        <v>1482.44118</v>
      </c>
      <c r="AA21" s="488">
        <f t="shared" si="7"/>
        <v>0</v>
      </c>
      <c r="AE21" s="473">
        <v>5135</v>
      </c>
      <c r="AF21" s="474" t="s">
        <v>544</v>
      </c>
      <c r="AG21" s="476">
        <f>'[2]LR EST BLN 2020'!D20</f>
        <v>341</v>
      </c>
      <c r="AH21" s="476">
        <f>'[2]LR EST BLN 2020'!X20</f>
        <v>119</v>
      </c>
      <c r="AI21" s="476">
        <f t="shared" si="0"/>
        <v>1482.44118</v>
      </c>
      <c r="AJ21" s="476">
        <f t="shared" si="10"/>
        <v>296.48823599999997</v>
      </c>
      <c r="AK21" s="478">
        <f t="shared" si="1"/>
        <v>34.897360703812318</v>
      </c>
      <c r="AL21" s="478">
        <f t="shared" si="1"/>
        <v>1245.7488907563024</v>
      </c>
    </row>
    <row r="22" spans="2:41" x14ac:dyDescent="0.35">
      <c r="B22" s="473">
        <v>5166</v>
      </c>
      <c r="C22" s="474" t="s">
        <v>545</v>
      </c>
      <c r="D22" s="475">
        <v>851.8</v>
      </c>
      <c r="E22" s="476">
        <v>1652</v>
      </c>
      <c r="F22" s="476">
        <f>112687.4-106597</f>
        <v>6090.3999999999942</v>
      </c>
      <c r="G22" s="476">
        <v>583.68401200000005</v>
      </c>
      <c r="H22" s="476">
        <v>550</v>
      </c>
      <c r="I22" s="476">
        <f t="shared" si="8"/>
        <v>1592.2</v>
      </c>
      <c r="J22" s="476">
        <v>132.68333333333334</v>
      </c>
      <c r="K22" s="476">
        <v>132.68333333333334</v>
      </c>
      <c r="L22" s="476">
        <v>132.68333333333334</v>
      </c>
      <c r="M22" s="477">
        <f t="shared" si="9"/>
        <v>398.05</v>
      </c>
      <c r="N22" s="476">
        <v>132.68333333333334</v>
      </c>
      <c r="O22" s="476">
        <v>132.68333333333334</v>
      </c>
      <c r="P22" s="476">
        <v>132.68333333333334</v>
      </c>
      <c r="Q22" s="477">
        <f t="shared" si="11"/>
        <v>398.05</v>
      </c>
      <c r="R22" s="476">
        <v>132.68333333333334</v>
      </c>
      <c r="S22" s="476">
        <v>132.68333333333334</v>
      </c>
      <c r="T22" s="476">
        <v>132.68333333333334</v>
      </c>
      <c r="U22" s="477">
        <f t="shared" si="12"/>
        <v>398.05</v>
      </c>
      <c r="V22" s="476">
        <v>132.68333333333334</v>
      </c>
      <c r="W22" s="476">
        <v>132.68333333333334</v>
      </c>
      <c r="X22" s="476">
        <v>132.68333333333334</v>
      </c>
      <c r="Y22" s="477">
        <f t="shared" si="13"/>
        <v>398.05</v>
      </c>
      <c r="Z22" s="375">
        <v>1592.2</v>
      </c>
      <c r="AA22" s="488">
        <f t="shared" si="7"/>
        <v>0</v>
      </c>
      <c r="AE22" s="473">
        <v>5166</v>
      </c>
      <c r="AF22" s="474" t="s">
        <v>545</v>
      </c>
      <c r="AG22" s="476">
        <f>'[2]LR EST BLN 2020'!D21</f>
        <v>1652</v>
      </c>
      <c r="AH22" s="476">
        <f>'[2]LR EST BLN 2020'!X21</f>
        <v>1234.8615890000001</v>
      </c>
      <c r="AI22" s="476">
        <f t="shared" si="0"/>
        <v>1592.2</v>
      </c>
      <c r="AJ22" s="476">
        <f t="shared" si="10"/>
        <v>398.05</v>
      </c>
      <c r="AK22" s="478">
        <f t="shared" si="1"/>
        <v>74.749490859564176</v>
      </c>
      <c r="AL22" s="478">
        <f t="shared" si="1"/>
        <v>128.93752742680863</v>
      </c>
    </row>
    <row r="23" spans="2:41" x14ac:dyDescent="0.35">
      <c r="B23" s="439">
        <v>5149</v>
      </c>
      <c r="C23" s="474" t="s">
        <v>546</v>
      </c>
      <c r="D23" s="475">
        <v>4988</v>
      </c>
      <c r="E23" s="476">
        <v>10090</v>
      </c>
      <c r="F23" s="476">
        <f>106021-100258</f>
        <v>5763</v>
      </c>
      <c r="G23" s="476">
        <v>2888.572255</v>
      </c>
      <c r="H23" s="476">
        <f>108754-104807+5582</f>
        <v>9529</v>
      </c>
      <c r="I23" s="476">
        <f t="shared" si="8"/>
        <v>8504</v>
      </c>
      <c r="J23" s="476">
        <v>707.86666666666667</v>
      </c>
      <c r="K23" s="476">
        <v>707.86666666666667</v>
      </c>
      <c r="L23" s="476">
        <v>707.86666666666667</v>
      </c>
      <c r="M23" s="477">
        <f t="shared" si="9"/>
        <v>2123.6</v>
      </c>
      <c r="N23" s="476">
        <v>708.66666666666663</v>
      </c>
      <c r="O23" s="476">
        <v>708.66666666666663</v>
      </c>
      <c r="P23" s="476">
        <v>708.66666666666663</v>
      </c>
      <c r="Q23" s="477">
        <f t="shared" si="11"/>
        <v>2126</v>
      </c>
      <c r="R23" s="476">
        <v>708.66666666666663</v>
      </c>
      <c r="S23" s="476">
        <v>708.66666666666663</v>
      </c>
      <c r="T23" s="476">
        <v>708.66666666666663</v>
      </c>
      <c r="U23" s="477">
        <f t="shared" si="12"/>
        <v>2126</v>
      </c>
      <c r="V23" s="476">
        <v>709.4666666666667</v>
      </c>
      <c r="W23" s="476">
        <v>709.4666666666667</v>
      </c>
      <c r="X23" s="476">
        <v>709.4666666666667</v>
      </c>
      <c r="Y23" s="477">
        <f t="shared" si="13"/>
        <v>2128.4</v>
      </c>
      <c r="Z23" s="375">
        <v>8504</v>
      </c>
      <c r="AA23" s="488">
        <f t="shared" si="7"/>
        <v>0</v>
      </c>
      <c r="AE23" s="439">
        <v>5149</v>
      </c>
      <c r="AF23" s="474" t="s">
        <v>546</v>
      </c>
      <c r="AG23" s="476">
        <f>'[2]LR EST BLN 2020'!D22</f>
        <v>10090</v>
      </c>
      <c r="AH23" s="476">
        <f>'[2]LR EST BLN 2020'!X22</f>
        <v>5677.2021189999996</v>
      </c>
      <c r="AI23" s="476">
        <f t="shared" si="0"/>
        <v>8504</v>
      </c>
      <c r="AJ23" s="476">
        <f t="shared" si="10"/>
        <v>2123.6</v>
      </c>
      <c r="AK23" s="478">
        <f t="shared" si="1"/>
        <v>56.265630515361742</v>
      </c>
      <c r="AL23" s="478">
        <f t="shared" si="1"/>
        <v>149.7920951508755</v>
      </c>
    </row>
    <row r="24" spans="2:41" x14ac:dyDescent="0.35">
      <c r="B24" s="439"/>
      <c r="C24" s="398" t="s">
        <v>573</v>
      </c>
      <c r="D24" s="409"/>
      <c r="E24" s="378">
        <v>0</v>
      </c>
      <c r="F24" s="378">
        <v>238</v>
      </c>
      <c r="G24" s="378">
        <v>0</v>
      </c>
      <c r="H24" s="378">
        <v>450</v>
      </c>
      <c r="I24" s="378">
        <v>0</v>
      </c>
      <c r="J24" s="378">
        <v>0</v>
      </c>
      <c r="K24" s="378">
        <v>0</v>
      </c>
      <c r="L24" s="378">
        <v>0</v>
      </c>
      <c r="M24" s="477">
        <v>0</v>
      </c>
      <c r="N24" s="378"/>
      <c r="O24" s="378"/>
      <c r="P24" s="378"/>
      <c r="Q24" s="477">
        <v>0</v>
      </c>
      <c r="R24" s="378"/>
      <c r="S24" s="378"/>
      <c r="T24" s="378"/>
      <c r="U24" s="477">
        <v>0</v>
      </c>
      <c r="V24" s="378"/>
      <c r="W24" s="378"/>
      <c r="X24" s="378"/>
      <c r="Y24" s="477">
        <v>0</v>
      </c>
      <c r="Z24" s="375"/>
      <c r="AA24" s="488"/>
      <c r="AE24" s="439"/>
      <c r="AF24" s="408"/>
      <c r="AG24" s="378"/>
      <c r="AH24" s="378"/>
      <c r="AI24" s="378"/>
      <c r="AJ24" s="378"/>
      <c r="AK24" s="526"/>
      <c r="AL24" s="526"/>
    </row>
    <row r="25" spans="2:41" ht="15" thickBot="1" x14ac:dyDescent="0.4">
      <c r="B25" s="439"/>
      <c r="C25" s="398" t="s">
        <v>574</v>
      </c>
      <c r="D25" s="409"/>
      <c r="E25" s="378">
        <v>0</v>
      </c>
      <c r="F25" s="378">
        <v>338.4</v>
      </c>
      <c r="G25" s="378">
        <v>0</v>
      </c>
      <c r="H25" s="378">
        <v>580</v>
      </c>
      <c r="I25" s="378">
        <v>0</v>
      </c>
      <c r="J25" s="378">
        <v>0</v>
      </c>
      <c r="K25" s="378">
        <v>0</v>
      </c>
      <c r="L25" s="378">
        <v>0</v>
      </c>
      <c r="M25" s="477">
        <v>0</v>
      </c>
      <c r="N25" s="378"/>
      <c r="O25" s="378"/>
      <c r="P25" s="378"/>
      <c r="Q25" s="477">
        <v>0</v>
      </c>
      <c r="R25" s="378"/>
      <c r="S25" s="378"/>
      <c r="T25" s="378"/>
      <c r="U25" s="477">
        <v>0</v>
      </c>
      <c r="V25" s="378"/>
      <c r="W25" s="378"/>
      <c r="X25" s="378"/>
      <c r="Y25" s="477">
        <v>0</v>
      </c>
      <c r="Z25" s="375"/>
      <c r="AA25" s="488"/>
      <c r="AE25" s="439"/>
      <c r="AF25" s="408"/>
      <c r="AG25" s="378"/>
      <c r="AH25" s="378"/>
      <c r="AI25" s="378"/>
      <c r="AJ25" s="378"/>
      <c r="AK25" s="526"/>
      <c r="AL25" s="526"/>
    </row>
    <row r="26" spans="2:41" s="377" customFormat="1" ht="15" thickBot="1" x14ac:dyDescent="0.4">
      <c r="B26" s="495"/>
      <c r="C26" s="495" t="s">
        <v>547</v>
      </c>
      <c r="D26" s="496">
        <f>SUM(D15:D23)</f>
        <v>17685.337</v>
      </c>
      <c r="E26" s="496">
        <f>SUM(E15:E25)</f>
        <v>166009</v>
      </c>
      <c r="F26" s="496">
        <f>SUM(F15:F25)</f>
        <v>112684.79999999999</v>
      </c>
      <c r="G26" s="496">
        <f>SUM(G15:G25)</f>
        <v>37146.254814999993</v>
      </c>
      <c r="H26" s="496">
        <f>SUM(H15:H25)</f>
        <v>115365.75105895341</v>
      </c>
      <c r="I26" s="496">
        <f t="shared" ref="I26:Y26" si="14">SUM(I15:I23)</f>
        <v>161505.62452202663</v>
      </c>
      <c r="J26" s="496">
        <f t="shared" si="14"/>
        <v>12783.348963619777</v>
      </c>
      <c r="K26" s="496">
        <f t="shared" si="14"/>
        <v>12783.348963619777</v>
      </c>
      <c r="L26" s="496">
        <f t="shared" si="14"/>
        <v>12783.348963619777</v>
      </c>
      <c r="M26" s="496">
        <f t="shared" si="14"/>
        <v>38350.046890859332</v>
      </c>
      <c r="N26" s="496">
        <f t="shared" si="14"/>
        <v>13493.038543502218</v>
      </c>
      <c r="O26" s="496">
        <f t="shared" si="14"/>
        <v>13493.038543502218</v>
      </c>
      <c r="P26" s="496">
        <f t="shared" si="14"/>
        <v>14443.038543502218</v>
      </c>
      <c r="Q26" s="496">
        <f t="shared" si="14"/>
        <v>41429.115630506654</v>
      </c>
      <c r="R26" s="496">
        <f t="shared" si="14"/>
        <v>13520.514294943441</v>
      </c>
      <c r="S26" s="496">
        <f t="shared" si="14"/>
        <v>13520.514294943441</v>
      </c>
      <c r="T26" s="496">
        <f t="shared" si="14"/>
        <v>13520.514294943441</v>
      </c>
      <c r="U26" s="496">
        <f t="shared" si="14"/>
        <v>40561.54288483032</v>
      </c>
      <c r="V26" s="496">
        <f t="shared" si="14"/>
        <v>13711.973038610107</v>
      </c>
      <c r="W26" s="496">
        <f t="shared" si="14"/>
        <v>13711.973038610107</v>
      </c>
      <c r="X26" s="496">
        <f t="shared" si="14"/>
        <v>13740.973038610107</v>
      </c>
      <c r="Y26" s="496">
        <f t="shared" si="14"/>
        <v>41164.919115830329</v>
      </c>
      <c r="Z26" s="375">
        <v>161505.95515812663</v>
      </c>
      <c r="AA26" s="488">
        <f t="shared" si="7"/>
        <v>0.33063609999953769</v>
      </c>
      <c r="AE26" s="495"/>
      <c r="AF26" s="495" t="s">
        <v>548</v>
      </c>
      <c r="AG26" s="496">
        <f>SUM(AG15:AG23)</f>
        <v>166009</v>
      </c>
      <c r="AH26" s="496">
        <f>'[2]LR EST BLN 2020'!X23</f>
        <v>70105.180572000012</v>
      </c>
      <c r="AI26" s="496">
        <f t="shared" si="0"/>
        <v>161505.62452202663</v>
      </c>
      <c r="AJ26" s="496">
        <f t="shared" si="10"/>
        <v>38350.046890859332</v>
      </c>
      <c r="AK26" s="497">
        <f t="shared" si="1"/>
        <v>42.229746924564338</v>
      </c>
      <c r="AL26" s="497">
        <f t="shared" si="1"/>
        <v>230.37616222406808</v>
      </c>
    </row>
    <row r="27" spans="2:41" s="377" customFormat="1" ht="15" thickBot="1" x14ac:dyDescent="0.4">
      <c r="B27" s="485"/>
      <c r="C27" s="485" t="s">
        <v>549</v>
      </c>
      <c r="D27" s="498">
        <f t="shared" ref="D27:Y27" si="15">D13-D26</f>
        <v>-17685.337</v>
      </c>
      <c r="E27" s="487">
        <f t="shared" si="15"/>
        <v>209679</v>
      </c>
      <c r="F27" s="498">
        <f t="shared" si="15"/>
        <v>-67853.799999999988</v>
      </c>
      <c r="G27" s="498">
        <f t="shared" si="15"/>
        <v>-37146.254814999993</v>
      </c>
      <c r="H27" s="498">
        <f t="shared" si="15"/>
        <v>-68202.751058953407</v>
      </c>
      <c r="I27" s="487">
        <f t="shared" si="15"/>
        <v>120149.013492912</v>
      </c>
      <c r="J27" s="498">
        <f t="shared" si="15"/>
        <v>-12783.348963619777</v>
      </c>
      <c r="K27" s="498">
        <f t="shared" si="15"/>
        <v>-12783.348963619777</v>
      </c>
      <c r="L27" s="498">
        <f t="shared" si="15"/>
        <v>-4898.4162047729269</v>
      </c>
      <c r="M27" s="487">
        <f t="shared" si="15"/>
        <v>-30465.114132012481</v>
      </c>
      <c r="N27" s="487">
        <f t="shared" si="15"/>
        <v>13347.128638467566</v>
      </c>
      <c r="O27" s="487">
        <f t="shared" si="15"/>
        <v>13347.128638467566</v>
      </c>
      <c r="P27" s="487">
        <f t="shared" si="15"/>
        <v>12397.128638467566</v>
      </c>
      <c r="Q27" s="487">
        <f t="shared" si="15"/>
        <v>39091.385915402701</v>
      </c>
      <c r="R27" s="498">
        <f t="shared" si="15"/>
        <v>18687.686323420297</v>
      </c>
      <c r="S27" s="498">
        <f t="shared" si="15"/>
        <v>18687.686323420297</v>
      </c>
      <c r="T27" s="498">
        <f t="shared" si="15"/>
        <v>18687.686323420297</v>
      </c>
      <c r="U27" s="487">
        <f t="shared" si="15"/>
        <v>56063.058970260907</v>
      </c>
      <c r="V27" s="498">
        <f t="shared" si="15"/>
        <v>18496.227579753631</v>
      </c>
      <c r="W27" s="498">
        <f t="shared" si="15"/>
        <v>18496.227579753631</v>
      </c>
      <c r="X27" s="498">
        <f t="shared" si="15"/>
        <v>18467.227579753631</v>
      </c>
      <c r="Y27" s="487">
        <f t="shared" si="15"/>
        <v>55459.682739260898</v>
      </c>
      <c r="Z27" s="375">
        <v>160576.05102551074</v>
      </c>
      <c r="AA27" s="488">
        <f t="shared" si="7"/>
        <v>40427.037532598741</v>
      </c>
      <c r="AE27" s="485"/>
      <c r="AF27" s="485" t="s">
        <v>549</v>
      </c>
      <c r="AG27" s="498">
        <f>AG13-AG26</f>
        <v>209679</v>
      </c>
      <c r="AH27" s="498">
        <f>'[2]LR EST BLN 2020'!X24</f>
        <v>-38663.180572000012</v>
      </c>
      <c r="AI27" s="498">
        <f t="shared" si="0"/>
        <v>120149.013492912</v>
      </c>
      <c r="AJ27" s="498">
        <f t="shared" si="10"/>
        <v>-30465.114132012481</v>
      </c>
      <c r="AK27" s="499">
        <f t="shared" si="1"/>
        <v>-18.439224038649559</v>
      </c>
      <c r="AL27" s="499">
        <f t="shared" si="1"/>
        <v>-310.75822453138858</v>
      </c>
      <c r="AO27" s="500">
        <f>AI27</f>
        <v>120149.013492912</v>
      </c>
    </row>
    <row r="28" spans="2:41" s="377" customFormat="1" x14ac:dyDescent="0.35">
      <c r="B28" s="490" t="s">
        <v>550</v>
      </c>
      <c r="C28" s="501" t="s">
        <v>551</v>
      </c>
      <c r="D28" s="502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  <c r="V28" s="503"/>
      <c r="W28" s="503"/>
      <c r="X28" s="503"/>
      <c r="Y28" s="503"/>
      <c r="Z28" s="375">
        <v>0</v>
      </c>
      <c r="AA28" s="488">
        <f t="shared" si="7"/>
        <v>0</v>
      </c>
      <c r="AE28" s="490" t="s">
        <v>550</v>
      </c>
      <c r="AF28" s="501" t="s">
        <v>551</v>
      </c>
      <c r="AG28" s="503"/>
      <c r="AH28" s="503"/>
      <c r="AI28" s="503"/>
      <c r="AJ28" s="503"/>
      <c r="AK28" s="504"/>
      <c r="AL28" s="504"/>
      <c r="AO28" s="488">
        <f>AH29</f>
        <v>16895.133327</v>
      </c>
    </row>
    <row r="29" spans="2:41" x14ac:dyDescent="0.35">
      <c r="B29" s="473">
        <v>6100</v>
      </c>
      <c r="C29" s="474" t="s">
        <v>552</v>
      </c>
      <c r="D29" s="475">
        <v>12111.3</v>
      </c>
      <c r="E29" s="476">
        <v>12220</v>
      </c>
      <c r="F29" s="476">
        <v>14568</v>
      </c>
      <c r="G29" s="476">
        <v>49228.393844999999</v>
      </c>
      <c r="H29" s="476">
        <v>8150</v>
      </c>
      <c r="I29" s="476">
        <f t="shared" ref="I29:I30" si="16">+M29+Q29+U29+Y29</f>
        <v>11150</v>
      </c>
      <c r="J29" s="476">
        <v>1050</v>
      </c>
      <c r="K29" s="476">
        <v>1050</v>
      </c>
      <c r="L29" s="476">
        <v>1050</v>
      </c>
      <c r="M29" s="477">
        <f t="shared" ref="M29:M31" si="17">L29+K29+J29</f>
        <v>3150</v>
      </c>
      <c r="N29" s="476">
        <v>850</v>
      </c>
      <c r="O29" s="476">
        <v>850</v>
      </c>
      <c r="P29" s="476">
        <v>850</v>
      </c>
      <c r="Q29" s="477">
        <f t="shared" ref="Q29:Q30" si="18">SUM(N29:P29)</f>
        <v>2550</v>
      </c>
      <c r="R29" s="476">
        <v>850</v>
      </c>
      <c r="S29" s="476">
        <v>850</v>
      </c>
      <c r="T29" s="476">
        <v>850</v>
      </c>
      <c r="U29" s="477">
        <f t="shared" ref="U29:U30" si="19">SUM(R29:T29)</f>
        <v>2550</v>
      </c>
      <c r="V29" s="374">
        <v>965</v>
      </c>
      <c r="W29" s="374">
        <v>965</v>
      </c>
      <c r="X29" s="374">
        <v>970</v>
      </c>
      <c r="Y29" s="477">
        <f t="shared" ref="Y29:Y30" si="20">SUM(V29:X29)</f>
        <v>2900</v>
      </c>
      <c r="Z29" s="375">
        <v>11150</v>
      </c>
      <c r="AA29" s="488">
        <f t="shared" si="7"/>
        <v>0</v>
      </c>
      <c r="AB29" s="375">
        <f>AA29/3</f>
        <v>0</v>
      </c>
      <c r="AE29" s="473">
        <v>6100</v>
      </c>
      <c r="AF29" s="474" t="s">
        <v>552</v>
      </c>
      <c r="AG29" s="476">
        <f>'[2]LR EST BLN 2020'!D26</f>
        <v>12220</v>
      </c>
      <c r="AH29" s="476">
        <f>'[2]LR EST BLN 2020'!X26</f>
        <v>16895.133327</v>
      </c>
      <c r="AI29" s="476">
        <f t="shared" si="0"/>
        <v>11150</v>
      </c>
      <c r="AJ29" s="476">
        <f t="shared" si="10"/>
        <v>3150</v>
      </c>
      <c r="AK29" s="478">
        <f t="shared" si="1"/>
        <v>138.25804686579377</v>
      </c>
      <c r="AL29" s="478">
        <f t="shared" si="1"/>
        <v>65.995335959742079</v>
      </c>
      <c r="AO29" s="375">
        <f>AO28+AO27</f>
        <v>137044.14681991198</v>
      </c>
    </row>
    <row r="30" spans="2:41" x14ac:dyDescent="0.35">
      <c r="B30" s="473">
        <v>6200</v>
      </c>
      <c r="C30" s="474" t="s">
        <v>553</v>
      </c>
      <c r="D30" s="505">
        <v>-2827.7</v>
      </c>
      <c r="E30" s="505">
        <v>-118975</v>
      </c>
      <c r="F30" s="505">
        <f>-9268.3-49556.3</f>
        <v>-58824.600000000006</v>
      </c>
      <c r="G30" s="525">
        <v>-8648.9662430000008</v>
      </c>
      <c r="H30" s="525">
        <f>-33664-2124</f>
        <v>-35788</v>
      </c>
      <c r="I30" s="525">
        <f t="shared" si="16"/>
        <v>-209129</v>
      </c>
      <c r="J30" s="505">
        <v>-17235</v>
      </c>
      <c r="K30" s="505">
        <v>-17235</v>
      </c>
      <c r="L30" s="505">
        <v>-17235</v>
      </c>
      <c r="M30" s="506">
        <f t="shared" si="17"/>
        <v>-51705</v>
      </c>
      <c r="N30" s="505">
        <v>-17250</v>
      </c>
      <c r="O30" s="505">
        <v>-17250</v>
      </c>
      <c r="P30" s="505">
        <v>-17250</v>
      </c>
      <c r="Q30" s="506">
        <f t="shared" si="18"/>
        <v>-51750</v>
      </c>
      <c r="R30" s="505">
        <v>-17550</v>
      </c>
      <c r="S30" s="505">
        <v>-17550</v>
      </c>
      <c r="T30" s="505">
        <v>-17550</v>
      </c>
      <c r="U30" s="506">
        <f t="shared" si="19"/>
        <v>-52650</v>
      </c>
      <c r="V30" s="505">
        <f>-17334-341</f>
        <v>-17675</v>
      </c>
      <c r="W30" s="505">
        <f t="shared" ref="W30" si="21">-17334-341</f>
        <v>-17675</v>
      </c>
      <c r="X30" s="505">
        <f>-17334-340</f>
        <v>-17674</v>
      </c>
      <c r="Y30" s="506">
        <f t="shared" si="20"/>
        <v>-53024</v>
      </c>
      <c r="Z30" s="375">
        <v>-209128.96488116329</v>
      </c>
      <c r="AA30" s="488">
        <f t="shared" si="7"/>
        <v>3.5118836705805734E-2</v>
      </c>
      <c r="AB30" s="375">
        <f>AA30/3</f>
        <v>1.1706278901935244E-2</v>
      </c>
      <c r="AE30" s="473">
        <v>6200</v>
      </c>
      <c r="AF30" s="474" t="s">
        <v>553</v>
      </c>
      <c r="AG30" s="507">
        <f>'[2]LR EST BLN 2020'!D27</f>
        <v>-118975</v>
      </c>
      <c r="AH30" s="507">
        <f>'[2]LR EST BLN 2020'!X27</f>
        <v>-29205.676195</v>
      </c>
      <c r="AI30" s="507">
        <f t="shared" si="0"/>
        <v>-209129</v>
      </c>
      <c r="AJ30" s="507">
        <f t="shared" si="10"/>
        <v>-51705</v>
      </c>
      <c r="AK30" s="508">
        <f t="shared" si="1"/>
        <v>24.547742126497162</v>
      </c>
      <c r="AL30" s="508">
        <f t="shared" si="1"/>
        <v>716.05601117978154</v>
      </c>
      <c r="AO30" s="509">
        <f>AO29/AI13*100</f>
        <v>48.656804583719769</v>
      </c>
    </row>
    <row r="31" spans="2:41" s="377" customFormat="1" ht="15" thickBot="1" x14ac:dyDescent="0.4">
      <c r="B31" s="501"/>
      <c r="C31" s="501" t="s">
        <v>554</v>
      </c>
      <c r="D31" s="510">
        <f t="shared" ref="D31:F31" si="22">D30+D29</f>
        <v>9283.5999999999985</v>
      </c>
      <c r="E31" s="510">
        <f t="shared" si="22"/>
        <v>-106755</v>
      </c>
      <c r="F31" s="510">
        <f t="shared" si="22"/>
        <v>-44256.600000000006</v>
      </c>
      <c r="G31" s="510">
        <f t="shared" ref="G31:H31" si="23">G30+G29</f>
        <v>40579.427601999996</v>
      </c>
      <c r="H31" s="510">
        <f t="shared" si="23"/>
        <v>-27638</v>
      </c>
      <c r="I31" s="510">
        <f t="shared" ref="I31:Y31" si="24">I30+I29</f>
        <v>-197979</v>
      </c>
      <c r="J31" s="510">
        <f t="shared" si="24"/>
        <v>-16185</v>
      </c>
      <c r="K31" s="510">
        <f t="shared" si="24"/>
        <v>-16185</v>
      </c>
      <c r="L31" s="510">
        <f t="shared" si="24"/>
        <v>-16185</v>
      </c>
      <c r="M31" s="511">
        <f t="shared" si="17"/>
        <v>-48555</v>
      </c>
      <c r="N31" s="510">
        <f t="shared" si="24"/>
        <v>-16400</v>
      </c>
      <c r="O31" s="510">
        <f t="shared" si="24"/>
        <v>-16400</v>
      </c>
      <c r="P31" s="510">
        <f t="shared" si="24"/>
        <v>-16400</v>
      </c>
      <c r="Q31" s="511">
        <f t="shared" si="24"/>
        <v>-49200</v>
      </c>
      <c r="R31" s="510">
        <f t="shared" si="24"/>
        <v>-16700</v>
      </c>
      <c r="S31" s="510">
        <f t="shared" si="24"/>
        <v>-16700</v>
      </c>
      <c r="T31" s="510">
        <f t="shared" si="24"/>
        <v>-16700</v>
      </c>
      <c r="U31" s="511">
        <f t="shared" si="24"/>
        <v>-50100</v>
      </c>
      <c r="V31" s="510">
        <f t="shared" si="24"/>
        <v>-16710</v>
      </c>
      <c r="W31" s="510">
        <f t="shared" si="24"/>
        <v>-16710</v>
      </c>
      <c r="X31" s="510">
        <f t="shared" si="24"/>
        <v>-16704</v>
      </c>
      <c r="Y31" s="511">
        <f t="shared" si="24"/>
        <v>-50124</v>
      </c>
      <c r="Z31" s="375">
        <v>-197978.96488116329</v>
      </c>
      <c r="AA31" s="488">
        <f t="shared" si="7"/>
        <v>3.5118836705805734E-2</v>
      </c>
      <c r="AE31" s="501"/>
      <c r="AF31" s="501" t="s">
        <v>554</v>
      </c>
      <c r="AG31" s="512">
        <f>'[2]LR EST BLN 2020'!D28</f>
        <v>-106755</v>
      </c>
      <c r="AH31" s="512">
        <f>'[2]LR EST BLN 2020'!X28</f>
        <v>-12310.542867999999</v>
      </c>
      <c r="AI31" s="512">
        <f t="shared" si="0"/>
        <v>-197979</v>
      </c>
      <c r="AJ31" s="512">
        <f t="shared" si="10"/>
        <v>-48555</v>
      </c>
      <c r="AK31" s="513">
        <f t="shared" si="1"/>
        <v>11.531584345463912</v>
      </c>
      <c r="AL31" s="513">
        <f t="shared" si="1"/>
        <v>1608.2069013757814</v>
      </c>
    </row>
    <row r="32" spans="2:41" ht="15" thickBot="1" x14ac:dyDescent="0.4">
      <c r="B32" s="514" t="s">
        <v>555</v>
      </c>
      <c r="C32" s="485" t="s">
        <v>556</v>
      </c>
      <c r="D32" s="498">
        <f t="shared" ref="D32:I32" si="25">D31+D27</f>
        <v>-8401.737000000001</v>
      </c>
      <c r="E32" s="487">
        <f t="shared" si="25"/>
        <v>102924</v>
      </c>
      <c r="F32" s="498">
        <f t="shared" si="25"/>
        <v>-112110.39999999999</v>
      </c>
      <c r="G32" s="498">
        <f t="shared" si="25"/>
        <v>3433.1727870000032</v>
      </c>
      <c r="H32" s="498">
        <f t="shared" si="25"/>
        <v>-95840.751058953407</v>
      </c>
      <c r="I32" s="498">
        <f t="shared" si="25"/>
        <v>-77829.986507088004</v>
      </c>
      <c r="J32" s="498">
        <f t="shared" ref="J32:L32" si="26">J31+J27</f>
        <v>-28968.348963619777</v>
      </c>
      <c r="K32" s="498">
        <f t="shared" si="26"/>
        <v>-28968.348963619777</v>
      </c>
      <c r="L32" s="498">
        <f t="shared" si="26"/>
        <v>-21083.416204772926</v>
      </c>
      <c r="M32" s="498">
        <f>M31+M27</f>
        <v>-79020.114132012473</v>
      </c>
      <c r="N32" s="498">
        <f t="shared" ref="N32:P32" si="27">N31+N27</f>
        <v>-3052.8713615324341</v>
      </c>
      <c r="O32" s="498">
        <f t="shared" si="27"/>
        <v>-3052.8713615324341</v>
      </c>
      <c r="P32" s="498">
        <f t="shared" si="27"/>
        <v>-4002.8713615324341</v>
      </c>
      <c r="Q32" s="498">
        <f>Q31+Q27</f>
        <v>-10108.614084597299</v>
      </c>
      <c r="R32" s="498">
        <f t="shared" ref="R32:Y32" si="28">R31+R27</f>
        <v>1987.6863234202974</v>
      </c>
      <c r="S32" s="498">
        <f t="shared" si="28"/>
        <v>1987.6863234202974</v>
      </c>
      <c r="T32" s="498">
        <f t="shared" si="28"/>
        <v>1987.6863234202974</v>
      </c>
      <c r="U32" s="498">
        <f>U31+U27</f>
        <v>5963.0589702609068</v>
      </c>
      <c r="V32" s="498">
        <f t="shared" si="28"/>
        <v>1786.2275797536313</v>
      </c>
      <c r="W32" s="498">
        <f t="shared" si="28"/>
        <v>1786.2275797536313</v>
      </c>
      <c r="X32" s="498">
        <f t="shared" si="28"/>
        <v>1763.2275797536313</v>
      </c>
      <c r="Y32" s="498">
        <f t="shared" si="28"/>
        <v>5335.6827392608975</v>
      </c>
      <c r="Z32" s="375">
        <v>-37402.913855652558</v>
      </c>
      <c r="AA32" s="488">
        <f t="shared" si="7"/>
        <v>40427.072651435446</v>
      </c>
      <c r="AE32" s="514" t="s">
        <v>555</v>
      </c>
      <c r="AF32" s="485" t="s">
        <v>556</v>
      </c>
      <c r="AG32" s="498">
        <f t="shared" ref="AG32" si="29">AG31+AG27</f>
        <v>102924</v>
      </c>
      <c r="AH32" s="498">
        <f>'[2]LR EST BLN 2020'!X29</f>
        <v>-50973.723440000009</v>
      </c>
      <c r="AI32" s="498">
        <f t="shared" si="0"/>
        <v>-77829.986507088004</v>
      </c>
      <c r="AJ32" s="498">
        <f t="shared" si="10"/>
        <v>-79020.114132012473</v>
      </c>
      <c r="AK32" s="499">
        <f t="shared" si="1"/>
        <v>-49.525595041001139</v>
      </c>
      <c r="AL32" s="499">
        <f t="shared" si="1"/>
        <v>152.68648482918826</v>
      </c>
    </row>
    <row r="33" spans="2:38" x14ac:dyDescent="0.35">
      <c r="B33" s="473">
        <v>7110</v>
      </c>
      <c r="C33" s="474" t="s">
        <v>557</v>
      </c>
      <c r="D33" s="475">
        <v>0</v>
      </c>
      <c r="E33" s="505">
        <v>-25731</v>
      </c>
      <c r="F33" s="475">
        <v>0</v>
      </c>
      <c r="G33" s="475">
        <v>0</v>
      </c>
      <c r="H33" s="475">
        <v>0</v>
      </c>
      <c r="I33" s="475">
        <v>0</v>
      </c>
      <c r="J33" s="475">
        <v>0</v>
      </c>
      <c r="K33" s="475">
        <v>0</v>
      </c>
      <c r="L33" s="475">
        <v>0</v>
      </c>
      <c r="M33" s="515">
        <v>0</v>
      </c>
      <c r="N33" s="475">
        <v>0</v>
      </c>
      <c r="O33" s="475">
        <v>0</v>
      </c>
      <c r="P33" s="475">
        <v>0</v>
      </c>
      <c r="Q33" s="515">
        <v>0</v>
      </c>
      <c r="R33" s="475">
        <v>0</v>
      </c>
      <c r="S33" s="475">
        <v>0</v>
      </c>
      <c r="T33" s="475">
        <v>0</v>
      </c>
      <c r="U33" s="515">
        <v>0</v>
      </c>
      <c r="V33" s="475">
        <v>0</v>
      </c>
      <c r="W33" s="475">
        <v>0</v>
      </c>
      <c r="X33" s="475">
        <v>0</v>
      </c>
      <c r="Y33" s="515">
        <v>0</v>
      </c>
      <c r="Z33" s="375">
        <v>0</v>
      </c>
      <c r="AA33" s="488">
        <f t="shared" si="7"/>
        <v>0</v>
      </c>
      <c r="AE33" s="473">
        <v>7110</v>
      </c>
      <c r="AF33" s="474" t="s">
        <v>557</v>
      </c>
      <c r="AG33" s="507">
        <f>'[2]LR EST BLN 2020'!D30</f>
        <v>-25731</v>
      </c>
      <c r="AH33" s="507">
        <f>'[2]LR EST BLN 2020'!X30</f>
        <v>0</v>
      </c>
      <c r="AI33" s="507">
        <f t="shared" si="0"/>
        <v>0</v>
      </c>
      <c r="AJ33" s="507"/>
      <c r="AK33" s="508">
        <f t="shared" si="1"/>
        <v>0</v>
      </c>
      <c r="AL33" s="508">
        <v>0</v>
      </c>
    </row>
    <row r="34" spans="2:38" x14ac:dyDescent="0.35">
      <c r="B34" s="473">
        <v>7220</v>
      </c>
      <c r="C34" s="474" t="s">
        <v>558</v>
      </c>
      <c r="D34" s="475">
        <v>0</v>
      </c>
      <c r="E34" s="475">
        <v>0</v>
      </c>
      <c r="F34" s="475">
        <v>0</v>
      </c>
      <c r="G34" s="475">
        <v>0</v>
      </c>
      <c r="H34" s="475">
        <v>0</v>
      </c>
      <c r="I34" s="475">
        <v>0</v>
      </c>
      <c r="J34" s="475">
        <v>0</v>
      </c>
      <c r="K34" s="475">
        <v>0</v>
      </c>
      <c r="L34" s="475">
        <v>0</v>
      </c>
      <c r="M34" s="515">
        <v>0</v>
      </c>
      <c r="N34" s="475">
        <v>0</v>
      </c>
      <c r="O34" s="475">
        <v>0</v>
      </c>
      <c r="P34" s="475">
        <v>0</v>
      </c>
      <c r="Q34" s="515">
        <v>0</v>
      </c>
      <c r="R34" s="475">
        <v>0</v>
      </c>
      <c r="S34" s="475">
        <v>0</v>
      </c>
      <c r="T34" s="475">
        <v>0</v>
      </c>
      <c r="U34" s="515">
        <v>0</v>
      </c>
      <c r="V34" s="475">
        <v>0</v>
      </c>
      <c r="W34" s="475">
        <v>0</v>
      </c>
      <c r="X34" s="475">
        <v>0</v>
      </c>
      <c r="Y34" s="515">
        <v>0</v>
      </c>
      <c r="Z34" s="375">
        <v>0</v>
      </c>
      <c r="AA34" s="488">
        <f t="shared" si="7"/>
        <v>0</v>
      </c>
      <c r="AE34" s="473">
        <v>7220</v>
      </c>
      <c r="AF34" s="474" t="s">
        <v>558</v>
      </c>
      <c r="AG34" s="507">
        <f>'[2]LR EST BLN 2020'!D31</f>
        <v>0</v>
      </c>
      <c r="AH34" s="507">
        <f>'[2]LR EST BLN 2020'!X31</f>
        <v>0</v>
      </c>
      <c r="AI34" s="507">
        <f t="shared" si="0"/>
        <v>0</v>
      </c>
      <c r="AJ34" s="507"/>
      <c r="AK34" s="508">
        <v>0</v>
      </c>
      <c r="AL34" s="508">
        <v>0</v>
      </c>
    </row>
    <row r="35" spans="2:38" ht="15" thickBot="1" x14ac:dyDescent="0.4">
      <c r="B35" s="473">
        <v>8100</v>
      </c>
      <c r="C35" s="516" t="s">
        <v>559</v>
      </c>
      <c r="D35" s="517">
        <v>0</v>
      </c>
      <c r="E35" s="505">
        <v>-23158</v>
      </c>
      <c r="F35" s="517">
        <v>33633.199999999997</v>
      </c>
      <c r="G35" s="517">
        <v>0</v>
      </c>
      <c r="H35" s="517">
        <v>0</v>
      </c>
      <c r="I35" s="517">
        <v>0</v>
      </c>
      <c r="J35" s="517">
        <v>0</v>
      </c>
      <c r="K35" s="517">
        <v>0</v>
      </c>
      <c r="L35" s="517">
        <v>0</v>
      </c>
      <c r="M35" s="518">
        <v>0</v>
      </c>
      <c r="N35" s="517">
        <v>0</v>
      </c>
      <c r="O35" s="517">
        <v>0</v>
      </c>
      <c r="P35" s="517">
        <v>0</v>
      </c>
      <c r="Q35" s="518">
        <v>0</v>
      </c>
      <c r="R35" s="517">
        <v>0</v>
      </c>
      <c r="S35" s="517">
        <v>0</v>
      </c>
      <c r="T35" s="517">
        <v>0</v>
      </c>
      <c r="U35" s="518">
        <v>0</v>
      </c>
      <c r="V35" s="517">
        <v>0</v>
      </c>
      <c r="W35" s="517">
        <v>0</v>
      </c>
      <c r="X35" s="517">
        <v>0</v>
      </c>
      <c r="Y35" s="518">
        <v>0</v>
      </c>
      <c r="Z35" s="375">
        <v>0</v>
      </c>
      <c r="AA35" s="488">
        <f t="shared" si="7"/>
        <v>0</v>
      </c>
      <c r="AE35" s="473">
        <v>8100</v>
      </c>
      <c r="AF35" s="516" t="s">
        <v>559</v>
      </c>
      <c r="AG35" s="507">
        <f>'[2]LR EST BLN 2020'!D32</f>
        <v>-23158</v>
      </c>
      <c r="AH35" s="507">
        <f>'[2]LR EST BLN 2020'!X32</f>
        <v>0</v>
      </c>
      <c r="AI35" s="507">
        <f t="shared" si="0"/>
        <v>0</v>
      </c>
      <c r="AJ35" s="507"/>
      <c r="AK35" s="508">
        <f t="shared" si="1"/>
        <v>0</v>
      </c>
      <c r="AL35" s="508">
        <v>0</v>
      </c>
    </row>
    <row r="36" spans="2:38" ht="15" thickBot="1" x14ac:dyDescent="0.4">
      <c r="B36" s="514">
        <v>300</v>
      </c>
      <c r="C36" s="485" t="s">
        <v>560</v>
      </c>
      <c r="D36" s="498">
        <f t="shared" ref="D36:I36" si="30">D32+D33+D34+D35</f>
        <v>-8401.737000000001</v>
      </c>
      <c r="E36" s="487">
        <f t="shared" si="30"/>
        <v>54035</v>
      </c>
      <c r="F36" s="498">
        <f t="shared" si="30"/>
        <v>-78477.2</v>
      </c>
      <c r="G36" s="498">
        <f t="shared" si="30"/>
        <v>3433.1727870000032</v>
      </c>
      <c r="H36" s="498">
        <f t="shared" si="30"/>
        <v>-95840.751058953407</v>
      </c>
      <c r="I36" s="498">
        <f t="shared" si="30"/>
        <v>-77829.986507088004</v>
      </c>
      <c r="J36" s="498">
        <f t="shared" ref="J36:L36" si="31">J32+J33+J34+J35</f>
        <v>-28968.348963619777</v>
      </c>
      <c r="K36" s="498">
        <f t="shared" si="31"/>
        <v>-28968.348963619777</v>
      </c>
      <c r="L36" s="498">
        <f t="shared" si="31"/>
        <v>-21083.416204772926</v>
      </c>
      <c r="M36" s="519">
        <f>M32+M33+M34+M35</f>
        <v>-79020.114132012473</v>
      </c>
      <c r="N36" s="498">
        <f t="shared" ref="N36:P36" si="32">N32+N33+N34+N35</f>
        <v>-3052.8713615324341</v>
      </c>
      <c r="O36" s="498">
        <f t="shared" si="32"/>
        <v>-3052.8713615324341</v>
      </c>
      <c r="P36" s="498">
        <f t="shared" si="32"/>
        <v>-4002.8713615324341</v>
      </c>
      <c r="Q36" s="519">
        <f>Q32+Q33+Q34+Q35</f>
        <v>-10108.614084597299</v>
      </c>
      <c r="R36" s="498">
        <f t="shared" ref="R36:Y36" si="33">SUM(R32:R35)</f>
        <v>1987.6863234202974</v>
      </c>
      <c r="S36" s="498">
        <f t="shared" si="33"/>
        <v>1987.6863234202974</v>
      </c>
      <c r="T36" s="498">
        <f t="shared" si="33"/>
        <v>1987.6863234202974</v>
      </c>
      <c r="U36" s="519">
        <f t="shared" si="33"/>
        <v>5963.0589702609068</v>
      </c>
      <c r="V36" s="498">
        <f t="shared" si="33"/>
        <v>1786.2275797536313</v>
      </c>
      <c r="W36" s="498">
        <f t="shared" si="33"/>
        <v>1786.2275797536313</v>
      </c>
      <c r="X36" s="498">
        <f t="shared" si="33"/>
        <v>1763.2275797536313</v>
      </c>
      <c r="Y36" s="519">
        <f t="shared" si="33"/>
        <v>5335.6827392608975</v>
      </c>
      <c r="Z36" s="375">
        <v>-37402.913855652558</v>
      </c>
      <c r="AA36" s="488">
        <f t="shared" si="7"/>
        <v>40427.072651435446</v>
      </c>
      <c r="AE36" s="514">
        <v>300</v>
      </c>
      <c r="AF36" s="485" t="s">
        <v>560</v>
      </c>
      <c r="AG36" s="498">
        <f>'[2]LR EST BLN 2020'!D33</f>
        <v>54035</v>
      </c>
      <c r="AH36" s="498">
        <f>'[2]LR EST BLN 2020'!X33</f>
        <v>-50973.723440000009</v>
      </c>
      <c r="AI36" s="498">
        <f t="shared" si="0"/>
        <v>-77829.986507088004</v>
      </c>
      <c r="AJ36" s="498">
        <f t="shared" ref="AJ36" si="34">M36</f>
        <v>-79020.114132012473</v>
      </c>
      <c r="AK36" s="499">
        <f t="shared" si="1"/>
        <v>-94.334641325067111</v>
      </c>
      <c r="AL36" s="499">
        <f t="shared" si="1"/>
        <v>152.68648482918826</v>
      </c>
    </row>
    <row r="37" spans="2:38" ht="14.25" hidden="1" customHeight="1" x14ac:dyDescent="0.35">
      <c r="C37" s="520" t="s">
        <v>561</v>
      </c>
      <c r="D37" s="520"/>
      <c r="E37" s="521">
        <f t="shared" ref="E37" si="35">+E36+E35</f>
        <v>30877</v>
      </c>
      <c r="F37" s="521"/>
      <c r="G37" s="521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1"/>
      <c r="S37" s="521"/>
      <c r="T37" s="521"/>
      <c r="U37" s="521">
        <f>+U36+U35</f>
        <v>5963.0589702609068</v>
      </c>
      <c r="V37" s="521"/>
      <c r="W37" s="521"/>
      <c r="X37" s="521"/>
      <c r="Y37" s="521">
        <f>+Y36+Y35</f>
        <v>5335.6827392608975</v>
      </c>
      <c r="Z37" s="375">
        <v>0</v>
      </c>
      <c r="AF37" s="520" t="s">
        <v>561</v>
      </c>
    </row>
    <row r="38" spans="2:38" ht="14.25" hidden="1" customHeight="1" x14ac:dyDescent="0.35">
      <c r="Z38" s="375">
        <v>0</v>
      </c>
    </row>
    <row r="39" spans="2:38" ht="14.25" hidden="1" customHeight="1" x14ac:dyDescent="0.35">
      <c r="F39" s="522"/>
      <c r="G39" s="522"/>
      <c r="H39" s="522"/>
      <c r="I39" s="522"/>
      <c r="J39" s="522">
        <f>J36</f>
        <v>-28968.348963619777</v>
      </c>
      <c r="K39" s="522">
        <f>J39+K36</f>
        <v>-57936.697927239555</v>
      </c>
      <c r="L39" s="522">
        <f>K39+L36</f>
        <v>-79020.114132012473</v>
      </c>
      <c r="M39" s="523">
        <f>M36</f>
        <v>-79020.114132012473</v>
      </c>
      <c r="N39" s="522">
        <f>N36+M36</f>
        <v>-82072.985493544911</v>
      </c>
      <c r="O39" s="522">
        <f>O36+N39</f>
        <v>-85125.856855077349</v>
      </c>
      <c r="P39" s="522">
        <f>P36+O39</f>
        <v>-89128.728216609787</v>
      </c>
      <c r="Q39" s="523">
        <f>Q36+M36</f>
        <v>-89128.728216609772</v>
      </c>
      <c r="R39" s="522">
        <f>P39+R36</f>
        <v>-87141.041893189482</v>
      </c>
      <c r="S39" s="522">
        <f>S36+R39</f>
        <v>-85153.355569769192</v>
      </c>
      <c r="T39" s="522">
        <f>T36+S39</f>
        <v>-83165.669246348902</v>
      </c>
      <c r="U39" s="523">
        <f>U36+Q39</f>
        <v>-83165.669246348873</v>
      </c>
      <c r="V39" s="522">
        <f>U39+V36</f>
        <v>-81379.441666595245</v>
      </c>
      <c r="W39" s="522">
        <f>V39+W36</f>
        <v>-79593.214086841617</v>
      </c>
      <c r="X39" s="522">
        <f>X36+W39</f>
        <v>-77829.98650708799</v>
      </c>
      <c r="Y39" s="523">
        <f>Y36+U39</f>
        <v>-77829.986507087975</v>
      </c>
      <c r="Z39" s="375">
        <v>0</v>
      </c>
    </row>
    <row r="40" spans="2:38" ht="14.25" hidden="1" customHeight="1" x14ac:dyDescent="0.35">
      <c r="C40" t="s">
        <v>562</v>
      </c>
      <c r="AF40" t="s">
        <v>562</v>
      </c>
    </row>
    <row r="41" spans="2:38" ht="14.25" hidden="1" customHeight="1" x14ac:dyDescent="0.35">
      <c r="C41" t="s">
        <v>563</v>
      </c>
      <c r="AF41" t="s">
        <v>563</v>
      </c>
    </row>
    <row r="42" spans="2:38" ht="14.25" hidden="1" customHeight="1" x14ac:dyDescent="0.35">
      <c r="C42" t="s">
        <v>564</v>
      </c>
      <c r="AF42" t="s">
        <v>564</v>
      </c>
    </row>
    <row r="43" spans="2:38" ht="14.25" hidden="1" customHeight="1" x14ac:dyDescent="0.35">
      <c r="C43" t="s">
        <v>565</v>
      </c>
      <c r="AF43" t="s">
        <v>565</v>
      </c>
    </row>
    <row r="44" spans="2:38" ht="14.25" hidden="1" customHeight="1" x14ac:dyDescent="0.35">
      <c r="C44" t="s">
        <v>566</v>
      </c>
      <c r="AF44" t="s">
        <v>566</v>
      </c>
    </row>
    <row r="45" spans="2:38" ht="14.25" hidden="1" customHeight="1" x14ac:dyDescent="0.35">
      <c r="C45" t="s">
        <v>562</v>
      </c>
      <c r="AF45" t="s">
        <v>562</v>
      </c>
    </row>
    <row r="46" spans="2:38" ht="14.25" hidden="1" customHeight="1" x14ac:dyDescent="0.35">
      <c r="C46" t="s">
        <v>563</v>
      </c>
      <c r="AF46" t="s">
        <v>563</v>
      </c>
    </row>
    <row r="47" spans="2:38" ht="14.25" hidden="1" customHeight="1" x14ac:dyDescent="0.35">
      <c r="C47" t="s">
        <v>564</v>
      </c>
      <c r="AF47" t="s">
        <v>564</v>
      </c>
    </row>
    <row r="48" spans="2:38" ht="14.25" hidden="1" customHeight="1" x14ac:dyDescent="0.35">
      <c r="C48" t="s">
        <v>565</v>
      </c>
      <c r="AF48" t="s">
        <v>565</v>
      </c>
    </row>
    <row r="49" spans="3:37" ht="14.25" hidden="1" customHeight="1" x14ac:dyDescent="0.35">
      <c r="C49" t="s">
        <v>566</v>
      </c>
      <c r="AF49" t="s">
        <v>566</v>
      </c>
    </row>
    <row r="50" spans="3:37" x14ac:dyDescent="0.35">
      <c r="M50" s="522"/>
      <c r="Q50" s="522"/>
      <c r="U50" s="522"/>
      <c r="AI50" s="524">
        <f>AI36/AI13</f>
        <v>-0.27633127952595615</v>
      </c>
      <c r="AJ50" s="524"/>
    </row>
    <row r="51" spans="3:37" ht="14.25" hidden="1" customHeight="1" x14ac:dyDescent="0.35">
      <c r="C51" t="s">
        <v>567</v>
      </c>
      <c r="AF51" t="s">
        <v>567</v>
      </c>
    </row>
    <row r="52" spans="3:37" ht="14.25" hidden="1" customHeight="1" x14ac:dyDescent="0.35">
      <c r="C52" t="s">
        <v>568</v>
      </c>
      <c r="AF52" t="s">
        <v>568</v>
      </c>
    </row>
    <row r="53" spans="3:37" ht="14.25" hidden="1" customHeight="1" x14ac:dyDescent="0.35">
      <c r="C53" t="s">
        <v>569</v>
      </c>
      <c r="R53">
        <v>0</v>
      </c>
      <c r="AF53" t="s">
        <v>569</v>
      </c>
    </row>
    <row r="54" spans="3:37" ht="14.25" hidden="1" customHeight="1" x14ac:dyDescent="0.35">
      <c r="C54" t="s">
        <v>570</v>
      </c>
      <c r="R54">
        <v>0</v>
      </c>
      <c r="AF54" t="s">
        <v>570</v>
      </c>
    </row>
    <row r="55" spans="3:37" ht="14.25" hidden="1" customHeight="1" x14ac:dyDescent="0.35">
      <c r="C55" t="s">
        <v>571</v>
      </c>
      <c r="R55" s="375">
        <f>'[4]angsuran Bunga+pokok'!K24/1000000</f>
        <v>0</v>
      </c>
      <c r="S55" s="375"/>
      <c r="AF55" t="s">
        <v>571</v>
      </c>
    </row>
    <row r="56" spans="3:37" ht="14.25" hidden="1" customHeight="1" x14ac:dyDescent="0.35"/>
    <row r="57" spans="3:37" ht="14.25" hidden="1" customHeight="1" x14ac:dyDescent="0.35">
      <c r="C57" t="s">
        <v>572</v>
      </c>
      <c r="R57" s="375">
        <f>-'[3]angsuran Bunga+pokok'!I6/1000000</f>
        <v>-3464.3270006743946</v>
      </c>
      <c r="S57" s="375"/>
      <c r="T57" s="375">
        <f>-'[3]angsuran Bunga+pokok'!I9/1000000</f>
        <v>-10688.882514000001</v>
      </c>
      <c r="V57" s="375">
        <f>-'[3]angsuran Bunga+pokok'!I10/1000000</f>
        <v>-10344.081724</v>
      </c>
      <c r="W57" s="375">
        <f>-'[3]angsuran Bunga+pokok'!I11/1000000</f>
        <v>-10715.620514</v>
      </c>
      <c r="X57" s="375">
        <f>-'[3]angsuran Bunga+pokok'!I12/1000000</f>
        <v>-11626.342699999999</v>
      </c>
      <c r="AF57" t="s">
        <v>572</v>
      </c>
    </row>
    <row r="58" spans="3:37" ht="14.25" hidden="1" customHeight="1" x14ac:dyDescent="0.35">
      <c r="C58" t="s">
        <v>167</v>
      </c>
      <c r="R58" s="375">
        <f>R57+R55</f>
        <v>-3464.3270006743946</v>
      </c>
      <c r="S58" s="375"/>
      <c r="T58" s="375">
        <f t="shared" ref="T58" si="36">T57+T55</f>
        <v>-10688.882514000001</v>
      </c>
      <c r="V58" s="375">
        <f t="shared" ref="V58:X58" si="37">V57+V55</f>
        <v>-10344.081724</v>
      </c>
      <c r="W58" s="375">
        <f t="shared" si="37"/>
        <v>-10715.620514</v>
      </c>
      <c r="X58" s="375">
        <f t="shared" si="37"/>
        <v>-11626.342699999999</v>
      </c>
      <c r="AF58" t="s">
        <v>167</v>
      </c>
    </row>
    <row r="59" spans="3:37" ht="14.25" hidden="1" customHeight="1" x14ac:dyDescent="0.35"/>
    <row r="61" spans="3:37" x14ac:dyDescent="0.35">
      <c r="AI61" s="374">
        <v>-37402.618338389264</v>
      </c>
      <c r="AJ61" s="374"/>
      <c r="AK61" s="522">
        <f>AI36-AI61</f>
        <v>-40427.36816869874</v>
      </c>
    </row>
  </sheetData>
  <mergeCells count="17">
    <mergeCell ref="AK5:AL5"/>
    <mergeCell ref="H5:H6"/>
    <mergeCell ref="G5:G6"/>
    <mergeCell ref="AE5:AE6"/>
    <mergeCell ref="AF5:AF6"/>
    <mergeCell ref="AG5:AG6"/>
    <mergeCell ref="AH5:AH6"/>
    <mergeCell ref="AI5:AI6"/>
    <mergeCell ref="AJ5:AJ6"/>
    <mergeCell ref="C3:Y3"/>
    <mergeCell ref="B5:B6"/>
    <mergeCell ref="C5:C6"/>
    <mergeCell ref="D5:D6"/>
    <mergeCell ref="E5:E6"/>
    <mergeCell ref="F5:F6"/>
    <mergeCell ref="I5:I6"/>
    <mergeCell ref="J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RAB</vt:lpstr>
      <vt:lpstr> Pendanaan</vt:lpstr>
      <vt:lpstr>CF</vt:lpstr>
      <vt:lpstr>cf 2020 &amp; 2021</vt:lpstr>
      <vt:lpstr>rcn CF 21</vt:lpstr>
      <vt:lpstr>Sheet1</vt:lpstr>
      <vt:lpstr>pro &amp; kontra</vt:lpstr>
      <vt:lpstr>rcn Laba (Rugi)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andar</dc:creator>
  <cp:lastModifiedBy>Asus</cp:lastModifiedBy>
  <dcterms:created xsi:type="dcterms:W3CDTF">2020-11-04T08:21:56Z</dcterms:created>
  <dcterms:modified xsi:type="dcterms:W3CDTF">2021-02-26T04:51:05Z</dcterms:modified>
</cp:coreProperties>
</file>