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older Kantor\PT Prima Terminal Petikemas\2021\Administrasi\Anggaran\"/>
    </mc:Choice>
  </mc:AlternateContent>
  <bookViews>
    <workbookView xWindow="-105" yWindow="-105" windowWidth="23250" windowHeight="12570" activeTab="1"/>
  </bookViews>
  <sheets>
    <sheet name="Estimasi Realisasi 2021" sheetId="1" r:id="rId1"/>
    <sheet name="Usulan RKAP 202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E23" i="1" l="1"/>
  <c r="E24" i="1"/>
  <c r="G29" i="2"/>
  <c r="G31" i="2"/>
  <c r="G33" i="2"/>
  <c r="H26" i="2"/>
  <c r="H24" i="2"/>
  <c r="G24" i="2"/>
  <c r="G23" i="2"/>
  <c r="F24" i="2"/>
  <c r="F25" i="2"/>
  <c r="F26" i="2"/>
  <c r="F27" i="2"/>
  <c r="F28" i="2"/>
  <c r="F29" i="2"/>
  <c r="F30" i="2"/>
  <c r="F31" i="2"/>
  <c r="F32" i="2"/>
  <c r="F33" i="2"/>
  <c r="F23" i="2"/>
  <c r="E25" i="1"/>
  <c r="E26" i="1"/>
  <c r="H26" i="1" s="1"/>
  <c r="E27" i="1"/>
  <c r="H27" i="1" s="1"/>
  <c r="E28" i="1"/>
  <c r="E29" i="1"/>
  <c r="E30" i="1"/>
  <c r="E31" i="1"/>
  <c r="E32" i="1"/>
  <c r="E33" i="1"/>
  <c r="H24" i="1"/>
  <c r="H30" i="1"/>
  <c r="H29" i="1"/>
  <c r="H28" i="1"/>
  <c r="H23" i="1"/>
  <c r="F24" i="1"/>
  <c r="F23" i="1"/>
  <c r="G23" i="1"/>
  <c r="M23" i="2" l="1"/>
  <c r="M24" i="2"/>
  <c r="M26" i="2"/>
  <c r="M27" i="2"/>
  <c r="M28" i="2"/>
  <c r="M29" i="2"/>
  <c r="M31" i="2"/>
  <c r="M33" i="2"/>
  <c r="M41" i="2"/>
  <c r="N41" i="2"/>
  <c r="K24" i="2"/>
  <c r="I31" i="2"/>
  <c r="I33" i="2"/>
  <c r="I24" i="2"/>
  <c r="G25" i="2"/>
  <c r="H25" i="2" s="1"/>
  <c r="G26" i="2"/>
  <c r="I26" i="2" s="1"/>
  <c r="G27" i="2"/>
  <c r="I27" i="2" s="1"/>
  <c r="G28" i="2"/>
  <c r="J28" i="2" s="1"/>
  <c r="J29" i="2"/>
  <c r="G30" i="2"/>
  <c r="K30" i="2" s="1"/>
  <c r="H31" i="2"/>
  <c r="G32" i="2"/>
  <c r="K32" i="2" s="1"/>
  <c r="K33" i="2"/>
  <c r="E25" i="2"/>
  <c r="E26" i="2"/>
  <c r="E27" i="2"/>
  <c r="E28" i="2"/>
  <c r="E29" i="2"/>
  <c r="E30" i="2"/>
  <c r="E31" i="2"/>
  <c r="E32" i="2"/>
  <c r="E33" i="2"/>
  <c r="E24" i="2"/>
  <c r="D33" i="2"/>
  <c r="D32" i="2"/>
  <c r="D31" i="2"/>
  <c r="D30" i="2"/>
  <c r="D29" i="2"/>
  <c r="D28" i="2"/>
  <c r="D27" i="2"/>
  <c r="D26" i="2"/>
  <c r="D25" i="2"/>
  <c r="D24" i="2"/>
  <c r="D23" i="2"/>
  <c r="L41" i="2"/>
  <c r="I37" i="2"/>
  <c r="H37" i="2"/>
  <c r="G21" i="2"/>
  <c r="H21" i="2" s="1"/>
  <c r="E21" i="2"/>
  <c r="M21" i="2" s="1"/>
  <c r="M17" i="2"/>
  <c r="G17" i="2"/>
  <c r="K17" i="2" s="1"/>
  <c r="L17" i="2" s="1"/>
  <c r="N17" i="2" s="1"/>
  <c r="M15" i="2"/>
  <c r="G15" i="2"/>
  <c r="K15" i="2" s="1"/>
  <c r="M9" i="2"/>
  <c r="G9" i="2"/>
  <c r="K9" i="2" s="1"/>
  <c r="K11" i="2"/>
  <c r="J11" i="2"/>
  <c r="I11" i="2"/>
  <c r="H11" i="2"/>
  <c r="H16" i="1"/>
  <c r="L24" i="2" l="1"/>
  <c r="N24" i="2" s="1"/>
  <c r="K28" i="2"/>
  <c r="I25" i="2"/>
  <c r="J24" i="2"/>
  <c r="I28" i="2"/>
  <c r="J27" i="2"/>
  <c r="K29" i="2"/>
  <c r="I29" i="2"/>
  <c r="K27" i="2"/>
  <c r="H29" i="2"/>
  <c r="L29" i="2" s="1"/>
  <c r="N29" i="2" s="1"/>
  <c r="L28" i="2"/>
  <c r="N28" i="2" s="1"/>
  <c r="H28" i="2"/>
  <c r="J31" i="2"/>
  <c r="H30" i="2"/>
  <c r="I32" i="2"/>
  <c r="J26" i="2"/>
  <c r="J33" i="2"/>
  <c r="J25" i="2"/>
  <c r="H27" i="2"/>
  <c r="I30" i="2"/>
  <c r="J32" i="2"/>
  <c r="K26" i="2"/>
  <c r="K25" i="2"/>
  <c r="K23" i="2" s="1"/>
  <c r="H33" i="2"/>
  <c r="L33" i="2" s="1"/>
  <c r="N33" i="2" s="1"/>
  <c r="J30" i="2"/>
  <c r="H32" i="2"/>
  <c r="K31" i="2"/>
  <c r="L31" i="2" s="1"/>
  <c r="N31" i="2" s="1"/>
  <c r="L11" i="2"/>
  <c r="L37" i="2"/>
  <c r="I21" i="2"/>
  <c r="K21" i="2"/>
  <c r="J21" i="2"/>
  <c r="J15" i="2"/>
  <c r="L15" i="2" s="1"/>
  <c r="N15" i="2" s="1"/>
  <c r="I9" i="2"/>
  <c r="H9" i="2"/>
  <c r="J9" i="2"/>
  <c r="L27" i="2" l="1"/>
  <c r="N27" i="2" s="1"/>
  <c r="I23" i="2"/>
  <c r="L32" i="2"/>
  <c r="L30" i="2"/>
  <c r="J23" i="2"/>
  <c r="L26" i="2"/>
  <c r="N26" i="2" s="1"/>
  <c r="H23" i="2"/>
  <c r="L25" i="2"/>
  <c r="L21" i="2"/>
  <c r="N21" i="2" s="1"/>
  <c r="L9" i="2"/>
  <c r="N9" i="2" s="1"/>
  <c r="L23" i="2" l="1"/>
  <c r="N23" i="2" s="1"/>
  <c r="D20" i="1"/>
  <c r="G12" i="1"/>
  <c r="F12" i="1"/>
  <c r="H12" i="1" s="1"/>
  <c r="F11" i="2" s="1"/>
  <c r="M11" i="2" l="1"/>
  <c r="N11" i="2"/>
  <c r="E11" i="1"/>
  <c r="F11" i="1"/>
  <c r="G11" i="1"/>
  <c r="D11" i="1"/>
  <c r="F13" i="1"/>
  <c r="H13" i="1" s="1"/>
  <c r="I13" i="1" s="1"/>
  <c r="F41" i="1"/>
  <c r="H41" i="1" s="1"/>
  <c r="I41" i="1" s="1"/>
  <c r="F37" i="1"/>
  <c r="H37" i="1" s="1"/>
  <c r="I37" i="1" s="1"/>
  <c r="F36" i="1"/>
  <c r="H36" i="1" s="1"/>
  <c r="I36" i="1" s="1"/>
  <c r="G24" i="1"/>
  <c r="G25" i="1"/>
  <c r="G26" i="1"/>
  <c r="G27" i="1"/>
  <c r="G28" i="1"/>
  <c r="G29" i="1"/>
  <c r="G30" i="1"/>
  <c r="G31" i="1"/>
  <c r="G32" i="1"/>
  <c r="G33" i="1"/>
  <c r="F25" i="1"/>
  <c r="H25" i="1" s="1"/>
  <c r="F26" i="1"/>
  <c r="F27" i="1"/>
  <c r="F28" i="1"/>
  <c r="F29" i="1"/>
  <c r="F30" i="1"/>
  <c r="F31" i="1"/>
  <c r="F32" i="1"/>
  <c r="H32" i="1" s="1"/>
  <c r="F33" i="1"/>
  <c r="K23" i="1"/>
  <c r="H33" i="1"/>
  <c r="I33" i="1" s="1"/>
  <c r="D32" i="1"/>
  <c r="D25" i="1"/>
  <c r="D26" i="1"/>
  <c r="D27" i="1"/>
  <c r="I27" i="1" s="1"/>
  <c r="D28" i="1"/>
  <c r="D29" i="1"/>
  <c r="D30" i="1"/>
  <c r="D31" i="1"/>
  <c r="D33" i="1"/>
  <c r="D24" i="1"/>
  <c r="I23" i="1" l="1"/>
  <c r="I24" i="1"/>
  <c r="I29" i="1"/>
  <c r="I26" i="1"/>
  <c r="H11" i="1"/>
  <c r="H31" i="1"/>
  <c r="I31" i="1" s="1"/>
  <c r="I28" i="1"/>
  <c r="I12" i="1" l="1"/>
  <c r="H45" i="2" l="1"/>
  <c r="L45" i="2"/>
  <c r="K52" i="2"/>
  <c r="K53" i="2" s="1"/>
  <c r="I55" i="2"/>
  <c r="I51" i="2"/>
  <c r="K48" i="2"/>
  <c r="K49" i="2" s="1"/>
  <c r="L52" i="2"/>
  <c r="N52" i="2" s="1"/>
  <c r="L48" i="2"/>
  <c r="N48" i="2" s="1"/>
  <c r="I56" i="2" l="1"/>
  <c r="N49" i="2"/>
  <c r="N53" i="2"/>
  <c r="I52" i="2"/>
  <c r="N54" i="2" l="1"/>
  <c r="I57" i="2"/>
  <c r="L54" i="2" s="1"/>
  <c r="H20" i="1"/>
  <c r="I20" i="1" s="1"/>
  <c r="G9" i="1"/>
  <c r="F9" i="1"/>
  <c r="E9" i="1"/>
  <c r="H9" i="1" l="1"/>
  <c r="I9" i="1" s="1"/>
  <c r="I16" i="1"/>
  <c r="I11" i="1"/>
</calcChain>
</file>

<file path=xl/sharedStrings.xml><?xml version="1.0" encoding="utf-8"?>
<sst xmlns="http://schemas.openxmlformats.org/spreadsheetml/2006/main" count="128" uniqueCount="76">
  <si>
    <t>NO</t>
  </si>
  <si>
    <t>URAIAN</t>
  </si>
  <si>
    <t>RKAP 2021</t>
  </si>
  <si>
    <t>REALISASI SD TRW. II</t>
  </si>
  <si>
    <t>ESTIMASI REALISASI</t>
  </si>
  <si>
    <t>TRW. III</t>
  </si>
  <si>
    <t>TRW. IV</t>
  </si>
  <si>
    <t>TAHUN 2021</t>
  </si>
  <si>
    <t>(&amp; Ach)</t>
  </si>
  <si>
    <t>(7/3)</t>
  </si>
  <si>
    <t>Pemeliharaan Peralatan TOS (Software &amp; Hardware)</t>
  </si>
  <si>
    <t>Estimasi Realisasi Tahun 2021</t>
  </si>
  <si>
    <t>USULAN</t>
  </si>
  <si>
    <t>REAL.2020</t>
  </si>
  <si>
    <t>EST. REAL 2021</t>
  </si>
  <si>
    <t>RKAP</t>
  </si>
  <si>
    <t>TRW. I</t>
  </si>
  <si>
    <t>TRW. II</t>
  </si>
  <si>
    <t>RATIO (%)</t>
  </si>
  <si>
    <t>5/4 (ACH)</t>
  </si>
  <si>
    <t>10/5 (YOY)</t>
  </si>
  <si>
    <t>RKAP 2022</t>
  </si>
  <si>
    <t>Maintenance CCTV, Access Point dan Network Device</t>
  </si>
  <si>
    <t>BEBAN BAHAN</t>
  </si>
  <si>
    <t>06. Beban Telepone dan Ijin Frekuensi</t>
  </si>
  <si>
    <t xml:space="preserve">       01. Umum (Kantor) - Beban Internet</t>
  </si>
  <si>
    <t>10. Bahan Perlengkapan</t>
  </si>
  <si>
    <t>5105060000</t>
  </si>
  <si>
    <t>5105100000</t>
  </si>
  <si>
    <t xml:space="preserve">      03. Kerja (Teknik)</t>
  </si>
  <si>
    <t>5110</t>
  </si>
  <si>
    <t>BEBAN PEMELIHARAAN</t>
  </si>
  <si>
    <t xml:space="preserve">       - Penyediaan Stockable Sparepart</t>
  </si>
  <si>
    <t xml:space="preserve">       - Penyediaan APD dan Perlengkapan K3</t>
  </si>
  <si>
    <t>5110080000</t>
  </si>
  <si>
    <t>07. Pemeliharaan Peralatan</t>
  </si>
  <si>
    <t>BEBAN SEWA</t>
  </si>
  <si>
    <t>5115200000</t>
  </si>
  <si>
    <t>17. Tenaga Kerja dan Adm</t>
  </si>
  <si>
    <t>Tenaga Kerja Monitoring CCTV dan IT Support</t>
  </si>
  <si>
    <t>5130</t>
  </si>
  <si>
    <t>BEBAN ASURANSI</t>
  </si>
  <si>
    <t>5130020000</t>
  </si>
  <si>
    <t xml:space="preserve">  01. Asuransi Bangunan Faspel</t>
  </si>
  <si>
    <t>5130030000</t>
  </si>
  <si>
    <t xml:space="preserve">  02. Asuransi K a p a l</t>
  </si>
  <si>
    <t>5130040000</t>
  </si>
  <si>
    <t xml:space="preserve">  03. Asuransi Alat Faspel</t>
  </si>
  <si>
    <t>5130050000</t>
  </si>
  <si>
    <t xml:space="preserve">  04. Asuransi Instalasi Faspel</t>
  </si>
  <si>
    <t>5130070000</t>
  </si>
  <si>
    <t xml:space="preserve">  05. Asuransi Jalan dan Bangunan</t>
  </si>
  <si>
    <t>5130080000</t>
  </si>
  <si>
    <t xml:space="preserve">  06. Asuransi Peralatan</t>
  </si>
  <si>
    <t>5130090000</t>
  </si>
  <si>
    <t xml:space="preserve">  07. Asuransi Kenderaan</t>
  </si>
  <si>
    <t>5130100000</t>
  </si>
  <si>
    <t xml:space="preserve">  08. Asuransi E m p l a s m e n</t>
  </si>
  <si>
    <t>5130200000</t>
  </si>
  <si>
    <t xml:space="preserve">  09. Asuransi Kecelakaan Kerja</t>
  </si>
  <si>
    <t>5130990000</t>
  </si>
  <si>
    <t xml:space="preserve">  99. Asuransi Lainnya</t>
  </si>
  <si>
    <t>5149</t>
  </si>
  <si>
    <t>BEBAN UMUM</t>
  </si>
  <si>
    <t>5355020000</t>
  </si>
  <si>
    <t>5140010000</t>
  </si>
  <si>
    <t>5166</t>
  </si>
  <si>
    <t>BEBAN ADMINSITRASI KANTOR</t>
  </si>
  <si>
    <t>5199020000</t>
  </si>
  <si>
    <t xml:space="preserve">  06. Jamuan Rapat</t>
  </si>
  <si>
    <t xml:space="preserve">  12. Konsultan - ISO</t>
  </si>
  <si>
    <r>
      <t xml:space="preserve">  16. Pendidikan dan Latihan - </t>
    </r>
    <r>
      <rPr>
        <sz val="10"/>
        <color rgb="FFFF0000"/>
        <rFont val="Arial Narrow"/>
        <family val="2"/>
      </rPr>
      <t>Drill dan Exercise</t>
    </r>
    <r>
      <rPr>
        <sz val="10"/>
        <rFont val="Arial Narrow"/>
        <family val="2"/>
      </rPr>
      <t xml:space="preserve"> </t>
    </r>
  </si>
  <si>
    <t xml:space="preserve">        Pelatihan IT (Network, Software dan IT Gov)</t>
  </si>
  <si>
    <t>RKAP Tahun 2022</t>
  </si>
  <si>
    <t xml:space="preserve">  16. Pendidikan dan Latihan </t>
  </si>
  <si>
    <t>Drill dan Exercise ISPS Code, Tanggap Darurat, dan Pemadaman Kebakaran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</si>
</sst>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0.000"/>
    <numFmt numFmtId="168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</cellStyleXfs>
  <cellXfs count="54">
    <xf numFmtId="0" fontId="0" fillId="0" borderId="0" xfId="0"/>
    <xf numFmtId="164" fontId="4" fillId="0" borderId="0" xfId="3" applyFont="1" applyFill="1" applyBorder="1"/>
    <xf numFmtId="49" fontId="3" fillId="0" borderId="0" xfId="3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4" fillId="0" borderId="0" xfId="1" applyFont="1"/>
    <xf numFmtId="166" fontId="4" fillId="0" borderId="0" xfId="1" applyNumberFormat="1" applyFont="1"/>
    <xf numFmtId="0" fontId="4" fillId="0" borderId="0" xfId="0" applyFont="1" applyBorder="1" applyAlignment="1">
      <alignment horizontal="center"/>
    </xf>
    <xf numFmtId="164" fontId="4" fillId="0" borderId="0" xfId="0" applyNumberFormat="1" applyFont="1"/>
    <xf numFmtId="49" fontId="5" fillId="0" borderId="0" xfId="0" applyNumberFormat="1" applyFont="1" applyAlignment="1">
      <alignment horizontal="center"/>
    </xf>
    <xf numFmtId="0" fontId="5" fillId="0" borderId="0" xfId="0" applyFont="1"/>
    <xf numFmtId="49" fontId="4" fillId="0" borderId="0" xfId="0" applyNumberFormat="1" applyFont="1" applyAlignment="1">
      <alignment horizontal="center"/>
    </xf>
    <xf numFmtId="2" fontId="4" fillId="0" borderId="0" xfId="0" applyNumberFormat="1" applyFont="1"/>
    <xf numFmtId="166" fontId="4" fillId="0" borderId="0" xfId="0" applyNumberFormat="1" applyFont="1"/>
    <xf numFmtId="164" fontId="3" fillId="0" borderId="0" xfId="3" applyFont="1" applyFill="1" applyBorder="1"/>
    <xf numFmtId="164" fontId="6" fillId="0" borderId="0" xfId="3" applyFont="1" applyFill="1" applyBorder="1" applyAlignment="1"/>
    <xf numFmtId="164" fontId="5" fillId="0" borderId="0" xfId="3" applyFont="1" applyFill="1" applyBorder="1" applyAlignment="1"/>
    <xf numFmtId="49" fontId="3" fillId="0" borderId="0" xfId="4" quotePrefix="1" applyNumberFormat="1" applyFont="1" applyFill="1" applyBorder="1" applyAlignment="1">
      <alignment horizontal="right"/>
    </xf>
    <xf numFmtId="166" fontId="4" fillId="0" borderId="0" xfId="1" applyNumberFormat="1" applyFont="1" applyFill="1" applyBorder="1"/>
    <xf numFmtId="0" fontId="4" fillId="0" borderId="0" xfId="0" applyFont="1" applyFill="1" applyBorder="1"/>
    <xf numFmtId="165" fontId="4" fillId="0" borderId="0" xfId="1" applyFont="1" applyFill="1" applyBorder="1"/>
    <xf numFmtId="0" fontId="4" fillId="0" borderId="0" xfId="0" applyFont="1" applyFill="1" applyBorder="1" applyAlignment="1">
      <alignment horizontal="center"/>
    </xf>
    <xf numFmtId="49" fontId="3" fillId="0" borderId="0" xfId="1" quotePrefix="1" applyNumberFormat="1" applyFont="1" applyFill="1" applyBorder="1" applyAlignment="1">
      <alignment horizontal="right"/>
    </xf>
    <xf numFmtId="164" fontId="5" fillId="0" borderId="0" xfId="3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67" fontId="4" fillId="0" borderId="0" xfId="0" applyNumberFormat="1" applyFont="1" applyFill="1" applyBorder="1"/>
    <xf numFmtId="168" fontId="4" fillId="0" borderId="0" xfId="0" applyNumberFormat="1" applyFont="1" applyFill="1" applyBorder="1"/>
    <xf numFmtId="166" fontId="4" fillId="0" borderId="0" xfId="0" applyNumberFormat="1" applyFont="1" applyFill="1" applyBorder="1"/>
    <xf numFmtId="0" fontId="3" fillId="0" borderId="0" xfId="0" applyFont="1"/>
    <xf numFmtId="166" fontId="5" fillId="0" borderId="0" xfId="0" applyNumberFormat="1" applyFont="1"/>
    <xf numFmtId="166" fontId="5" fillId="0" borderId="0" xfId="1" applyNumberFormat="1" applyFont="1" applyFill="1" applyBorder="1"/>
    <xf numFmtId="166" fontId="5" fillId="0" borderId="0" xfId="1" applyNumberFormat="1" applyFont="1"/>
    <xf numFmtId="165" fontId="4" fillId="0" borderId="0" xfId="0" applyNumberFormat="1" applyFont="1"/>
    <xf numFmtId="164" fontId="4" fillId="0" borderId="0" xfId="2" applyFont="1"/>
    <xf numFmtId="0" fontId="5" fillId="2" borderId="1" xfId="0" applyFont="1" applyFill="1" applyBorder="1"/>
    <xf numFmtId="0" fontId="10" fillId="0" borderId="0" xfId="0" applyFont="1" applyAlignment="1">
      <alignment horizontal="center"/>
    </xf>
    <xf numFmtId="0" fontId="10" fillId="0" borderId="0" xfId="0" applyFont="1"/>
    <xf numFmtId="166" fontId="10" fillId="0" borderId="0" xfId="1" applyNumberFormat="1" applyFont="1"/>
    <xf numFmtId="166" fontId="10" fillId="0" borderId="0" xfId="0" applyNumberFormat="1" applyFont="1"/>
    <xf numFmtId="168" fontId="4" fillId="0" borderId="0" xfId="0" applyNumberFormat="1" applyFont="1"/>
    <xf numFmtId="165" fontId="10" fillId="0" borderId="0" xfId="0" applyNumberFormat="1" applyFont="1"/>
    <xf numFmtId="49" fontId="6" fillId="0" borderId="0" xfId="4" quotePrefix="1" applyNumberFormat="1" applyFont="1" applyFill="1" applyBorder="1" applyAlignment="1">
      <alignment horizontal="center"/>
    </xf>
    <xf numFmtId="49" fontId="6" fillId="0" borderId="0" xfId="1" quotePrefix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5" fontId="5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6">
    <cellStyle name="Comma" xfId="1" builtinId="3"/>
    <cellStyle name="Comma [0]" xfId="2" builtinId="6"/>
    <cellStyle name="Comma [0] 10" xfId="3"/>
    <cellStyle name="Comma 2" xfId="4"/>
    <cellStyle name="Normal" xfId="0" builtinId="0"/>
    <cellStyle name="Normal 6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zoomScale="108" workbookViewId="0">
      <selection activeCell="D12" sqref="D12"/>
    </sheetView>
  </sheetViews>
  <sheetFormatPr defaultColWidth="8.7109375" defaultRowHeight="12.75" x14ac:dyDescent="0.2"/>
  <cols>
    <col min="1" max="1" width="8.7109375" style="3"/>
    <col min="2" max="2" width="9.28515625" style="4" bestFit="1" customWidth="1"/>
    <col min="3" max="3" width="36.85546875" style="3" bestFit="1" customWidth="1"/>
    <col min="4" max="4" width="17.28515625" style="7" bestFit="1" customWidth="1"/>
    <col min="5" max="5" width="18.28515625" style="3" bestFit="1" customWidth="1"/>
    <col min="6" max="7" width="16.28515625" style="3" bestFit="1" customWidth="1"/>
    <col min="8" max="8" width="17.28515625" style="3" bestFit="1" customWidth="1"/>
    <col min="9" max="10" width="8.7109375" style="3"/>
    <col min="11" max="11" width="10.28515625" style="3" hidden="1" customWidth="1"/>
    <col min="12" max="16384" width="8.7109375" style="3"/>
  </cols>
  <sheetData>
    <row r="2" spans="2:9" x14ac:dyDescent="0.2">
      <c r="B2" s="49" t="s">
        <v>11</v>
      </c>
      <c r="C2" s="49"/>
      <c r="D2" s="49"/>
      <c r="E2" s="49"/>
      <c r="F2" s="49"/>
      <c r="G2" s="49"/>
      <c r="H2" s="49"/>
      <c r="I2" s="49"/>
    </row>
    <row r="4" spans="2:9" x14ac:dyDescent="0.2">
      <c r="B4" s="50" t="s">
        <v>0</v>
      </c>
      <c r="C4" s="50" t="s">
        <v>1</v>
      </c>
      <c r="D4" s="51" t="s">
        <v>2</v>
      </c>
      <c r="E4" s="50" t="s">
        <v>3</v>
      </c>
      <c r="F4" s="52" t="s">
        <v>4</v>
      </c>
      <c r="G4" s="52"/>
      <c r="H4" s="52"/>
      <c r="I4" s="27" t="s">
        <v>8</v>
      </c>
    </row>
    <row r="5" spans="2:9" x14ac:dyDescent="0.2">
      <c r="B5" s="50"/>
      <c r="C5" s="50"/>
      <c r="D5" s="51"/>
      <c r="E5" s="50"/>
      <c r="F5" s="26" t="s">
        <v>5</v>
      </c>
      <c r="G5" s="26" t="s">
        <v>6</v>
      </c>
      <c r="H5" s="26" t="s">
        <v>7</v>
      </c>
      <c r="I5" s="28" t="s">
        <v>9</v>
      </c>
    </row>
    <row r="6" spans="2:9" s="4" customFormat="1" x14ac:dyDescent="0.2">
      <c r="B6" s="26">
        <v>1</v>
      </c>
      <c r="C6" s="26">
        <v>2</v>
      </c>
      <c r="D6" s="26">
        <v>3</v>
      </c>
      <c r="E6" s="26">
        <v>4</v>
      </c>
      <c r="F6" s="26">
        <v>5</v>
      </c>
      <c r="G6" s="26">
        <v>6</v>
      </c>
      <c r="H6" s="26">
        <v>7</v>
      </c>
      <c r="I6" s="26">
        <v>8</v>
      </c>
    </row>
    <row r="7" spans="2:9" s="4" customFormat="1" x14ac:dyDescent="0.2">
      <c r="B7" s="5">
        <v>5105</v>
      </c>
      <c r="C7" s="6" t="s">
        <v>23</v>
      </c>
    </row>
    <row r="8" spans="2:9" x14ac:dyDescent="0.2">
      <c r="C8" s="3" t="s">
        <v>24</v>
      </c>
    </row>
    <row r="9" spans="2:9" x14ac:dyDescent="0.2">
      <c r="B9" s="2" t="s">
        <v>27</v>
      </c>
      <c r="C9" s="34" t="s">
        <v>25</v>
      </c>
      <c r="D9" s="8">
        <v>198000000</v>
      </c>
      <c r="E9" s="8">
        <f>D9*50%</f>
        <v>99000000</v>
      </c>
      <c r="F9" s="8">
        <f>D9*25%</f>
        <v>49500000</v>
      </c>
      <c r="G9" s="8">
        <f>D9*25%</f>
        <v>49500000</v>
      </c>
      <c r="H9" s="8">
        <f>SUM(E9:G9)</f>
        <v>198000000</v>
      </c>
      <c r="I9" s="14">
        <f>H9/D9</f>
        <v>1</v>
      </c>
    </row>
    <row r="10" spans="2:9" x14ac:dyDescent="0.2">
      <c r="B10" s="9"/>
      <c r="C10" s="3" t="s">
        <v>26</v>
      </c>
      <c r="I10" s="14"/>
    </row>
    <row r="11" spans="2:9" x14ac:dyDescent="0.2">
      <c r="B11" s="2" t="s">
        <v>28</v>
      </c>
      <c r="C11" s="10" t="s">
        <v>29</v>
      </c>
      <c r="D11" s="37">
        <f>SUM(D12:D13)</f>
        <v>233725209</v>
      </c>
      <c r="E11" s="37">
        <f t="shared" ref="E11:G11" si="0">SUM(E12:E13)</f>
        <v>0</v>
      </c>
      <c r="F11" s="37">
        <f t="shared" si="0"/>
        <v>147657559</v>
      </c>
      <c r="G11" s="37">
        <f t="shared" si="0"/>
        <v>86067650</v>
      </c>
      <c r="H11" s="37">
        <f>SUM(E11:G11)</f>
        <v>233725209</v>
      </c>
      <c r="I11" s="14">
        <f>H11/D11</f>
        <v>1</v>
      </c>
    </row>
    <row r="12" spans="2:9" x14ac:dyDescent="0.2">
      <c r="C12" s="3" t="s">
        <v>32</v>
      </c>
      <c r="D12" s="20">
        <v>172135300</v>
      </c>
      <c r="E12" s="20">
        <v>0</v>
      </c>
      <c r="F12" s="20">
        <f>D12*50%</f>
        <v>86067650</v>
      </c>
      <c r="G12" s="20">
        <f>D12*50%</f>
        <v>86067650</v>
      </c>
      <c r="H12" s="8">
        <f>SUM(E12:G12)</f>
        <v>172135300</v>
      </c>
      <c r="I12" s="14">
        <f>H12/D12</f>
        <v>1</v>
      </c>
    </row>
    <row r="13" spans="2:9" x14ac:dyDescent="0.2">
      <c r="C13" s="3" t="s">
        <v>33</v>
      </c>
      <c r="D13" s="8">
        <v>61589909</v>
      </c>
      <c r="E13" s="8">
        <v>0</v>
      </c>
      <c r="F13" s="8">
        <f>D13</f>
        <v>61589909</v>
      </c>
      <c r="G13" s="8">
        <v>0</v>
      </c>
      <c r="H13" s="8">
        <f>SUM(E13:G13)</f>
        <v>61589909</v>
      </c>
      <c r="I13" s="14">
        <f>H13/D13</f>
        <v>1</v>
      </c>
    </row>
    <row r="14" spans="2:9" x14ac:dyDescent="0.2">
      <c r="D14" s="8"/>
      <c r="E14" s="8"/>
      <c r="F14" s="8"/>
      <c r="G14" s="8"/>
      <c r="H14" s="8"/>
    </row>
    <row r="15" spans="2:9" x14ac:dyDescent="0.2">
      <c r="B15" s="11" t="s">
        <v>30</v>
      </c>
      <c r="C15" s="12" t="s">
        <v>31</v>
      </c>
      <c r="D15" s="8"/>
      <c r="E15" s="8"/>
      <c r="F15" s="8"/>
      <c r="G15" s="8"/>
      <c r="H15" s="8"/>
    </row>
    <row r="16" spans="2:9" x14ac:dyDescent="0.2">
      <c r="B16" s="13" t="s">
        <v>34</v>
      </c>
      <c r="C16" s="3" t="s">
        <v>35</v>
      </c>
      <c r="D16" s="8">
        <v>18471860469.086102</v>
      </c>
      <c r="E16" s="8">
        <v>0</v>
      </c>
      <c r="F16" s="8">
        <v>1539321705.7571752</v>
      </c>
      <c r="G16" s="8">
        <v>4617965117.2715254</v>
      </c>
      <c r="H16" s="8">
        <f>SUM(E16:G16)</f>
        <v>6157286823.0287008</v>
      </c>
      <c r="I16" s="14">
        <f>H16/D16</f>
        <v>0.33333333333333337</v>
      </c>
    </row>
    <row r="17" spans="1:11" x14ac:dyDescent="0.2">
      <c r="C17" s="3" t="s">
        <v>10</v>
      </c>
      <c r="D17" s="8"/>
      <c r="E17" s="8"/>
      <c r="F17" s="8"/>
      <c r="G17" s="8"/>
      <c r="H17" s="8"/>
    </row>
    <row r="18" spans="1:11" x14ac:dyDescent="0.2">
      <c r="D18" s="8"/>
      <c r="E18" s="8"/>
      <c r="F18" s="8"/>
      <c r="G18" s="8"/>
      <c r="H18" s="8"/>
    </row>
    <row r="19" spans="1:11" x14ac:dyDescent="0.2">
      <c r="B19" s="5">
        <v>5115</v>
      </c>
      <c r="C19" s="12" t="s">
        <v>36</v>
      </c>
      <c r="D19" s="8"/>
      <c r="E19" s="8"/>
      <c r="F19" s="8"/>
      <c r="G19" s="8"/>
      <c r="H19" s="8"/>
    </row>
    <row r="20" spans="1:11" x14ac:dyDescent="0.2">
      <c r="B20" s="13" t="s">
        <v>37</v>
      </c>
      <c r="C20" s="3" t="s">
        <v>38</v>
      </c>
      <c r="D20" s="8">
        <f>369460362+421296105</f>
        <v>790756467</v>
      </c>
      <c r="E20" s="8">
        <v>124383732</v>
      </c>
      <c r="F20" s="8">
        <v>148111767</v>
      </c>
      <c r="G20" s="8">
        <v>148111767</v>
      </c>
      <c r="H20" s="8">
        <f>SUM(E20:G20)</f>
        <v>420607266</v>
      </c>
      <c r="I20" s="14">
        <f>H20/D20</f>
        <v>0.53190493350717039</v>
      </c>
    </row>
    <row r="21" spans="1:11" x14ac:dyDescent="0.2">
      <c r="C21" s="3" t="s">
        <v>39</v>
      </c>
      <c r="D21" s="8"/>
      <c r="E21" s="8"/>
      <c r="F21" s="8"/>
      <c r="G21" s="8"/>
      <c r="H21" s="8"/>
      <c r="I21" s="14"/>
    </row>
    <row r="22" spans="1:11" x14ac:dyDescent="0.2">
      <c r="D22" s="8"/>
      <c r="E22" s="8"/>
      <c r="F22" s="8"/>
      <c r="G22" s="8"/>
      <c r="H22" s="8"/>
      <c r="I22" s="14"/>
    </row>
    <row r="23" spans="1:11" s="21" customFormat="1" x14ac:dyDescent="0.2">
      <c r="B23" s="19" t="s">
        <v>40</v>
      </c>
      <c r="C23" s="17" t="s">
        <v>41</v>
      </c>
      <c r="D23" s="35">
        <v>9862407558.40028</v>
      </c>
      <c r="E23" s="36">
        <f>((D23/12)*5)+K23</f>
        <v>4577920721.2971077</v>
      </c>
      <c r="F23" s="36">
        <f>K23*3</f>
        <v>1405752715.8909743</v>
      </c>
      <c r="G23" s="36">
        <f>K23*3</f>
        <v>1405752715.8909743</v>
      </c>
      <c r="H23" s="36">
        <f>SUM(E23:G23)</f>
        <v>7389426153.0790558</v>
      </c>
      <c r="I23" s="14">
        <f t="shared" ref="I23:I41" si="1">H23/D23</f>
        <v>0.74925175311632009</v>
      </c>
      <c r="K23" s="32">
        <f>SUM(K24:K33)</f>
        <v>468584238.63032478</v>
      </c>
    </row>
    <row r="24" spans="1:11" s="21" customFormat="1" x14ac:dyDescent="0.2">
      <c r="A24" s="31">
        <v>0.18992519393777124</v>
      </c>
      <c r="B24" s="2" t="s">
        <v>42</v>
      </c>
      <c r="C24" s="16" t="s">
        <v>43</v>
      </c>
      <c r="D24" s="32">
        <f>$D$23*A24</f>
        <v>1873119668.2225142</v>
      </c>
      <c r="E24" s="20">
        <f>((D24/12)*5)+K24</f>
        <v>869462480.82409489</v>
      </c>
      <c r="F24" s="20">
        <f>K24*3</f>
        <v>266987857.19414186</v>
      </c>
      <c r="G24" s="20">
        <f t="shared" ref="G24:G33" si="2">K24*3</f>
        <v>266987857.19414186</v>
      </c>
      <c r="H24" s="20">
        <f>SUM(E24:G24)</f>
        <v>1403438195.2123785</v>
      </c>
      <c r="I24" s="14">
        <f t="shared" si="1"/>
        <v>0.74925175311632009</v>
      </c>
      <c r="K24" s="32">
        <v>88995952.398047283</v>
      </c>
    </row>
    <row r="25" spans="1:11" s="21" customFormat="1" x14ac:dyDescent="0.2">
      <c r="B25" s="2" t="s">
        <v>44</v>
      </c>
      <c r="C25" s="16" t="s">
        <v>45</v>
      </c>
      <c r="D25" s="32">
        <f t="shared" ref="D25:D33" si="3">$D$23*A25</f>
        <v>0</v>
      </c>
      <c r="E25" s="20">
        <f t="shared" ref="E25:E33" si="4">((D25/12)*5)+K25</f>
        <v>0</v>
      </c>
      <c r="F25" s="20">
        <f t="shared" ref="F25:F33" si="5">K25*3</f>
        <v>0</v>
      </c>
      <c r="G25" s="20">
        <f t="shared" si="2"/>
        <v>0</v>
      </c>
      <c r="H25" s="20">
        <f t="shared" ref="H25:H37" si="6">SUM(E25:G25)</f>
        <v>0</v>
      </c>
      <c r="I25" s="14"/>
      <c r="K25" s="32"/>
    </row>
    <row r="26" spans="1:11" s="21" customFormat="1" x14ac:dyDescent="0.2">
      <c r="A26" s="31">
        <v>0.54527443761104066</v>
      </c>
      <c r="B26" s="2" t="s">
        <v>46</v>
      </c>
      <c r="C26" s="16" t="s">
        <v>47</v>
      </c>
      <c r="D26" s="32">
        <f t="shared" si="3"/>
        <v>5377718734.8975897</v>
      </c>
      <c r="E26" s="20">
        <f t="shared" si="4"/>
        <v>2496223146.7332101</v>
      </c>
      <c r="F26" s="20">
        <f t="shared" si="5"/>
        <v>766521021.57764387</v>
      </c>
      <c r="G26" s="20">
        <f t="shared" si="2"/>
        <v>766521021.57764387</v>
      </c>
      <c r="H26" s="20">
        <f>SUM(E26:G26)</f>
        <v>4029265189.8884978</v>
      </c>
      <c r="I26" s="14">
        <f t="shared" si="1"/>
        <v>0.74925175311632009</v>
      </c>
      <c r="K26" s="32">
        <v>255507007.19254795</v>
      </c>
    </row>
    <row r="27" spans="1:11" s="21" customFormat="1" x14ac:dyDescent="0.2">
      <c r="A27" s="31">
        <v>0.15176373885961264</v>
      </c>
      <c r="B27" s="2" t="s">
        <v>48</v>
      </c>
      <c r="C27" s="16" t="s">
        <v>49</v>
      </c>
      <c r="D27" s="32">
        <f t="shared" si="3"/>
        <v>1496755845.22013</v>
      </c>
      <c r="E27" s="20">
        <f t="shared" si="4"/>
        <v>694762364.86694384</v>
      </c>
      <c r="F27" s="20">
        <f t="shared" si="5"/>
        <v>213342288.07566899</v>
      </c>
      <c r="G27" s="20">
        <f t="shared" si="2"/>
        <v>213342288.07566899</v>
      </c>
      <c r="H27" s="20">
        <f>SUM(E27:G27)</f>
        <v>1121446941.0182819</v>
      </c>
      <c r="I27" s="14">
        <f t="shared" si="1"/>
        <v>0.7492517531163202</v>
      </c>
      <c r="K27" s="32">
        <v>71114096.025223002</v>
      </c>
    </row>
    <row r="28" spans="1:11" s="21" customFormat="1" x14ac:dyDescent="0.2">
      <c r="A28" s="31">
        <v>7.1959450408896869E-2</v>
      </c>
      <c r="B28" s="2" t="s">
        <v>50</v>
      </c>
      <c r="C28" s="16" t="s">
        <v>51</v>
      </c>
      <c r="D28" s="32">
        <f t="shared" si="3"/>
        <v>709693427.61103463</v>
      </c>
      <c r="E28" s="20">
        <f t="shared" si="4"/>
        <v>329424659.12004066</v>
      </c>
      <c r="F28" s="20">
        <f t="shared" si="5"/>
        <v>101157192.84632863</v>
      </c>
      <c r="G28" s="20">
        <f t="shared" si="2"/>
        <v>101157192.84632863</v>
      </c>
      <c r="H28" s="20">
        <f>SUM(E28:G28)</f>
        <v>531739044.81269789</v>
      </c>
      <c r="I28" s="14">
        <f t="shared" si="1"/>
        <v>0.74925175311632009</v>
      </c>
      <c r="K28" s="32">
        <v>33719064.282109544</v>
      </c>
    </row>
    <row r="29" spans="1:11" s="21" customFormat="1" x14ac:dyDescent="0.2">
      <c r="A29" s="31">
        <v>1.7584498538360981E-2</v>
      </c>
      <c r="B29" s="2" t="s">
        <v>52</v>
      </c>
      <c r="C29" s="16" t="s">
        <v>53</v>
      </c>
      <c r="D29" s="32">
        <f t="shared" si="3"/>
        <v>173425491.29541001</v>
      </c>
      <c r="E29" s="20">
        <f t="shared" si="4"/>
        <v>80500440.232381433</v>
      </c>
      <c r="F29" s="20">
        <f t="shared" si="5"/>
        <v>24719456.577881813</v>
      </c>
      <c r="G29" s="20">
        <f t="shared" si="2"/>
        <v>24719456.577881813</v>
      </c>
      <c r="H29" s="20">
        <f>SUM(E29:G29)</f>
        <v>129939353.38814506</v>
      </c>
      <c r="I29" s="14">
        <f t="shared" si="1"/>
        <v>0.74925175311632009</v>
      </c>
      <c r="K29" s="32">
        <v>8239818.8592939377</v>
      </c>
    </row>
    <row r="30" spans="1:11" s="21" customFormat="1" x14ac:dyDescent="0.2">
      <c r="B30" s="2" t="s">
        <v>54</v>
      </c>
      <c r="C30" s="16" t="s">
        <v>55</v>
      </c>
      <c r="D30" s="32">
        <f t="shared" si="3"/>
        <v>0</v>
      </c>
      <c r="E30" s="20">
        <f t="shared" si="4"/>
        <v>0</v>
      </c>
      <c r="F30" s="20">
        <f t="shared" si="5"/>
        <v>0</v>
      </c>
      <c r="G30" s="20">
        <f t="shared" si="2"/>
        <v>0</v>
      </c>
      <c r="H30" s="20">
        <f>SUM(E30:G30)</f>
        <v>0</v>
      </c>
      <c r="I30" s="14"/>
      <c r="K30" s="32"/>
    </row>
    <row r="31" spans="1:11" s="21" customFormat="1" x14ac:dyDescent="0.2">
      <c r="A31" s="31">
        <v>5.7573374595007226E-3</v>
      </c>
      <c r="B31" s="2" t="s">
        <v>56</v>
      </c>
      <c r="C31" s="16" t="s">
        <v>57</v>
      </c>
      <c r="D31" s="32">
        <f t="shared" si="3"/>
        <v>56781208.476840995</v>
      </c>
      <c r="E31" s="20">
        <f t="shared" si="4"/>
        <v>26356634.45534841</v>
      </c>
      <c r="F31" s="20">
        <f t="shared" si="5"/>
        <v>8093392.7699939813</v>
      </c>
      <c r="G31" s="20">
        <f t="shared" si="2"/>
        <v>8093392.7699939813</v>
      </c>
      <c r="H31" s="20">
        <f t="shared" si="6"/>
        <v>42543419.995336376</v>
      </c>
      <c r="I31" s="14">
        <f t="shared" si="1"/>
        <v>0.7492517531163202</v>
      </c>
      <c r="K31" s="32">
        <v>2697797.5899979938</v>
      </c>
    </row>
    <row r="32" spans="1:11" s="21" customFormat="1" x14ac:dyDescent="0.2">
      <c r="B32" s="2" t="s">
        <v>58</v>
      </c>
      <c r="C32" s="16" t="s">
        <v>59</v>
      </c>
      <c r="D32" s="32">
        <f t="shared" si="3"/>
        <v>0</v>
      </c>
      <c r="E32" s="20">
        <f t="shared" si="4"/>
        <v>0</v>
      </c>
      <c r="F32" s="20">
        <f t="shared" si="5"/>
        <v>0</v>
      </c>
      <c r="G32" s="20">
        <f t="shared" si="2"/>
        <v>0</v>
      </c>
      <c r="H32" s="20">
        <f t="shared" si="6"/>
        <v>0</v>
      </c>
      <c r="I32" s="14"/>
      <c r="K32" s="32"/>
    </row>
    <row r="33" spans="1:11" s="21" customFormat="1" x14ac:dyDescent="0.2">
      <c r="A33" s="31">
        <v>1.7735343184817069E-2</v>
      </c>
      <c r="B33" s="2" t="s">
        <v>60</v>
      </c>
      <c r="C33" s="16" t="s">
        <v>61</v>
      </c>
      <c r="D33" s="32">
        <f t="shared" si="3"/>
        <v>174913182.67676276</v>
      </c>
      <c r="E33" s="20">
        <f t="shared" si="4"/>
        <v>81190995.065089509</v>
      </c>
      <c r="F33" s="20">
        <f t="shared" si="5"/>
        <v>24931506.849315073</v>
      </c>
      <c r="G33" s="20">
        <f t="shared" si="2"/>
        <v>24931506.849315073</v>
      </c>
      <c r="H33" s="20">
        <f t="shared" si="6"/>
        <v>131054008.76371966</v>
      </c>
      <c r="I33" s="14">
        <f t="shared" si="1"/>
        <v>0.7492517531163202</v>
      </c>
      <c r="K33" s="32">
        <v>8310502.2831050241</v>
      </c>
    </row>
    <row r="34" spans="1:11" s="21" customFormat="1" x14ac:dyDescent="0.2">
      <c r="A34" s="31"/>
      <c r="B34" s="23"/>
      <c r="E34" s="20"/>
      <c r="F34" s="20"/>
      <c r="G34" s="20"/>
      <c r="H34" s="20"/>
      <c r="I34" s="14"/>
    </row>
    <row r="35" spans="1:11" s="21" customFormat="1" x14ac:dyDescent="0.2">
      <c r="B35" s="24" t="s">
        <v>62</v>
      </c>
      <c r="C35" s="18" t="s">
        <v>63</v>
      </c>
      <c r="D35" s="22"/>
      <c r="F35" s="20"/>
      <c r="G35" s="20"/>
      <c r="H35" s="20"/>
      <c r="I35" s="14"/>
    </row>
    <row r="36" spans="1:11" s="21" customFormat="1" x14ac:dyDescent="0.2">
      <c r="B36" s="2" t="s">
        <v>64</v>
      </c>
      <c r="C36" s="1" t="s">
        <v>70</v>
      </c>
      <c r="D36" s="20">
        <v>561492314</v>
      </c>
      <c r="E36" s="20">
        <v>0</v>
      </c>
      <c r="F36" s="20">
        <f>D36</f>
        <v>561492314</v>
      </c>
      <c r="G36" s="20">
        <v>0</v>
      </c>
      <c r="H36" s="20">
        <f t="shared" si="6"/>
        <v>561492314</v>
      </c>
      <c r="I36" s="14">
        <f t="shared" si="1"/>
        <v>1</v>
      </c>
    </row>
    <row r="37" spans="1:11" s="21" customFormat="1" x14ac:dyDescent="0.2">
      <c r="B37" s="2" t="s">
        <v>65</v>
      </c>
      <c r="C37" s="16" t="s">
        <v>74</v>
      </c>
      <c r="D37" s="20">
        <v>47500000</v>
      </c>
      <c r="E37" s="20">
        <v>0</v>
      </c>
      <c r="F37" s="20">
        <f>D37</f>
        <v>47500000</v>
      </c>
      <c r="G37" s="20">
        <v>0</v>
      </c>
      <c r="H37" s="20">
        <f t="shared" si="6"/>
        <v>47500000</v>
      </c>
      <c r="I37" s="14">
        <f t="shared" si="1"/>
        <v>1</v>
      </c>
    </row>
    <row r="38" spans="1:11" s="21" customFormat="1" x14ac:dyDescent="0.2">
      <c r="B38" s="2"/>
      <c r="C38" s="16" t="s">
        <v>75</v>
      </c>
      <c r="D38" s="20"/>
      <c r="E38" s="20"/>
      <c r="F38" s="20"/>
      <c r="G38" s="20"/>
      <c r="H38" s="20"/>
      <c r="I38" s="14"/>
    </row>
    <row r="39" spans="1:11" s="21" customFormat="1" x14ac:dyDescent="0.2">
      <c r="B39" s="23"/>
      <c r="D39" s="22"/>
      <c r="I39" s="14"/>
    </row>
    <row r="40" spans="1:11" s="21" customFormat="1" x14ac:dyDescent="0.2">
      <c r="B40" s="24" t="s">
        <v>66</v>
      </c>
      <c r="C40" s="25" t="s">
        <v>67</v>
      </c>
      <c r="D40" s="22"/>
      <c r="I40" s="14"/>
    </row>
    <row r="41" spans="1:11" s="21" customFormat="1" x14ac:dyDescent="0.2">
      <c r="B41" s="2" t="s">
        <v>68</v>
      </c>
      <c r="C41" s="1" t="s">
        <v>69</v>
      </c>
      <c r="D41" s="20">
        <v>25500000</v>
      </c>
      <c r="E41" s="20">
        <v>0</v>
      </c>
      <c r="F41" s="33">
        <f>D41</f>
        <v>25500000</v>
      </c>
      <c r="G41" s="20">
        <v>0</v>
      </c>
      <c r="H41" s="20">
        <f t="shared" ref="H41" si="7">SUM(E41:G41)</f>
        <v>25500000</v>
      </c>
      <c r="I41" s="14">
        <f t="shared" si="1"/>
        <v>1</v>
      </c>
    </row>
  </sheetData>
  <mergeCells count="6">
    <mergeCell ref="B2:I2"/>
    <mergeCell ref="B4:B5"/>
    <mergeCell ref="C4:C5"/>
    <mergeCell ref="D4:D5"/>
    <mergeCell ref="E4:E5"/>
    <mergeCell ref="F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topLeftCell="B1" workbookViewId="0">
      <selection activeCell="E11" sqref="E11"/>
    </sheetView>
  </sheetViews>
  <sheetFormatPr defaultColWidth="8.7109375" defaultRowHeight="12.75" x14ac:dyDescent="0.2"/>
  <cols>
    <col min="1" max="1" width="8.7109375" style="3"/>
    <col min="2" max="2" width="9" style="4" bestFit="1" customWidth="1"/>
    <col min="3" max="3" width="39.42578125" style="3" bestFit="1" customWidth="1"/>
    <col min="4" max="4" width="13.42578125" style="7" customWidth="1"/>
    <col min="5" max="5" width="13.28515625" style="3" customWidth="1"/>
    <col min="6" max="6" width="14.7109375" style="3" bestFit="1" customWidth="1"/>
    <col min="7" max="7" width="16.28515625" style="3" bestFit="1" customWidth="1"/>
    <col min="8" max="9" width="14.7109375" style="3" bestFit="1" customWidth="1"/>
    <col min="10" max="11" width="16.28515625" style="3" bestFit="1" customWidth="1"/>
    <col min="12" max="12" width="14.7109375" style="3" bestFit="1" customWidth="1"/>
    <col min="13" max="16384" width="8.7109375" style="3"/>
  </cols>
  <sheetData>
    <row r="2" spans="2:14" x14ac:dyDescent="0.2">
      <c r="B2" s="49" t="s">
        <v>73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4" spans="2:14" x14ac:dyDescent="0.2">
      <c r="B4" s="50" t="s">
        <v>0</v>
      </c>
      <c r="C4" s="50" t="s">
        <v>12</v>
      </c>
      <c r="D4" s="51" t="s">
        <v>13</v>
      </c>
      <c r="E4" s="50" t="s">
        <v>2</v>
      </c>
      <c r="F4" s="53" t="s">
        <v>14</v>
      </c>
      <c r="G4" s="53" t="s">
        <v>21</v>
      </c>
      <c r="H4" s="52" t="s">
        <v>15</v>
      </c>
      <c r="I4" s="52"/>
      <c r="J4" s="52"/>
      <c r="K4" s="52"/>
      <c r="L4" s="52"/>
      <c r="M4" s="52" t="s">
        <v>18</v>
      </c>
      <c r="N4" s="52"/>
    </row>
    <row r="5" spans="2:14" x14ac:dyDescent="0.2">
      <c r="B5" s="50"/>
      <c r="C5" s="50"/>
      <c r="D5" s="51"/>
      <c r="E5" s="50"/>
      <c r="F5" s="53"/>
      <c r="G5" s="53"/>
      <c r="H5" s="26" t="s">
        <v>16</v>
      </c>
      <c r="I5" s="26" t="s">
        <v>17</v>
      </c>
      <c r="J5" s="26" t="s">
        <v>5</v>
      </c>
      <c r="K5" s="26" t="s">
        <v>6</v>
      </c>
      <c r="L5" s="26">
        <v>2022</v>
      </c>
      <c r="M5" s="40" t="s">
        <v>19</v>
      </c>
      <c r="N5" s="40" t="s">
        <v>20</v>
      </c>
    </row>
    <row r="6" spans="2:14" s="30" customFormat="1" x14ac:dyDescent="0.25">
      <c r="B6" s="29">
        <v>1</v>
      </c>
      <c r="C6" s="29">
        <v>2</v>
      </c>
      <c r="D6" s="29">
        <v>3</v>
      </c>
      <c r="E6" s="29">
        <v>4</v>
      </c>
      <c r="F6" s="29">
        <v>5</v>
      </c>
      <c r="G6" s="29">
        <v>6</v>
      </c>
      <c r="H6" s="29">
        <v>7</v>
      </c>
      <c r="I6" s="29">
        <v>8</v>
      </c>
      <c r="J6" s="29">
        <v>9</v>
      </c>
      <c r="K6" s="29">
        <v>10</v>
      </c>
      <c r="L6" s="29">
        <v>11</v>
      </c>
      <c r="M6" s="29">
        <v>12</v>
      </c>
      <c r="N6" s="29">
        <v>13</v>
      </c>
    </row>
    <row r="7" spans="2:14" x14ac:dyDescent="0.2">
      <c r="B7" s="5">
        <v>5105</v>
      </c>
      <c r="C7" s="6" t="s">
        <v>23</v>
      </c>
    </row>
    <row r="8" spans="2:14" x14ac:dyDescent="0.2">
      <c r="C8" s="3" t="s">
        <v>24</v>
      </c>
    </row>
    <row r="9" spans="2:14" x14ac:dyDescent="0.2">
      <c r="B9" s="2" t="s">
        <v>27</v>
      </c>
      <c r="C9" s="34" t="s">
        <v>25</v>
      </c>
      <c r="D9" s="8">
        <v>0</v>
      </c>
      <c r="E9" s="8">
        <v>198000000</v>
      </c>
      <c r="F9" s="8">
        <v>198000000</v>
      </c>
      <c r="G9" s="15">
        <f>F9*1.25</f>
        <v>247500000</v>
      </c>
      <c r="H9" s="15">
        <f>G9*25%</f>
        <v>61875000</v>
      </c>
      <c r="I9" s="15">
        <f>G9*25%</f>
        <v>61875000</v>
      </c>
      <c r="J9" s="15">
        <f>G9*25%</f>
        <v>61875000</v>
      </c>
      <c r="K9" s="15">
        <f>G9*25%</f>
        <v>61875000</v>
      </c>
      <c r="L9" s="15">
        <f>SUM(H9:K9)</f>
        <v>247500000</v>
      </c>
      <c r="M9" s="38">
        <f>F9/E9</f>
        <v>1</v>
      </c>
      <c r="N9" s="38">
        <f>L9/F9</f>
        <v>1.25</v>
      </c>
    </row>
    <row r="10" spans="2:14" x14ac:dyDescent="0.2">
      <c r="B10" s="9"/>
      <c r="C10" s="3" t="s">
        <v>26</v>
      </c>
      <c r="M10" s="38"/>
      <c r="N10" s="38"/>
    </row>
    <row r="11" spans="2:14" x14ac:dyDescent="0.2">
      <c r="B11" s="2" t="s">
        <v>28</v>
      </c>
      <c r="C11" s="10" t="s">
        <v>29</v>
      </c>
      <c r="D11" s="8">
        <v>0</v>
      </c>
      <c r="E11" s="8">
        <f>'Estimasi Realisasi 2021'!D12</f>
        <v>172135300</v>
      </c>
      <c r="F11" s="8">
        <f>'Estimasi Realisasi 2021'!H12</f>
        <v>172135300</v>
      </c>
      <c r="G11" s="39">
        <v>247292434.99999997</v>
      </c>
      <c r="H11" s="39">
        <f>G11*25%</f>
        <v>61823108.749999993</v>
      </c>
      <c r="I11" s="39">
        <f>G11*25%</f>
        <v>61823108.749999993</v>
      </c>
      <c r="J11" s="39">
        <f>G11*25%</f>
        <v>61823108.749999993</v>
      </c>
      <c r="K11" s="39">
        <f>G11*25%</f>
        <v>61823108.749999993</v>
      </c>
      <c r="L11" s="39">
        <f>SUM(H11:K11)</f>
        <v>247292434.99999997</v>
      </c>
      <c r="M11" s="38">
        <f>F11/E11</f>
        <v>1</v>
      </c>
      <c r="N11" s="38">
        <f>L11/F11</f>
        <v>1.4366166323816205</v>
      </c>
    </row>
    <row r="12" spans="2:14" x14ac:dyDescent="0.2">
      <c r="C12" s="3" t="s">
        <v>32</v>
      </c>
      <c r="M12" s="38"/>
      <c r="N12" s="38"/>
    </row>
    <row r="13" spans="2:14" x14ac:dyDescent="0.2">
      <c r="M13" s="38"/>
      <c r="N13" s="38"/>
    </row>
    <row r="14" spans="2:14" x14ac:dyDescent="0.2">
      <c r="B14" s="11" t="s">
        <v>30</v>
      </c>
      <c r="C14" s="12" t="s">
        <v>31</v>
      </c>
      <c r="M14" s="38"/>
      <c r="N14" s="38"/>
    </row>
    <row r="15" spans="2:14" x14ac:dyDescent="0.2">
      <c r="B15" s="13" t="s">
        <v>34</v>
      </c>
      <c r="C15" s="3" t="s">
        <v>35</v>
      </c>
      <c r="D15" s="8">
        <v>0</v>
      </c>
      <c r="E15" s="8">
        <v>18471860469.086102</v>
      </c>
      <c r="F15" s="8">
        <v>18471860469.086102</v>
      </c>
      <c r="G15" s="8">
        <f>18471860469.0861*1.05</f>
        <v>19395453492.540409</v>
      </c>
      <c r="H15" s="8">
        <v>0</v>
      </c>
      <c r="I15" s="8">
        <v>0</v>
      </c>
      <c r="J15" s="38">
        <f>G15*50%</f>
        <v>9697726746.2702045</v>
      </c>
      <c r="K15" s="38">
        <f>G15*50%</f>
        <v>9697726746.2702045</v>
      </c>
      <c r="L15" s="15">
        <f>SUM(H15:K15)</f>
        <v>19395453492.540409</v>
      </c>
      <c r="M15" s="38">
        <f>F15/E15</f>
        <v>1</v>
      </c>
      <c r="N15" s="38">
        <f>L15/F15</f>
        <v>1.05</v>
      </c>
    </row>
    <row r="16" spans="2:14" x14ac:dyDescent="0.2">
      <c r="C16" s="3" t="s">
        <v>10</v>
      </c>
      <c r="M16" s="38"/>
      <c r="N16" s="38"/>
    </row>
    <row r="17" spans="1:14" s="42" customFormat="1" x14ac:dyDescent="0.2">
      <c r="B17" s="41"/>
      <c r="C17" s="42" t="s">
        <v>22</v>
      </c>
      <c r="D17" s="43">
        <v>550897875</v>
      </c>
      <c r="E17" s="43">
        <v>28994625</v>
      </c>
      <c r="F17" s="43">
        <v>28994625</v>
      </c>
      <c r="G17" s="44">
        <f>(D17+E17)*22%</f>
        <v>127576350</v>
      </c>
      <c r="H17" s="44">
        <v>0</v>
      </c>
      <c r="I17" s="44">
        <v>0</v>
      </c>
      <c r="J17" s="44">
        <v>0</v>
      </c>
      <c r="K17" s="44">
        <f>G17</f>
        <v>127576350</v>
      </c>
      <c r="L17" s="44">
        <f>SUM(H17:K17)</f>
        <v>127576350</v>
      </c>
      <c r="M17" s="46">
        <f>F17/E17</f>
        <v>1</v>
      </c>
      <c r="N17" s="46">
        <f>L17/F17</f>
        <v>4.4000000000000004</v>
      </c>
    </row>
    <row r="18" spans="1:14" x14ac:dyDescent="0.2">
      <c r="D18" s="8"/>
      <c r="E18" s="8"/>
      <c r="F18" s="8"/>
      <c r="G18" s="15"/>
      <c r="H18" s="15"/>
      <c r="I18" s="15"/>
      <c r="J18" s="15"/>
      <c r="K18" s="15"/>
      <c r="L18" s="15"/>
      <c r="M18" s="38"/>
      <c r="N18" s="38"/>
    </row>
    <row r="19" spans="1:14" x14ac:dyDescent="0.2">
      <c r="B19" s="5">
        <v>5115</v>
      </c>
      <c r="C19" s="12" t="s">
        <v>36</v>
      </c>
      <c r="M19" s="38"/>
      <c r="N19" s="38"/>
    </row>
    <row r="20" spans="1:14" x14ac:dyDescent="0.2">
      <c r="B20" s="13" t="s">
        <v>37</v>
      </c>
      <c r="C20" s="3" t="s">
        <v>38</v>
      </c>
      <c r="M20" s="38"/>
      <c r="N20" s="38"/>
    </row>
    <row r="21" spans="1:14" x14ac:dyDescent="0.2">
      <c r="C21" s="3" t="s">
        <v>39</v>
      </c>
      <c r="D21" s="8">
        <v>0</v>
      </c>
      <c r="E21" s="8">
        <f>369460362+421296105</f>
        <v>790756467</v>
      </c>
      <c r="F21" s="8">
        <v>420607266</v>
      </c>
      <c r="G21" s="8">
        <f>505555326+443352434</f>
        <v>948907760</v>
      </c>
      <c r="H21" s="15">
        <f>G21*25%</f>
        <v>237226940</v>
      </c>
      <c r="I21" s="15">
        <f>G21*25%</f>
        <v>237226940</v>
      </c>
      <c r="J21" s="15">
        <f>G21*25%</f>
        <v>237226940</v>
      </c>
      <c r="K21" s="15">
        <f>G21*25%</f>
        <v>237226940</v>
      </c>
      <c r="L21" s="15">
        <f>SUM(H21:K21)</f>
        <v>948907760</v>
      </c>
      <c r="M21" s="38">
        <f>F21/E21</f>
        <v>0.53190493350717039</v>
      </c>
      <c r="N21" s="38">
        <f>L21/F21</f>
        <v>2.2560422434547291</v>
      </c>
    </row>
    <row r="22" spans="1:14" x14ac:dyDescent="0.2">
      <c r="D22" s="3"/>
      <c r="M22" s="38"/>
      <c r="N22" s="38"/>
    </row>
    <row r="23" spans="1:14" x14ac:dyDescent="0.2">
      <c r="B23" s="47" t="s">
        <v>40</v>
      </c>
      <c r="C23" s="17" t="s">
        <v>41</v>
      </c>
      <c r="D23" s="35">
        <f>9862407558.40028/12*10</f>
        <v>8218672965.3335667</v>
      </c>
      <c r="E23" s="35">
        <v>9862407558.40028</v>
      </c>
      <c r="F23" s="35">
        <f>'Estimasi Realisasi 2021'!H23</f>
        <v>7389426153.0790558</v>
      </c>
      <c r="G23" s="35">
        <f>SUM(G24:G33)</f>
        <v>8128368768.3869648</v>
      </c>
      <c r="H23" s="35">
        <f>SUM(H24:H33)</f>
        <v>2032092192.0967412</v>
      </c>
      <c r="I23" s="35">
        <f t="shared" ref="I23:K23" si="0">SUM(I24:I33)</f>
        <v>2032092192.0967412</v>
      </c>
      <c r="J23" s="35">
        <f t="shared" si="0"/>
        <v>2032092192.0967412</v>
      </c>
      <c r="K23" s="35">
        <f t="shared" si="0"/>
        <v>2032092192.0967412</v>
      </c>
      <c r="L23" s="15">
        <f>SUM(H23:K23)</f>
        <v>8128368768.3869648</v>
      </c>
      <c r="M23" s="38">
        <f t="shared" ref="M23:M41" si="1">F23/E23</f>
        <v>0.74925175311632009</v>
      </c>
      <c r="N23" s="38">
        <f t="shared" ref="N23:N41" si="2">L23/F23</f>
        <v>1.1000000000000005</v>
      </c>
    </row>
    <row r="24" spans="1:14" x14ac:dyDescent="0.2">
      <c r="A24" s="31">
        <v>0.18992519393777124</v>
      </c>
      <c r="B24" s="2" t="s">
        <v>42</v>
      </c>
      <c r="C24" s="16" t="s">
        <v>43</v>
      </c>
      <c r="D24" s="32">
        <f>$D$23*A24</f>
        <v>1560933056.8520951</v>
      </c>
      <c r="E24" s="32">
        <f>$E$23*A24</f>
        <v>1873119668.2225142</v>
      </c>
      <c r="F24" s="15">
        <f>'Estimasi Realisasi 2021'!H24</f>
        <v>1403438195.2123785</v>
      </c>
      <c r="G24" s="15">
        <f>F24*110%</f>
        <v>1543782014.7336166</v>
      </c>
      <c r="H24" s="15">
        <f>G24/4</f>
        <v>385945503.68340415</v>
      </c>
      <c r="I24" s="15">
        <f>G24/4</f>
        <v>385945503.68340415</v>
      </c>
      <c r="J24" s="15">
        <f>G24/4</f>
        <v>385945503.68340415</v>
      </c>
      <c r="K24" s="15">
        <f>G24/4</f>
        <v>385945503.68340415</v>
      </c>
      <c r="L24" s="15">
        <f>SUM(H24:K24)</f>
        <v>1543782014.7336166</v>
      </c>
      <c r="M24" s="38">
        <f t="shared" si="1"/>
        <v>0.74925175311632009</v>
      </c>
      <c r="N24" s="38">
        <f t="shared" si="2"/>
        <v>1.1000000000000001</v>
      </c>
    </row>
    <row r="25" spans="1:14" x14ac:dyDescent="0.2">
      <c r="A25" s="21"/>
      <c r="B25" s="2" t="s">
        <v>44</v>
      </c>
      <c r="C25" s="16" t="s">
        <v>45</v>
      </c>
      <c r="D25" s="32">
        <f t="shared" ref="D25:D33" si="3">$D$23*A25</f>
        <v>0</v>
      </c>
      <c r="E25" s="32">
        <f t="shared" ref="E25:E33" si="4">$E$23*A25</f>
        <v>0</v>
      </c>
      <c r="F25" s="15">
        <f>'Estimasi Realisasi 2021'!H25</f>
        <v>0</v>
      </c>
      <c r="G25" s="15">
        <f t="shared" ref="G25:G32" si="5">F25*110%</f>
        <v>0</v>
      </c>
      <c r="H25" s="15">
        <f t="shared" ref="H25:H33" si="6">G25/4</f>
        <v>0</v>
      </c>
      <c r="I25" s="15">
        <f t="shared" ref="I25:I33" si="7">G25/4</f>
        <v>0</v>
      </c>
      <c r="J25" s="15">
        <f t="shared" ref="J25:J33" si="8">G25/4</f>
        <v>0</v>
      </c>
      <c r="K25" s="15">
        <f t="shared" ref="K25:K33" si="9">G25/4</f>
        <v>0</v>
      </c>
      <c r="L25" s="15">
        <f t="shared" ref="L25:L33" si="10">SUM(H25:K25)</f>
        <v>0</v>
      </c>
      <c r="M25" s="38"/>
      <c r="N25" s="38"/>
    </row>
    <row r="26" spans="1:14" x14ac:dyDescent="0.2">
      <c r="A26" s="31">
        <v>0.54527443761104066</v>
      </c>
      <c r="B26" s="2" t="s">
        <v>46</v>
      </c>
      <c r="C26" s="16" t="s">
        <v>47</v>
      </c>
      <c r="D26" s="32">
        <f t="shared" si="3"/>
        <v>4481432279.0813246</v>
      </c>
      <c r="E26" s="32">
        <f t="shared" si="4"/>
        <v>5377718734.8975897</v>
      </c>
      <c r="F26" s="15">
        <f>'Estimasi Realisasi 2021'!H26</f>
        <v>4029265189.8884978</v>
      </c>
      <c r="G26" s="15">
        <f t="shared" si="5"/>
        <v>4432191708.8773479</v>
      </c>
      <c r="H26" s="15">
        <f>G26/4</f>
        <v>1108047927.219337</v>
      </c>
      <c r="I26" s="15">
        <f t="shared" si="7"/>
        <v>1108047927.219337</v>
      </c>
      <c r="J26" s="15">
        <f t="shared" si="8"/>
        <v>1108047927.219337</v>
      </c>
      <c r="K26" s="15">
        <f t="shared" si="9"/>
        <v>1108047927.219337</v>
      </c>
      <c r="L26" s="15">
        <f t="shared" si="10"/>
        <v>4432191708.8773479</v>
      </c>
      <c r="M26" s="38">
        <f t="shared" si="1"/>
        <v>0.74925175311632009</v>
      </c>
      <c r="N26" s="38">
        <f t="shared" si="2"/>
        <v>1.1000000000000001</v>
      </c>
    </row>
    <row r="27" spans="1:14" x14ac:dyDescent="0.2">
      <c r="A27" s="31">
        <v>0.15176373885961264</v>
      </c>
      <c r="B27" s="2" t="s">
        <v>48</v>
      </c>
      <c r="C27" s="16" t="s">
        <v>49</v>
      </c>
      <c r="D27" s="32">
        <f t="shared" si="3"/>
        <v>1247296537.6834416</v>
      </c>
      <c r="E27" s="32">
        <f t="shared" si="4"/>
        <v>1496755845.22013</v>
      </c>
      <c r="F27" s="15">
        <f>'Estimasi Realisasi 2021'!H27</f>
        <v>1121446941.0182819</v>
      </c>
      <c r="G27" s="15">
        <f t="shared" si="5"/>
        <v>1233591635.1201103</v>
      </c>
      <c r="H27" s="15">
        <f t="shared" si="6"/>
        <v>308397908.78002757</v>
      </c>
      <c r="I27" s="15">
        <f t="shared" si="7"/>
        <v>308397908.78002757</v>
      </c>
      <c r="J27" s="15">
        <f t="shared" si="8"/>
        <v>308397908.78002757</v>
      </c>
      <c r="K27" s="15">
        <f t="shared" si="9"/>
        <v>308397908.78002757</v>
      </c>
      <c r="L27" s="15">
        <f t="shared" si="10"/>
        <v>1233591635.1201103</v>
      </c>
      <c r="M27" s="38">
        <f t="shared" si="1"/>
        <v>0.7492517531163202</v>
      </c>
      <c r="N27" s="38">
        <f t="shared" si="2"/>
        <v>1.1000000000000001</v>
      </c>
    </row>
    <row r="28" spans="1:14" x14ac:dyDescent="0.2">
      <c r="A28" s="31">
        <v>7.1959450408896869E-2</v>
      </c>
      <c r="B28" s="2" t="s">
        <v>50</v>
      </c>
      <c r="C28" s="16" t="s">
        <v>51</v>
      </c>
      <c r="D28" s="32">
        <f t="shared" si="3"/>
        <v>591411189.67586219</v>
      </c>
      <c r="E28" s="32">
        <f t="shared" si="4"/>
        <v>709693427.61103463</v>
      </c>
      <c r="F28" s="15">
        <f>'Estimasi Realisasi 2021'!H28</f>
        <v>531739044.81269789</v>
      </c>
      <c r="G28" s="15">
        <f t="shared" si="5"/>
        <v>584912949.29396772</v>
      </c>
      <c r="H28" s="15">
        <f t="shared" si="6"/>
        <v>146228237.32349193</v>
      </c>
      <c r="I28" s="15">
        <f t="shared" si="7"/>
        <v>146228237.32349193</v>
      </c>
      <c r="J28" s="15">
        <f t="shared" si="8"/>
        <v>146228237.32349193</v>
      </c>
      <c r="K28" s="15">
        <f t="shared" si="9"/>
        <v>146228237.32349193</v>
      </c>
      <c r="L28" s="15">
        <f t="shared" si="10"/>
        <v>584912949.29396772</v>
      </c>
      <c r="M28" s="38">
        <f t="shared" si="1"/>
        <v>0.74925175311632009</v>
      </c>
      <c r="N28" s="38">
        <f t="shared" si="2"/>
        <v>1.1000000000000001</v>
      </c>
    </row>
    <row r="29" spans="1:14" x14ac:dyDescent="0.2">
      <c r="A29" s="31">
        <v>1.7584498538360981E-2</v>
      </c>
      <c r="B29" s="2" t="s">
        <v>52</v>
      </c>
      <c r="C29" s="16" t="s">
        <v>53</v>
      </c>
      <c r="D29" s="32">
        <f t="shared" si="3"/>
        <v>144521242.74617502</v>
      </c>
      <c r="E29" s="32">
        <f t="shared" si="4"/>
        <v>173425491.29541001</v>
      </c>
      <c r="F29" s="15">
        <f>'Estimasi Realisasi 2021'!H29</f>
        <v>129939353.38814506</v>
      </c>
      <c r="G29" s="15">
        <f>F29*110%</f>
        <v>142933288.72695959</v>
      </c>
      <c r="H29" s="15">
        <f t="shared" si="6"/>
        <v>35733322.181739897</v>
      </c>
      <c r="I29" s="15">
        <f t="shared" si="7"/>
        <v>35733322.181739897</v>
      </c>
      <c r="J29" s="15">
        <f t="shared" si="8"/>
        <v>35733322.181739897</v>
      </c>
      <c r="K29" s="15">
        <f t="shared" si="9"/>
        <v>35733322.181739897</v>
      </c>
      <c r="L29" s="15">
        <f t="shared" si="10"/>
        <v>142933288.72695959</v>
      </c>
      <c r="M29" s="38">
        <f t="shared" si="1"/>
        <v>0.74925175311632009</v>
      </c>
      <c r="N29" s="38">
        <f t="shared" si="2"/>
        <v>1.1000000000000001</v>
      </c>
    </row>
    <row r="30" spans="1:14" x14ac:dyDescent="0.2">
      <c r="A30" s="21"/>
      <c r="B30" s="2" t="s">
        <v>54</v>
      </c>
      <c r="C30" s="16" t="s">
        <v>55</v>
      </c>
      <c r="D30" s="32">
        <f t="shared" si="3"/>
        <v>0</v>
      </c>
      <c r="E30" s="32">
        <f t="shared" si="4"/>
        <v>0</v>
      </c>
      <c r="F30" s="15">
        <f>'Estimasi Realisasi 2021'!H30</f>
        <v>0</v>
      </c>
      <c r="G30" s="15">
        <f t="shared" si="5"/>
        <v>0</v>
      </c>
      <c r="H30" s="15">
        <f t="shared" si="6"/>
        <v>0</v>
      </c>
      <c r="I30" s="15">
        <f t="shared" si="7"/>
        <v>0</v>
      </c>
      <c r="J30" s="15">
        <f t="shared" si="8"/>
        <v>0</v>
      </c>
      <c r="K30" s="15">
        <f t="shared" si="9"/>
        <v>0</v>
      </c>
      <c r="L30" s="15">
        <f t="shared" si="10"/>
        <v>0</v>
      </c>
      <c r="M30" s="38"/>
      <c r="N30" s="38"/>
    </row>
    <row r="31" spans="1:14" x14ac:dyDescent="0.2">
      <c r="A31" s="31">
        <v>5.7573374595007226E-3</v>
      </c>
      <c r="B31" s="2" t="s">
        <v>56</v>
      </c>
      <c r="C31" s="16" t="s">
        <v>57</v>
      </c>
      <c r="D31" s="32">
        <f t="shared" si="3"/>
        <v>47317673.730700828</v>
      </c>
      <c r="E31" s="32">
        <f t="shared" si="4"/>
        <v>56781208.476840995</v>
      </c>
      <c r="F31" s="15">
        <f>'Estimasi Realisasi 2021'!H31</f>
        <v>42543419.995336376</v>
      </c>
      <c r="G31" s="15">
        <f>F31*110%</f>
        <v>46797761.994870014</v>
      </c>
      <c r="H31" s="15">
        <f t="shared" si="6"/>
        <v>11699440.498717504</v>
      </c>
      <c r="I31" s="15">
        <f t="shared" si="7"/>
        <v>11699440.498717504</v>
      </c>
      <c r="J31" s="15">
        <f t="shared" si="8"/>
        <v>11699440.498717504</v>
      </c>
      <c r="K31" s="15">
        <f t="shared" si="9"/>
        <v>11699440.498717504</v>
      </c>
      <c r="L31" s="15">
        <f t="shared" si="10"/>
        <v>46797761.994870014</v>
      </c>
      <c r="M31" s="38">
        <f t="shared" si="1"/>
        <v>0.7492517531163202</v>
      </c>
      <c r="N31" s="38">
        <f t="shared" si="2"/>
        <v>1.1000000000000001</v>
      </c>
    </row>
    <row r="32" spans="1:14" x14ac:dyDescent="0.2">
      <c r="A32" s="21"/>
      <c r="B32" s="2" t="s">
        <v>58</v>
      </c>
      <c r="C32" s="16" t="s">
        <v>59</v>
      </c>
      <c r="D32" s="32">
        <f t="shared" si="3"/>
        <v>0</v>
      </c>
      <c r="E32" s="32">
        <f t="shared" si="4"/>
        <v>0</v>
      </c>
      <c r="F32" s="15">
        <f>'Estimasi Realisasi 2021'!H32</f>
        <v>0</v>
      </c>
      <c r="G32" s="15">
        <f t="shared" si="5"/>
        <v>0</v>
      </c>
      <c r="H32" s="15">
        <f t="shared" si="6"/>
        <v>0</v>
      </c>
      <c r="I32" s="15">
        <f t="shared" si="7"/>
        <v>0</v>
      </c>
      <c r="J32" s="15">
        <f t="shared" si="8"/>
        <v>0</v>
      </c>
      <c r="K32" s="15">
        <f t="shared" si="9"/>
        <v>0</v>
      </c>
      <c r="L32" s="15">
        <f t="shared" si="10"/>
        <v>0</v>
      </c>
      <c r="M32" s="38"/>
      <c r="N32" s="38"/>
    </row>
    <row r="33" spans="1:14" x14ac:dyDescent="0.2">
      <c r="A33" s="31">
        <v>1.7735343184817069E-2</v>
      </c>
      <c r="B33" s="2" t="s">
        <v>60</v>
      </c>
      <c r="C33" s="16" t="s">
        <v>61</v>
      </c>
      <c r="D33" s="32">
        <f t="shared" si="3"/>
        <v>145760985.56396896</v>
      </c>
      <c r="E33" s="32">
        <f t="shared" si="4"/>
        <v>174913182.67676276</v>
      </c>
      <c r="F33" s="15">
        <f>'Estimasi Realisasi 2021'!H33</f>
        <v>131054008.76371966</v>
      </c>
      <c r="G33" s="15">
        <f>F33*110%</f>
        <v>144159409.64009163</v>
      </c>
      <c r="H33" s="15">
        <f t="shared" si="6"/>
        <v>36039852.410022907</v>
      </c>
      <c r="I33" s="15">
        <f t="shared" si="7"/>
        <v>36039852.410022907</v>
      </c>
      <c r="J33" s="15">
        <f t="shared" si="8"/>
        <v>36039852.410022907</v>
      </c>
      <c r="K33" s="15">
        <f t="shared" si="9"/>
        <v>36039852.410022907</v>
      </c>
      <c r="L33" s="15">
        <f t="shared" si="10"/>
        <v>144159409.64009163</v>
      </c>
      <c r="M33" s="38">
        <f t="shared" si="1"/>
        <v>0.7492517531163202</v>
      </c>
      <c r="N33" s="38">
        <f t="shared" si="2"/>
        <v>1.1000000000000001</v>
      </c>
    </row>
    <row r="34" spans="1:14" x14ac:dyDescent="0.2">
      <c r="A34" s="31"/>
      <c r="B34" s="23"/>
      <c r="C34" s="21"/>
      <c r="E34" s="45"/>
      <c r="F34" s="15"/>
      <c r="M34" s="38"/>
      <c r="N34" s="38"/>
    </row>
    <row r="35" spans="1:14" x14ac:dyDescent="0.2">
      <c r="B35" s="48" t="s">
        <v>62</v>
      </c>
      <c r="C35" s="18" t="s">
        <v>63</v>
      </c>
      <c r="M35" s="38"/>
      <c r="N35" s="38"/>
    </row>
    <row r="36" spans="1:14" x14ac:dyDescent="0.2">
      <c r="B36" s="2" t="s">
        <v>64</v>
      </c>
      <c r="C36" s="1" t="s">
        <v>70</v>
      </c>
      <c r="M36" s="38"/>
      <c r="N36" s="38"/>
    </row>
    <row r="37" spans="1:14" x14ac:dyDescent="0.2">
      <c r="B37" s="2" t="s">
        <v>65</v>
      </c>
      <c r="C37" s="16" t="s">
        <v>71</v>
      </c>
      <c r="D37" s="7">
        <v>0</v>
      </c>
      <c r="E37" s="8">
        <v>0</v>
      </c>
      <c r="F37" s="8">
        <v>0</v>
      </c>
      <c r="G37" s="38">
        <v>180000000</v>
      </c>
      <c r="H37" s="38">
        <f>G37*50%</f>
        <v>90000000</v>
      </c>
      <c r="I37" s="38">
        <f>G37*50%</f>
        <v>90000000</v>
      </c>
      <c r="J37" s="38">
        <v>0</v>
      </c>
      <c r="K37" s="38">
        <v>0</v>
      </c>
      <c r="L37" s="15">
        <f>SUM(H37:K37)</f>
        <v>180000000</v>
      </c>
      <c r="M37" s="38"/>
      <c r="N37" s="38"/>
    </row>
    <row r="38" spans="1:14" x14ac:dyDescent="0.2">
      <c r="B38" s="23"/>
      <c r="C38" s="3" t="s">
        <v>72</v>
      </c>
      <c r="M38" s="38"/>
      <c r="N38" s="38"/>
    </row>
    <row r="39" spans="1:14" x14ac:dyDescent="0.2">
      <c r="B39" s="23"/>
      <c r="M39" s="38"/>
      <c r="N39" s="38"/>
    </row>
    <row r="40" spans="1:14" x14ac:dyDescent="0.2">
      <c r="B40" s="48" t="s">
        <v>66</v>
      </c>
      <c r="C40" s="25" t="s">
        <v>67</v>
      </c>
      <c r="M40" s="38"/>
      <c r="N40" s="38"/>
    </row>
    <row r="41" spans="1:14" x14ac:dyDescent="0.2">
      <c r="B41" s="2" t="s">
        <v>68</v>
      </c>
      <c r="C41" s="1" t="s">
        <v>69</v>
      </c>
      <c r="D41" s="7">
        <v>0</v>
      </c>
      <c r="E41" s="20">
        <v>25500000</v>
      </c>
      <c r="F41" s="20">
        <v>25500000</v>
      </c>
      <c r="G41" s="20">
        <v>25500000</v>
      </c>
      <c r="H41" s="20">
        <v>25500000</v>
      </c>
      <c r="I41" s="38">
        <v>0</v>
      </c>
      <c r="J41" s="38">
        <v>0</v>
      </c>
      <c r="K41" s="38">
        <v>0</v>
      </c>
      <c r="L41" s="15">
        <f>SUM(H41:K41)</f>
        <v>25500000</v>
      </c>
      <c r="M41" s="38">
        <f t="shared" si="1"/>
        <v>1</v>
      </c>
      <c r="N41" s="38">
        <f t="shared" si="2"/>
        <v>1</v>
      </c>
    </row>
    <row r="45" spans="1:14" hidden="1" x14ac:dyDescent="0.2">
      <c r="E45" s="3">
        <v>30000000</v>
      </c>
      <c r="F45" s="3">
        <v>3</v>
      </c>
      <c r="G45" s="3">
        <v>2</v>
      </c>
      <c r="H45" s="3">
        <f>G45*F45*E45</f>
        <v>180000000</v>
      </c>
      <c r="K45" s="3">
        <v>7119</v>
      </c>
      <c r="L45" s="3" t="e">
        <f>#REF!-K45</f>
        <v>#REF!</v>
      </c>
    </row>
    <row r="46" spans="1:14" hidden="1" x14ac:dyDescent="0.2">
      <c r="K46" s="3">
        <v>51</v>
      </c>
      <c r="L46" s="3">
        <v>332</v>
      </c>
    </row>
    <row r="47" spans="1:14" hidden="1" x14ac:dyDescent="0.2">
      <c r="K47" s="3">
        <v>884</v>
      </c>
      <c r="L47" s="3">
        <v>1284</v>
      </c>
    </row>
    <row r="48" spans="1:14" hidden="1" x14ac:dyDescent="0.2">
      <c r="K48" s="3">
        <f>SUM(K46:K47)</f>
        <v>935</v>
      </c>
      <c r="L48" s="3">
        <f>SUM(L46:L47)</f>
        <v>1616</v>
      </c>
      <c r="M48" s="3">
        <v>2</v>
      </c>
      <c r="N48" s="3">
        <f>M48*L48</f>
        <v>3232</v>
      </c>
    </row>
    <row r="49" spans="9:14" hidden="1" x14ac:dyDescent="0.2">
      <c r="I49" s="3">
        <v>2470</v>
      </c>
      <c r="K49" s="3">
        <f>K48*M48</f>
        <v>1870</v>
      </c>
      <c r="N49" s="3" t="e">
        <f>N48+#REF!</f>
        <v>#REF!</v>
      </c>
    </row>
    <row r="50" spans="9:14" hidden="1" x14ac:dyDescent="0.2">
      <c r="I50" s="3">
        <v>51</v>
      </c>
      <c r="K50" s="3">
        <v>2</v>
      </c>
      <c r="L50" s="3">
        <v>7</v>
      </c>
    </row>
    <row r="51" spans="9:14" hidden="1" x14ac:dyDescent="0.2">
      <c r="I51" s="3">
        <f>SUM(I49:I50)</f>
        <v>2521</v>
      </c>
      <c r="K51" s="3">
        <v>1299</v>
      </c>
      <c r="L51" s="3">
        <v>1806</v>
      </c>
    </row>
    <row r="52" spans="9:14" hidden="1" x14ac:dyDescent="0.2">
      <c r="I52" s="3">
        <f>I51+K49</f>
        <v>4391</v>
      </c>
      <c r="K52" s="3">
        <f>SUM(K50:K51)</f>
        <v>1301</v>
      </c>
      <c r="L52" s="3">
        <f>SUM(L50:L51)</f>
        <v>1813</v>
      </c>
      <c r="M52" s="3">
        <v>2</v>
      </c>
      <c r="N52" s="3">
        <f>M52*L52</f>
        <v>3626</v>
      </c>
    </row>
    <row r="53" spans="9:14" hidden="1" x14ac:dyDescent="0.2">
      <c r="I53" s="3">
        <v>414</v>
      </c>
      <c r="K53" s="3">
        <f>K52*M52</f>
        <v>2602</v>
      </c>
      <c r="N53" s="3" t="e">
        <f>N52+#REF!</f>
        <v>#REF!</v>
      </c>
    </row>
    <row r="54" spans="9:14" hidden="1" x14ac:dyDescent="0.2">
      <c r="I54" s="3">
        <v>1999</v>
      </c>
      <c r="L54" s="3" t="e">
        <f>N54-I57</f>
        <v>#REF!</v>
      </c>
      <c r="N54" s="3" t="e">
        <f>N49+N53</f>
        <v>#REF!</v>
      </c>
    </row>
    <row r="55" spans="9:14" hidden="1" x14ac:dyDescent="0.2">
      <c r="I55" s="3">
        <f>SUM(I53:I54)</f>
        <v>2413</v>
      </c>
    </row>
    <row r="56" spans="9:14" hidden="1" x14ac:dyDescent="0.2">
      <c r="I56" s="3">
        <f>I55+K53</f>
        <v>5015</v>
      </c>
    </row>
    <row r="57" spans="9:14" hidden="1" x14ac:dyDescent="0.2">
      <c r="I57" s="3">
        <f>I56+I52</f>
        <v>9406</v>
      </c>
    </row>
    <row r="58" spans="9:14" hidden="1" x14ac:dyDescent="0.2"/>
    <row r="59" spans="9:14" hidden="1" x14ac:dyDescent="0.2"/>
    <row r="60" spans="9:14" hidden="1" x14ac:dyDescent="0.2"/>
    <row r="61" spans="9:14" hidden="1" x14ac:dyDescent="0.2"/>
  </sheetData>
  <mergeCells count="9">
    <mergeCell ref="B2:N2"/>
    <mergeCell ref="F4:F5"/>
    <mergeCell ref="M4:N4"/>
    <mergeCell ref="G4:G5"/>
    <mergeCell ref="H4:L4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Estimasi Realisasi 2021</vt:lpstr>
      <vt:lpstr>Usulan RKAP 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hakim</dc:creator>
  <cp:lastModifiedBy>ADMIN</cp:lastModifiedBy>
  <dcterms:created xsi:type="dcterms:W3CDTF">2021-07-27T04:27:37Z</dcterms:created>
  <dcterms:modified xsi:type="dcterms:W3CDTF">2021-07-31T14:07:27Z</dcterms:modified>
</cp:coreProperties>
</file>