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martellov\Desktop\"/>
    </mc:Choice>
  </mc:AlternateContent>
  <xr:revisionPtr revIDLastSave="0" documentId="8_{9E895F69-F3BB-4125-BF3F-A276FB6CADF7}" xr6:coauthVersionLast="46" xr6:coauthVersionMax="46" xr10:uidLastSave="{00000000-0000-0000-0000-000000000000}"/>
  <bookViews>
    <workbookView xWindow="20370" yWindow="-2790" windowWidth="29040" windowHeight="15840" tabRatio="652" xr2:uid="{00000000-000D-0000-FFFF-FFFF00000000}"/>
  </bookViews>
  <sheets>
    <sheet name="SIMULAÇÃO CENÁRIOS" sheetId="33" r:id="rId1"/>
    <sheet name="SIMULADOR - UC1 682856 PRONTA" sheetId="32" r:id="rId2"/>
    <sheet name="SIMULADOR - UC2 112369 PRONTA" sheetId="31" r:id="rId3"/>
    <sheet name="SIMULADOR - UC3 1169414 PRONTA" sheetId="24" r:id="rId4"/>
    <sheet name="SIMULADOR - UC4 1377100 PRONTA" sheetId="28" r:id="rId5"/>
    <sheet name="SIMULADOR - UC5 1849938 PRONTA" sheetId="29" r:id="rId6"/>
    <sheet name="SIMULADOR - UC6 65139 PRONTA" sheetId="30" r:id="rId7"/>
    <sheet name="Tarifas" sheetId="23" r:id="rId8"/>
  </sheets>
  <externalReferences>
    <externalReference r:id="rId9"/>
    <externalReference r:id="rId10"/>
    <externalReference r:id="rId11"/>
  </externalReferences>
  <definedNames>
    <definedName name="_xlnm._FilterDatabase" localSheetId="1" hidden="1">'SIMULADOR - UC1 682856 PRONTA'!$O$6:$O$20</definedName>
    <definedName name="_xlnm._FilterDatabase" localSheetId="2" hidden="1">'SIMULADOR - UC2 112369 PRONTA'!$O$6:$O$20</definedName>
    <definedName name="_xlnm._FilterDatabase" localSheetId="3" hidden="1">'SIMULADOR - UC3 1169414 PRONTA'!$O$6:$O$20</definedName>
    <definedName name="_xlnm._FilterDatabase" localSheetId="4" hidden="1">'SIMULADOR - UC4 1377100 PRONTA'!$O$6:$O$20</definedName>
    <definedName name="_xlnm._FilterDatabase" localSheetId="5" hidden="1">'SIMULADOR - UC5 1849938 PRONTA'!$O$6:$O$20</definedName>
    <definedName name="_xlnm._FilterDatabase" localSheetId="6" hidden="1">'SIMULADOR - UC6 65139 PRONTA'!$O$6:$O$20</definedName>
    <definedName name="_xlnm.Print_Area" localSheetId="1">'SIMULADOR - UC1 682856 PRONTA'!$B$1:$AB$52</definedName>
    <definedName name="_xlnm.Print_Area" localSheetId="2">'SIMULADOR - UC2 112369 PRONTA'!$B$1:$AB$52</definedName>
    <definedName name="_xlnm.Print_Area" localSheetId="3">'SIMULADOR - UC3 1169414 PRONTA'!$B$1:$AB$52</definedName>
    <definedName name="_xlnm.Print_Area" localSheetId="4">'SIMULADOR - UC4 1377100 PRONTA'!$B$1:$AB$52</definedName>
    <definedName name="_xlnm.Print_Area" localSheetId="5">'SIMULADOR - UC5 1849938 PRONTA'!$B$1:$AB$52</definedName>
    <definedName name="_xlnm.Print_Area" localSheetId="6">'SIMULADOR - UC6 65139 PRONTA'!$B$1:$AB$52</definedName>
    <definedName name="area_restrita">[1]Paramet.!$A$3:$A$10</definedName>
    <definedName name="FD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FD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IODO">OFFSET('[2]RESUMO (2)'!$V$4,0,0,COUNTA('[2]RESUMO (2)'!$W$4:$W$17),1)</definedName>
    <definedName name="porcento" localSheetId="1">#REF!</definedName>
    <definedName name="porcento" localSheetId="2">#REF!</definedName>
    <definedName name="porcento" localSheetId="3">#REF!</definedName>
    <definedName name="porcento" localSheetId="4">#REF!</definedName>
    <definedName name="porcento" localSheetId="5">#REF!</definedName>
    <definedName name="porcento" localSheetId="6">#REF!</definedName>
    <definedName name="porcento">#REF!</definedName>
    <definedName name="RE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enha" localSheetId="1">#REF!</definedName>
    <definedName name="senha" localSheetId="2">#REF!</definedName>
    <definedName name="senha" localSheetId="3">#REF!</definedName>
    <definedName name="senha" localSheetId="4">#REF!</definedName>
    <definedName name="senha" localSheetId="5">#REF!</definedName>
    <definedName name="senha" localSheetId="6">#REF!</definedName>
    <definedName name="senha">#REF!</definedName>
    <definedName name="SIMULADORUC1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MULADORUC1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MULADORUC1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MULADORUC1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MULADORUC1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MULADORUC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nal" localSheetId="1">#REF!</definedName>
    <definedName name="sinal" localSheetId="2">#REF!</definedName>
    <definedName name="sinal" localSheetId="3">#REF!</definedName>
    <definedName name="sinal" localSheetId="4">#REF!</definedName>
    <definedName name="sinal" localSheetId="5">#REF!</definedName>
    <definedName name="sinal" localSheetId="6">#REF!</definedName>
    <definedName name="sinal">#REF!</definedName>
    <definedName name="status" localSheetId="1">#REF!</definedName>
    <definedName name="status" localSheetId="2">#REF!</definedName>
    <definedName name="status" localSheetId="3">#REF!</definedName>
    <definedName name="status" localSheetId="4">#REF!</definedName>
    <definedName name="status" localSheetId="5">#REF!</definedName>
    <definedName name="status" localSheetId="6">#REF!</definedName>
    <definedName name="status">#REF!</definedName>
    <definedName name="tarefa" localSheetId="1">#REF!</definedName>
    <definedName name="tarefa" localSheetId="2">#REF!</definedName>
    <definedName name="tarefa" localSheetId="3">#REF!</definedName>
    <definedName name="tarefa" localSheetId="4">#REF!</definedName>
    <definedName name="tarefa" localSheetId="5">#REF!</definedName>
    <definedName name="tarefa" localSheetId="6">#REF!</definedName>
    <definedName name="tarefa">#REF!</definedName>
    <definedName name="tarefa2" localSheetId="1">#REF!</definedName>
    <definedName name="tarefa2" localSheetId="2">#REF!</definedName>
    <definedName name="tarefa2" localSheetId="3">#REF!</definedName>
    <definedName name="tarefa2" localSheetId="4">#REF!</definedName>
    <definedName name="tarefa2" localSheetId="5">#REF!</definedName>
    <definedName name="tarefa2" localSheetId="6">#REF!</definedName>
    <definedName name="tarefa2">#REF!</definedName>
    <definedName name="UC4D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C4D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C4D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C4D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C4D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CE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CE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CE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CE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CF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CF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CF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VOLUME">OFFSET('[2]RESUMO (2)'!$W$4,0,0,COUNTA('[2]RESUMO (2)'!$W$4:$W$17),1)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25" roundtripDataSignature="AMtx7mh3NSfCRw6Oqrk3eqUxYWmdya00AQ=="/>
    </ext>
  </extLst>
</workbook>
</file>

<file path=xl/calcChain.xml><?xml version="1.0" encoding="utf-8"?>
<calcChain xmlns="http://schemas.openxmlformats.org/spreadsheetml/2006/main">
  <c r="AD18" i="28" l="1"/>
  <c r="AA173" i="24"/>
  <c r="Z173" i="24"/>
  <c r="Y173" i="24"/>
  <c r="X173" i="24"/>
  <c r="W173" i="24"/>
  <c r="V173" i="24"/>
  <c r="U173" i="24"/>
  <c r="T173" i="24"/>
  <c r="S173" i="24"/>
  <c r="R173" i="24"/>
  <c r="Q173" i="24"/>
  <c r="P173" i="24"/>
  <c r="O173" i="24"/>
  <c r="N173" i="24"/>
  <c r="M173" i="24"/>
  <c r="L173" i="24"/>
  <c r="K173" i="24"/>
  <c r="J173" i="24"/>
  <c r="I173" i="24"/>
  <c r="H173" i="24"/>
  <c r="G173" i="24"/>
  <c r="F173" i="24"/>
  <c r="E173" i="24"/>
  <c r="AA173" i="28"/>
  <c r="Z173" i="28"/>
  <c r="Y173" i="28"/>
  <c r="X173" i="28"/>
  <c r="W173" i="28"/>
  <c r="V173" i="28"/>
  <c r="U173" i="28"/>
  <c r="T173" i="28"/>
  <c r="S173" i="28"/>
  <c r="R173" i="28"/>
  <c r="Q173" i="28"/>
  <c r="P173" i="28"/>
  <c r="O173" i="28"/>
  <c r="N173" i="28"/>
  <c r="M173" i="28"/>
  <c r="L173" i="28"/>
  <c r="K173" i="28"/>
  <c r="J173" i="28"/>
  <c r="I173" i="28"/>
  <c r="H173" i="28"/>
  <c r="G173" i="28"/>
  <c r="F173" i="28"/>
  <c r="E173" i="28"/>
  <c r="AA173" i="29"/>
  <c r="Z173" i="29"/>
  <c r="Y173" i="29"/>
  <c r="X173" i="29"/>
  <c r="W173" i="29"/>
  <c r="V173" i="29"/>
  <c r="U173" i="29"/>
  <c r="T173" i="29"/>
  <c r="S173" i="29"/>
  <c r="R173" i="29"/>
  <c r="Q173" i="29"/>
  <c r="P173" i="29"/>
  <c r="O173" i="29"/>
  <c r="N173" i="29"/>
  <c r="M173" i="29"/>
  <c r="L173" i="29"/>
  <c r="K173" i="29"/>
  <c r="J173" i="29"/>
  <c r="I173" i="29"/>
  <c r="H173" i="29"/>
  <c r="G173" i="29"/>
  <c r="F173" i="29"/>
  <c r="E173" i="29"/>
  <c r="AA173" i="30"/>
  <c r="Z173" i="30"/>
  <c r="Y173" i="30"/>
  <c r="X173" i="30"/>
  <c r="W173" i="30"/>
  <c r="V173" i="30"/>
  <c r="U173" i="30"/>
  <c r="T173" i="30"/>
  <c r="S173" i="30"/>
  <c r="R173" i="30"/>
  <c r="Q173" i="30"/>
  <c r="P173" i="30"/>
  <c r="O173" i="30"/>
  <c r="N173" i="30"/>
  <c r="M173" i="30"/>
  <c r="L173" i="30"/>
  <c r="K173" i="30"/>
  <c r="J173" i="30"/>
  <c r="I173" i="30"/>
  <c r="H173" i="30"/>
  <c r="G173" i="30"/>
  <c r="F173" i="30"/>
  <c r="E173" i="30"/>
  <c r="AA173" i="32"/>
  <c r="Z173" i="32"/>
  <c r="Y173" i="32"/>
  <c r="X173" i="32"/>
  <c r="W173" i="32"/>
  <c r="V173" i="32"/>
  <c r="U173" i="32"/>
  <c r="T173" i="32"/>
  <c r="S173" i="32"/>
  <c r="R173" i="32"/>
  <c r="Q173" i="32"/>
  <c r="P173" i="32"/>
  <c r="O173" i="32"/>
  <c r="N173" i="32"/>
  <c r="M173" i="32"/>
  <c r="L173" i="32"/>
  <c r="K173" i="32"/>
  <c r="J173" i="32"/>
  <c r="I173" i="32"/>
  <c r="H173" i="32"/>
  <c r="G173" i="32"/>
  <c r="F173" i="32"/>
  <c r="E173" i="32"/>
  <c r="D173" i="24"/>
  <c r="D173" i="28"/>
  <c r="D173" i="29"/>
  <c r="D173" i="30"/>
  <c r="D173" i="32"/>
  <c r="AA177" i="24"/>
  <c r="Z177" i="24"/>
  <c r="Y177" i="24"/>
  <c r="X177" i="24"/>
  <c r="W177" i="24"/>
  <c r="V177" i="24"/>
  <c r="U177" i="24"/>
  <c r="T177" i="24"/>
  <c r="S177" i="24"/>
  <c r="R177" i="24"/>
  <c r="Q177" i="24"/>
  <c r="P177" i="24"/>
  <c r="O177" i="24"/>
  <c r="N177" i="24"/>
  <c r="M177" i="24"/>
  <c r="L177" i="24"/>
  <c r="K177" i="24"/>
  <c r="J177" i="24"/>
  <c r="I177" i="24"/>
  <c r="H177" i="24"/>
  <c r="G177" i="24"/>
  <c r="F177" i="24"/>
  <c r="E177" i="24"/>
  <c r="AA177" i="28"/>
  <c r="Z177" i="28"/>
  <c r="Y177" i="28"/>
  <c r="X177" i="28"/>
  <c r="W177" i="28"/>
  <c r="V177" i="28"/>
  <c r="U177" i="28"/>
  <c r="T177" i="28"/>
  <c r="S177" i="28"/>
  <c r="R177" i="28"/>
  <c r="Q177" i="28"/>
  <c r="P177" i="28"/>
  <c r="O177" i="28"/>
  <c r="N177" i="28"/>
  <c r="M177" i="28"/>
  <c r="L177" i="28"/>
  <c r="K177" i="28"/>
  <c r="J177" i="28"/>
  <c r="I177" i="28"/>
  <c r="H177" i="28"/>
  <c r="G177" i="28"/>
  <c r="F177" i="28"/>
  <c r="E177" i="28"/>
  <c r="AA177" i="29"/>
  <c r="Z177" i="29"/>
  <c r="Y177" i="29"/>
  <c r="X177" i="29"/>
  <c r="W177" i="29"/>
  <c r="V177" i="29"/>
  <c r="U177" i="29"/>
  <c r="T177" i="29"/>
  <c r="S177" i="29"/>
  <c r="R177" i="29"/>
  <c r="Q177" i="29"/>
  <c r="P177" i="29"/>
  <c r="O177" i="29"/>
  <c r="N177" i="29"/>
  <c r="M177" i="29"/>
  <c r="L177" i="29"/>
  <c r="K177" i="29"/>
  <c r="J177" i="29"/>
  <c r="I177" i="29"/>
  <c r="H177" i="29"/>
  <c r="G177" i="29"/>
  <c r="F177" i="29"/>
  <c r="E177" i="29"/>
  <c r="AA177" i="30"/>
  <c r="Z177" i="30"/>
  <c r="Y177" i="30"/>
  <c r="X177" i="30"/>
  <c r="W177" i="30"/>
  <c r="V177" i="30"/>
  <c r="U177" i="30"/>
  <c r="T177" i="30"/>
  <c r="S177" i="30"/>
  <c r="R177" i="30"/>
  <c r="Q177" i="30"/>
  <c r="P177" i="30"/>
  <c r="O177" i="30"/>
  <c r="N177" i="30"/>
  <c r="M177" i="30"/>
  <c r="L177" i="30"/>
  <c r="K177" i="30"/>
  <c r="J177" i="30"/>
  <c r="I177" i="30"/>
  <c r="H177" i="30"/>
  <c r="G177" i="30"/>
  <c r="F177" i="30"/>
  <c r="E177" i="30"/>
  <c r="AA177" i="32"/>
  <c r="Z177" i="32"/>
  <c r="Y177" i="32"/>
  <c r="X177" i="32"/>
  <c r="W177" i="32"/>
  <c r="V177" i="32"/>
  <c r="U177" i="32"/>
  <c r="T177" i="32"/>
  <c r="S177" i="32"/>
  <c r="R177" i="32"/>
  <c r="Q177" i="32"/>
  <c r="P177" i="32"/>
  <c r="O177" i="32"/>
  <c r="N177" i="32"/>
  <c r="M177" i="32"/>
  <c r="L177" i="32"/>
  <c r="K177" i="32"/>
  <c r="J177" i="32"/>
  <c r="I177" i="32"/>
  <c r="H177" i="32"/>
  <c r="G177" i="32"/>
  <c r="F177" i="32"/>
  <c r="E177" i="32"/>
  <c r="D177" i="24"/>
  <c r="D177" i="28"/>
  <c r="D177" i="29"/>
  <c r="D177" i="30"/>
  <c r="D177" i="32"/>
  <c r="AA105" i="24"/>
  <c r="Z105" i="24"/>
  <c r="Y105" i="24"/>
  <c r="X105" i="24"/>
  <c r="W105" i="24"/>
  <c r="V105" i="24"/>
  <c r="U105" i="24"/>
  <c r="T105" i="24"/>
  <c r="S105" i="24"/>
  <c r="R105" i="24"/>
  <c r="Q105" i="24"/>
  <c r="P105" i="24"/>
  <c r="O105" i="24"/>
  <c r="N105" i="24"/>
  <c r="M105" i="24"/>
  <c r="L105" i="24"/>
  <c r="K105" i="24"/>
  <c r="J105" i="24"/>
  <c r="I105" i="24"/>
  <c r="H105" i="24"/>
  <c r="G105" i="24"/>
  <c r="F105" i="24"/>
  <c r="E105" i="24"/>
  <c r="AA105" i="28"/>
  <c r="Z105" i="28"/>
  <c r="Y105" i="28"/>
  <c r="X105" i="28"/>
  <c r="W105" i="28"/>
  <c r="V105" i="28"/>
  <c r="U105" i="28"/>
  <c r="T105" i="28"/>
  <c r="S105" i="28"/>
  <c r="R105" i="28"/>
  <c r="Q105" i="28"/>
  <c r="P105" i="28"/>
  <c r="O105" i="28"/>
  <c r="N105" i="28"/>
  <c r="M105" i="28"/>
  <c r="L105" i="28"/>
  <c r="K105" i="28"/>
  <c r="J105" i="28"/>
  <c r="I105" i="28"/>
  <c r="H105" i="28"/>
  <c r="G105" i="28"/>
  <c r="F105" i="28"/>
  <c r="E105" i="28"/>
  <c r="AA105" i="29"/>
  <c r="Z105" i="29"/>
  <c r="Y105" i="29"/>
  <c r="X105" i="29"/>
  <c r="W105" i="29"/>
  <c r="V105" i="29"/>
  <c r="U105" i="29"/>
  <c r="T105" i="29"/>
  <c r="S105" i="29"/>
  <c r="R105" i="29"/>
  <c r="Q105" i="29"/>
  <c r="P105" i="29"/>
  <c r="O105" i="29"/>
  <c r="N105" i="29"/>
  <c r="M105" i="29"/>
  <c r="L105" i="29"/>
  <c r="K105" i="29"/>
  <c r="J105" i="29"/>
  <c r="I105" i="29"/>
  <c r="H105" i="29"/>
  <c r="G105" i="29"/>
  <c r="F105" i="29"/>
  <c r="E105" i="29"/>
  <c r="AA105" i="30"/>
  <c r="Z105" i="30"/>
  <c r="Y105" i="30"/>
  <c r="X105" i="30"/>
  <c r="W105" i="30"/>
  <c r="V105" i="30"/>
  <c r="U105" i="30"/>
  <c r="T105" i="30"/>
  <c r="S105" i="30"/>
  <c r="R105" i="30"/>
  <c r="Q105" i="30"/>
  <c r="P105" i="30"/>
  <c r="O105" i="30"/>
  <c r="N105" i="30"/>
  <c r="M105" i="30"/>
  <c r="L105" i="30"/>
  <c r="K105" i="30"/>
  <c r="J105" i="30"/>
  <c r="I105" i="30"/>
  <c r="H105" i="30"/>
  <c r="G105" i="30"/>
  <c r="F105" i="30"/>
  <c r="E105" i="30"/>
  <c r="AA105" i="32"/>
  <c r="Z105" i="32"/>
  <c r="Y105" i="32"/>
  <c r="X105" i="32"/>
  <c r="W105" i="32"/>
  <c r="V105" i="32"/>
  <c r="U105" i="32"/>
  <c r="T105" i="32"/>
  <c r="S105" i="32"/>
  <c r="R105" i="32"/>
  <c r="Q105" i="32"/>
  <c r="P105" i="32"/>
  <c r="O105" i="32"/>
  <c r="N105" i="32"/>
  <c r="M105" i="32"/>
  <c r="L105" i="32"/>
  <c r="K105" i="32"/>
  <c r="J105" i="32"/>
  <c r="I105" i="32"/>
  <c r="H105" i="32"/>
  <c r="G105" i="32"/>
  <c r="F105" i="32"/>
  <c r="E105" i="32"/>
  <c r="D105" i="24"/>
  <c r="D105" i="28"/>
  <c r="D105" i="29"/>
  <c r="D105" i="30"/>
  <c r="D105" i="32"/>
  <c r="AA109" i="24"/>
  <c r="Z109" i="24"/>
  <c r="Y109" i="24"/>
  <c r="X109" i="24"/>
  <c r="W109" i="24"/>
  <c r="V109" i="24"/>
  <c r="U109" i="24"/>
  <c r="T109" i="24"/>
  <c r="S109" i="24"/>
  <c r="R109" i="24"/>
  <c r="Q109" i="24"/>
  <c r="P109" i="24"/>
  <c r="O109" i="24"/>
  <c r="N109" i="24"/>
  <c r="M109" i="24"/>
  <c r="L109" i="24"/>
  <c r="K109" i="24"/>
  <c r="J109" i="24"/>
  <c r="I109" i="24"/>
  <c r="H109" i="24"/>
  <c r="G109" i="24"/>
  <c r="F109" i="24"/>
  <c r="E109" i="24"/>
  <c r="AA109" i="28"/>
  <c r="Z109" i="28"/>
  <c r="Y109" i="28"/>
  <c r="X109" i="28"/>
  <c r="W109" i="28"/>
  <c r="V109" i="28"/>
  <c r="U109" i="28"/>
  <c r="T109" i="28"/>
  <c r="S109" i="28"/>
  <c r="R109" i="28"/>
  <c r="Q109" i="28"/>
  <c r="P109" i="28"/>
  <c r="O109" i="28"/>
  <c r="N109" i="28"/>
  <c r="M109" i="28"/>
  <c r="L109" i="28"/>
  <c r="K109" i="28"/>
  <c r="J109" i="28"/>
  <c r="I109" i="28"/>
  <c r="H109" i="28"/>
  <c r="G109" i="28"/>
  <c r="F109" i="28"/>
  <c r="E109" i="28"/>
  <c r="AA109" i="29"/>
  <c r="Z109" i="29"/>
  <c r="Y109" i="29"/>
  <c r="X109" i="29"/>
  <c r="W109" i="29"/>
  <c r="V109" i="29"/>
  <c r="U109" i="29"/>
  <c r="T109" i="29"/>
  <c r="S109" i="29"/>
  <c r="R109" i="29"/>
  <c r="Q109" i="29"/>
  <c r="P109" i="29"/>
  <c r="O109" i="29"/>
  <c r="N109" i="29"/>
  <c r="M109" i="29"/>
  <c r="L109" i="29"/>
  <c r="K109" i="29"/>
  <c r="J109" i="29"/>
  <c r="I109" i="29"/>
  <c r="H109" i="29"/>
  <c r="G109" i="29"/>
  <c r="F109" i="29"/>
  <c r="E109" i="29"/>
  <c r="AA109" i="30"/>
  <c r="Z109" i="30"/>
  <c r="Y109" i="30"/>
  <c r="X109" i="30"/>
  <c r="W109" i="30"/>
  <c r="V109" i="30"/>
  <c r="U109" i="30"/>
  <c r="T109" i="30"/>
  <c r="S109" i="30"/>
  <c r="R109" i="30"/>
  <c r="Q109" i="30"/>
  <c r="P109" i="30"/>
  <c r="O109" i="30"/>
  <c r="N109" i="30"/>
  <c r="M109" i="30"/>
  <c r="L109" i="30"/>
  <c r="K109" i="30"/>
  <c r="J109" i="30"/>
  <c r="I109" i="30"/>
  <c r="H109" i="30"/>
  <c r="G109" i="30"/>
  <c r="F109" i="30"/>
  <c r="E109" i="30"/>
  <c r="AA109" i="32"/>
  <c r="Z109" i="32"/>
  <c r="Y109" i="32"/>
  <c r="X109" i="32"/>
  <c r="W109" i="32"/>
  <c r="V109" i="32"/>
  <c r="U109" i="32"/>
  <c r="T109" i="32"/>
  <c r="S109" i="32"/>
  <c r="R109" i="32"/>
  <c r="Q109" i="32"/>
  <c r="P109" i="32"/>
  <c r="O109" i="32"/>
  <c r="N109" i="32"/>
  <c r="M109" i="32"/>
  <c r="L109" i="32"/>
  <c r="K109" i="32"/>
  <c r="J109" i="32"/>
  <c r="I109" i="32"/>
  <c r="H109" i="32"/>
  <c r="G109" i="32"/>
  <c r="F109" i="32"/>
  <c r="E109" i="32"/>
  <c r="D109" i="24"/>
  <c r="D109" i="28"/>
  <c r="D109" i="29"/>
  <c r="D109" i="30"/>
  <c r="D109" i="32"/>
  <c r="AA37" i="24"/>
  <c r="Z37" i="24"/>
  <c r="Y37" i="24"/>
  <c r="X37" i="24"/>
  <c r="W37" i="24"/>
  <c r="V37" i="24"/>
  <c r="U37" i="24"/>
  <c r="T37" i="24"/>
  <c r="S37" i="24"/>
  <c r="R37" i="24"/>
  <c r="Q37" i="24"/>
  <c r="P37" i="24"/>
  <c r="O37" i="24"/>
  <c r="N37" i="24"/>
  <c r="M37" i="24"/>
  <c r="L37" i="24"/>
  <c r="K37" i="24"/>
  <c r="J37" i="24"/>
  <c r="I37" i="24"/>
  <c r="H37" i="24"/>
  <c r="G37" i="24"/>
  <c r="F37" i="24"/>
  <c r="E37" i="24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E37" i="28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AA37" i="32"/>
  <c r="Z37" i="32"/>
  <c r="Y37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K37" i="32"/>
  <c r="J37" i="32"/>
  <c r="I37" i="32"/>
  <c r="H37" i="32"/>
  <c r="G37" i="32"/>
  <c r="F37" i="32"/>
  <c r="E37" i="32"/>
  <c r="D37" i="24"/>
  <c r="D37" i="28"/>
  <c r="D37" i="29"/>
  <c r="D37" i="30"/>
  <c r="D37" i="32"/>
  <c r="AA41" i="24"/>
  <c r="Z41" i="24"/>
  <c r="Y41" i="24"/>
  <c r="X41" i="24"/>
  <c r="W41" i="24"/>
  <c r="V41" i="24"/>
  <c r="U41" i="24"/>
  <c r="T41" i="24"/>
  <c r="S41" i="24"/>
  <c r="R41" i="24"/>
  <c r="Q41" i="24"/>
  <c r="P41" i="24"/>
  <c r="O41" i="24"/>
  <c r="N41" i="24"/>
  <c r="M41" i="24"/>
  <c r="L41" i="24"/>
  <c r="K41" i="24"/>
  <c r="J41" i="24"/>
  <c r="I41" i="24"/>
  <c r="H41" i="24"/>
  <c r="G41" i="24"/>
  <c r="F41" i="24"/>
  <c r="E41" i="24"/>
  <c r="AA40" i="24"/>
  <c r="Z40" i="24"/>
  <c r="Y40" i="24"/>
  <c r="X40" i="24"/>
  <c r="W40" i="24"/>
  <c r="V40" i="24"/>
  <c r="U40" i="24"/>
  <c r="T40" i="24"/>
  <c r="S40" i="24"/>
  <c r="R40" i="24"/>
  <c r="Q40" i="24"/>
  <c r="P40" i="24"/>
  <c r="O40" i="24"/>
  <c r="N40" i="24"/>
  <c r="M40" i="24"/>
  <c r="L40" i="24"/>
  <c r="K40" i="24"/>
  <c r="J40" i="24"/>
  <c r="I40" i="24"/>
  <c r="H40" i="24"/>
  <c r="G40" i="24"/>
  <c r="F40" i="24"/>
  <c r="E40" i="24"/>
  <c r="AA39" i="24"/>
  <c r="Z39" i="24"/>
  <c r="Y39" i="24"/>
  <c r="X39" i="24"/>
  <c r="W39" i="24"/>
  <c r="V39" i="24"/>
  <c r="U39" i="24"/>
  <c r="T39" i="24"/>
  <c r="S39" i="24"/>
  <c r="R39" i="24"/>
  <c r="Q39" i="24"/>
  <c r="P39" i="24"/>
  <c r="O39" i="24"/>
  <c r="N39" i="24"/>
  <c r="M39" i="24"/>
  <c r="L39" i="24"/>
  <c r="K39" i="24"/>
  <c r="J39" i="24"/>
  <c r="I39" i="24"/>
  <c r="H39" i="24"/>
  <c r="G39" i="24"/>
  <c r="F39" i="24"/>
  <c r="E39" i="24"/>
  <c r="AA41" i="28"/>
  <c r="Z41" i="28"/>
  <c r="Y41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K41" i="28"/>
  <c r="J41" i="28"/>
  <c r="I41" i="28"/>
  <c r="H41" i="28"/>
  <c r="G41" i="28"/>
  <c r="F41" i="28"/>
  <c r="E41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J40" i="28"/>
  <c r="I40" i="28"/>
  <c r="H40" i="28"/>
  <c r="G40" i="28"/>
  <c r="F40" i="28"/>
  <c r="E40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J39" i="28"/>
  <c r="I39" i="28"/>
  <c r="H39" i="28"/>
  <c r="G39" i="28"/>
  <c r="F39" i="28"/>
  <c r="E39" i="28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AA41" i="32"/>
  <c r="Z41" i="32"/>
  <c r="Y41" i="32"/>
  <c r="X41" i="32"/>
  <c r="W41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I41" i="32"/>
  <c r="H41" i="32"/>
  <c r="G41" i="32"/>
  <c r="F41" i="32"/>
  <c r="E41" i="32"/>
  <c r="AA40" i="32"/>
  <c r="Z40" i="32"/>
  <c r="Y40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I40" i="32"/>
  <c r="H40" i="32"/>
  <c r="G40" i="32"/>
  <c r="F40" i="32"/>
  <c r="E40" i="32"/>
  <c r="AA39" i="32"/>
  <c r="Z39" i="32"/>
  <c r="Y39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41" i="24"/>
  <c r="D41" i="28"/>
  <c r="D41" i="29"/>
  <c r="D41" i="30"/>
  <c r="D41" i="32"/>
  <c r="D41" i="31"/>
  <c r="D197" i="31"/>
  <c r="D196" i="31"/>
  <c r="D195" i="31"/>
  <c r="D194" i="31"/>
  <c r="D193" i="31"/>
  <c r="AA174" i="31"/>
  <c r="Z174" i="31"/>
  <c r="Y174" i="31"/>
  <c r="X174" i="31"/>
  <c r="W174" i="31"/>
  <c r="V174" i="31"/>
  <c r="U174" i="31"/>
  <c r="T174" i="31"/>
  <c r="S174" i="31"/>
  <c r="R174" i="31"/>
  <c r="Q174" i="31"/>
  <c r="P174" i="31"/>
  <c r="O174" i="31"/>
  <c r="N174" i="31"/>
  <c r="M174" i="31"/>
  <c r="L174" i="31"/>
  <c r="K174" i="31"/>
  <c r="J174" i="31"/>
  <c r="I174" i="31"/>
  <c r="H174" i="31"/>
  <c r="G174" i="31"/>
  <c r="F174" i="31"/>
  <c r="E174" i="31"/>
  <c r="D174" i="31"/>
  <c r="AA178" i="31"/>
  <c r="Z178" i="31"/>
  <c r="Y178" i="31"/>
  <c r="X178" i="31"/>
  <c r="W178" i="31"/>
  <c r="V178" i="31"/>
  <c r="U178" i="31"/>
  <c r="T178" i="31"/>
  <c r="S178" i="31"/>
  <c r="R178" i="31"/>
  <c r="Q178" i="31"/>
  <c r="P178" i="31"/>
  <c r="O178" i="31"/>
  <c r="N178" i="31"/>
  <c r="M178" i="31"/>
  <c r="L178" i="31"/>
  <c r="K178" i="31"/>
  <c r="J178" i="31"/>
  <c r="I178" i="31"/>
  <c r="H178" i="31"/>
  <c r="G178" i="31"/>
  <c r="F178" i="31"/>
  <c r="E178" i="31"/>
  <c r="D178" i="31"/>
  <c r="D177" i="31"/>
  <c r="AA105" i="31"/>
  <c r="Z105" i="31"/>
  <c r="Y105" i="31"/>
  <c r="X105" i="31"/>
  <c r="W105" i="31"/>
  <c r="V105" i="31"/>
  <c r="U105" i="31"/>
  <c r="T105" i="31"/>
  <c r="S105" i="31"/>
  <c r="R105" i="31"/>
  <c r="Q105" i="31"/>
  <c r="P105" i="31"/>
  <c r="O105" i="31"/>
  <c r="N105" i="31"/>
  <c r="M105" i="31"/>
  <c r="L105" i="31"/>
  <c r="K105" i="31"/>
  <c r="J105" i="31"/>
  <c r="I105" i="31"/>
  <c r="H105" i="31"/>
  <c r="G105" i="31"/>
  <c r="F105" i="31"/>
  <c r="E105" i="31"/>
  <c r="H29" i="23"/>
  <c r="H28" i="23"/>
  <c r="J28" i="23"/>
  <c r="D105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D50" i="31"/>
  <c r="D49" i="31"/>
  <c r="E185" i="30"/>
  <c r="F185" i="30"/>
  <c r="G185" i="30"/>
  <c r="H185" i="30"/>
  <c r="I185" i="30"/>
  <c r="J185" i="30"/>
  <c r="K185" i="30"/>
  <c r="L185" i="30"/>
  <c r="M185" i="30"/>
  <c r="N185" i="30"/>
  <c r="O185" i="30"/>
  <c r="P185" i="30"/>
  <c r="Q185" i="30"/>
  <c r="R185" i="30"/>
  <c r="S185" i="30"/>
  <c r="T185" i="30"/>
  <c r="U185" i="30"/>
  <c r="V185" i="30"/>
  <c r="W185" i="30"/>
  <c r="X185" i="30"/>
  <c r="Y185" i="30"/>
  <c r="Z185" i="30"/>
  <c r="AA185" i="30"/>
  <c r="D185" i="30"/>
  <c r="E152" i="30"/>
  <c r="E176" i="30" s="1"/>
  <c r="F152" i="30"/>
  <c r="G152" i="30"/>
  <c r="H152" i="30"/>
  <c r="H176" i="30" s="1"/>
  <c r="I152" i="30"/>
  <c r="I176" i="30" s="1"/>
  <c r="J152" i="30"/>
  <c r="J176" i="30" s="1"/>
  <c r="K152" i="30"/>
  <c r="K176" i="30" s="1"/>
  <c r="L152" i="30"/>
  <c r="L176" i="30" s="1"/>
  <c r="M152" i="30"/>
  <c r="M168" i="30" s="1"/>
  <c r="N152" i="30"/>
  <c r="N176" i="30" s="1"/>
  <c r="O152" i="30"/>
  <c r="O168" i="30" s="1"/>
  <c r="P152" i="30"/>
  <c r="P176" i="30" s="1"/>
  <c r="Q152" i="30"/>
  <c r="Q176" i="30" s="1"/>
  <c r="R152" i="30"/>
  <c r="R176" i="30" s="1"/>
  <c r="S152" i="30"/>
  <c r="S176" i="30" s="1"/>
  <c r="T152" i="30"/>
  <c r="T176" i="30" s="1"/>
  <c r="U152" i="30"/>
  <c r="U176" i="30" s="1"/>
  <c r="V152" i="30"/>
  <c r="V176" i="30" s="1"/>
  <c r="W152" i="30"/>
  <c r="X152" i="30"/>
  <c r="X176" i="30" s="1"/>
  <c r="Y152" i="30"/>
  <c r="Y176" i="30" s="1"/>
  <c r="Z152" i="30"/>
  <c r="Z176" i="30" s="1"/>
  <c r="AA152" i="30"/>
  <c r="AA176" i="30" s="1"/>
  <c r="D152" i="30"/>
  <c r="D176" i="30" s="1"/>
  <c r="E117" i="30"/>
  <c r="F117" i="30"/>
  <c r="G117" i="30"/>
  <c r="H117" i="30"/>
  <c r="I117" i="30"/>
  <c r="J117" i="30"/>
  <c r="K117" i="30"/>
  <c r="L117" i="30"/>
  <c r="M117" i="30"/>
  <c r="N117" i="30"/>
  <c r="O117" i="30"/>
  <c r="P117" i="30"/>
  <c r="Q117" i="30"/>
  <c r="R117" i="30"/>
  <c r="S117" i="30"/>
  <c r="T117" i="30"/>
  <c r="U117" i="30"/>
  <c r="V117" i="30"/>
  <c r="W117" i="30"/>
  <c r="X117" i="30"/>
  <c r="Y117" i="30"/>
  <c r="Z117" i="30"/>
  <c r="AA117" i="30"/>
  <c r="D117" i="30"/>
  <c r="E84" i="30"/>
  <c r="E108" i="30" s="1"/>
  <c r="F84" i="30"/>
  <c r="F100" i="30" s="1"/>
  <c r="G84" i="30"/>
  <c r="H84" i="30"/>
  <c r="I84" i="30"/>
  <c r="I100" i="30" s="1"/>
  <c r="J84" i="30"/>
  <c r="J108" i="30" s="1"/>
  <c r="K84" i="30"/>
  <c r="K100" i="30" s="1"/>
  <c r="L84" i="30"/>
  <c r="L108" i="30" s="1"/>
  <c r="M84" i="30"/>
  <c r="M100" i="30" s="1"/>
  <c r="N84" i="30"/>
  <c r="N108" i="30" s="1"/>
  <c r="O84" i="30"/>
  <c r="P84" i="30"/>
  <c r="P108" i="30" s="1"/>
  <c r="Q84" i="30"/>
  <c r="Q108" i="30" s="1"/>
  <c r="R84" i="30"/>
  <c r="R100" i="30" s="1"/>
  <c r="S84" i="30"/>
  <c r="S108" i="30" s="1"/>
  <c r="T84" i="30"/>
  <c r="U84" i="30"/>
  <c r="U100" i="30" s="1"/>
  <c r="V84" i="30"/>
  <c r="V108" i="30" s="1"/>
  <c r="W84" i="30"/>
  <c r="W108" i="30" s="1"/>
  <c r="X84" i="30"/>
  <c r="Y84" i="30"/>
  <c r="Y100" i="30" s="1"/>
  <c r="Z84" i="30"/>
  <c r="AA84" i="30"/>
  <c r="AA108" i="30" s="1"/>
  <c r="D84" i="30"/>
  <c r="D100" i="30" s="1"/>
  <c r="E49" i="30"/>
  <c r="F49" i="30"/>
  <c r="G49" i="30"/>
  <c r="H49" i="30"/>
  <c r="I49" i="30"/>
  <c r="J49" i="30"/>
  <c r="K49" i="30"/>
  <c r="L49" i="30"/>
  <c r="M49" i="30"/>
  <c r="N49" i="30"/>
  <c r="O49" i="30"/>
  <c r="P49" i="30"/>
  <c r="Q49" i="30"/>
  <c r="R49" i="30"/>
  <c r="S49" i="30"/>
  <c r="T49" i="30"/>
  <c r="U49" i="30"/>
  <c r="V49" i="30"/>
  <c r="W49" i="30"/>
  <c r="X49" i="30"/>
  <c r="Y49" i="30"/>
  <c r="Z49" i="30"/>
  <c r="AA49" i="30"/>
  <c r="D49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D16" i="30"/>
  <c r="E185" i="29"/>
  <c r="F185" i="29"/>
  <c r="G185" i="29"/>
  <c r="H185" i="29"/>
  <c r="I185" i="29"/>
  <c r="J185" i="29"/>
  <c r="K185" i="29"/>
  <c r="L185" i="29"/>
  <c r="M185" i="29"/>
  <c r="N185" i="29"/>
  <c r="O185" i="29"/>
  <c r="P185" i="29"/>
  <c r="Q185" i="29"/>
  <c r="R185" i="29"/>
  <c r="S185" i="29"/>
  <c r="T185" i="29"/>
  <c r="U185" i="29"/>
  <c r="V185" i="29"/>
  <c r="W185" i="29"/>
  <c r="X185" i="29"/>
  <c r="Y185" i="29"/>
  <c r="Z185" i="29"/>
  <c r="AA185" i="29"/>
  <c r="D185" i="29"/>
  <c r="E152" i="29"/>
  <c r="F152" i="29"/>
  <c r="G152" i="29"/>
  <c r="G170" i="29" s="1"/>
  <c r="H152" i="29"/>
  <c r="I152" i="29"/>
  <c r="J152" i="29"/>
  <c r="K152" i="29"/>
  <c r="K170" i="29" s="1"/>
  <c r="L152" i="29"/>
  <c r="M152" i="29"/>
  <c r="N152" i="29"/>
  <c r="O152" i="29"/>
  <c r="O170" i="29" s="1"/>
  <c r="P152" i="29"/>
  <c r="Q152" i="29"/>
  <c r="R152" i="29"/>
  <c r="R170" i="29" s="1"/>
  <c r="S152" i="29"/>
  <c r="S170" i="29" s="1"/>
  <c r="T152" i="29"/>
  <c r="T176" i="29" s="1"/>
  <c r="U152" i="29"/>
  <c r="V152" i="29"/>
  <c r="W152" i="29"/>
  <c r="W176" i="29" s="1"/>
  <c r="X152" i="29"/>
  <c r="X176" i="29" s="1"/>
  <c r="Y152" i="29"/>
  <c r="Z152" i="29"/>
  <c r="Z168" i="29" s="1"/>
  <c r="AA152" i="29"/>
  <c r="D152" i="29"/>
  <c r="D176" i="29" s="1"/>
  <c r="E117" i="29"/>
  <c r="F117" i="29"/>
  <c r="G117" i="29"/>
  <c r="H117" i="29"/>
  <c r="I117" i="29"/>
  <c r="J117" i="29"/>
  <c r="K117" i="29"/>
  <c r="L117" i="29"/>
  <c r="M117" i="29"/>
  <c r="N117" i="29"/>
  <c r="O117" i="29"/>
  <c r="P117" i="29"/>
  <c r="Q117" i="29"/>
  <c r="R117" i="29"/>
  <c r="S117" i="29"/>
  <c r="T117" i="29"/>
  <c r="U117" i="29"/>
  <c r="V117" i="29"/>
  <c r="W117" i="29"/>
  <c r="X117" i="29"/>
  <c r="Y117" i="29"/>
  <c r="Z117" i="29"/>
  <c r="AA117" i="29"/>
  <c r="D117" i="29"/>
  <c r="E84" i="29"/>
  <c r="F84" i="29"/>
  <c r="F102" i="29" s="1"/>
  <c r="G84" i="29"/>
  <c r="G108" i="29" s="1"/>
  <c r="H84" i="29"/>
  <c r="H102" i="29" s="1"/>
  <c r="I84" i="29"/>
  <c r="J84" i="29"/>
  <c r="J102" i="29" s="1"/>
  <c r="K84" i="29"/>
  <c r="K108" i="29" s="1"/>
  <c r="L84" i="29"/>
  <c r="L102" i="29" s="1"/>
  <c r="M84" i="29"/>
  <c r="N84" i="29"/>
  <c r="N102" i="29" s="1"/>
  <c r="O84" i="29"/>
  <c r="P84" i="29"/>
  <c r="P100" i="29" s="1"/>
  <c r="Q84" i="29"/>
  <c r="R84" i="29"/>
  <c r="S84" i="29"/>
  <c r="S108" i="29" s="1"/>
  <c r="T84" i="29"/>
  <c r="T100" i="29" s="1"/>
  <c r="U84" i="29"/>
  <c r="V84" i="29"/>
  <c r="W84" i="29"/>
  <c r="X84" i="29"/>
  <c r="X100" i="29" s="1"/>
  <c r="Y84" i="29"/>
  <c r="Z84" i="29"/>
  <c r="AA84" i="29"/>
  <c r="AA102" i="29" s="1"/>
  <c r="D84" i="29"/>
  <c r="D108" i="29" s="1"/>
  <c r="E49" i="29"/>
  <c r="F49" i="29"/>
  <c r="G49" i="29"/>
  <c r="H49" i="29"/>
  <c r="I49" i="29"/>
  <c r="J49" i="29"/>
  <c r="K49" i="29"/>
  <c r="L49" i="29"/>
  <c r="M49" i="29"/>
  <c r="N49" i="29"/>
  <c r="O49" i="29"/>
  <c r="P49" i="29"/>
  <c r="Q49" i="29"/>
  <c r="R49" i="29"/>
  <c r="S49" i="29"/>
  <c r="T49" i="29"/>
  <c r="U49" i="29"/>
  <c r="V49" i="29"/>
  <c r="W49" i="29"/>
  <c r="X49" i="29"/>
  <c r="Y49" i="29"/>
  <c r="Z49" i="29"/>
  <c r="AA49" i="29"/>
  <c r="D49" i="29"/>
  <c r="E16" i="29"/>
  <c r="F16" i="29"/>
  <c r="G16" i="29"/>
  <c r="H16" i="29"/>
  <c r="I16" i="29"/>
  <c r="J16" i="29"/>
  <c r="K16" i="29"/>
  <c r="L16" i="29"/>
  <c r="M16" i="29"/>
  <c r="N16" i="29"/>
  <c r="O16" i="29"/>
  <c r="P16" i="29"/>
  <c r="Q16" i="29"/>
  <c r="R16" i="29"/>
  <c r="S16" i="29"/>
  <c r="T16" i="29"/>
  <c r="U16" i="29"/>
  <c r="V16" i="29"/>
  <c r="W16" i="29"/>
  <c r="X16" i="29"/>
  <c r="Y16" i="29"/>
  <c r="Z16" i="29"/>
  <c r="AA16" i="29"/>
  <c r="D16" i="29"/>
  <c r="E185" i="28"/>
  <c r="F185" i="28"/>
  <c r="G185" i="28"/>
  <c r="H185" i="28"/>
  <c r="I185" i="28"/>
  <c r="J185" i="28"/>
  <c r="K185" i="28"/>
  <c r="L185" i="28"/>
  <c r="M185" i="28"/>
  <c r="N185" i="28"/>
  <c r="O185" i="28"/>
  <c r="P185" i="28"/>
  <c r="Q185" i="28"/>
  <c r="R185" i="28"/>
  <c r="S185" i="28"/>
  <c r="T185" i="28"/>
  <c r="U185" i="28"/>
  <c r="V185" i="28"/>
  <c r="W185" i="28"/>
  <c r="X185" i="28"/>
  <c r="Y185" i="28"/>
  <c r="Z185" i="28"/>
  <c r="AA185" i="28"/>
  <c r="D185" i="28"/>
  <c r="E152" i="28"/>
  <c r="F152" i="28"/>
  <c r="F170" i="28" s="1"/>
  <c r="G152" i="28"/>
  <c r="G170" i="28" s="1"/>
  <c r="H152" i="28"/>
  <c r="I152" i="28"/>
  <c r="J152" i="28"/>
  <c r="J170" i="28" s="1"/>
  <c r="K152" i="28"/>
  <c r="K168" i="28" s="1"/>
  <c r="L152" i="28"/>
  <c r="M152" i="28"/>
  <c r="N152" i="28"/>
  <c r="N170" i="28" s="1"/>
  <c r="O152" i="28"/>
  <c r="O170" i="28" s="1"/>
  <c r="P152" i="28"/>
  <c r="Q152" i="28"/>
  <c r="R152" i="28"/>
  <c r="R170" i="28" s="1"/>
  <c r="S152" i="28"/>
  <c r="S168" i="28" s="1"/>
  <c r="T152" i="28"/>
  <c r="U152" i="28"/>
  <c r="V152" i="28"/>
  <c r="V170" i="28" s="1"/>
  <c r="W152" i="28"/>
  <c r="W170" i="28" s="1"/>
  <c r="X152" i="28"/>
  <c r="Y152" i="28"/>
  <c r="Z152" i="28"/>
  <c r="Z170" i="28" s="1"/>
  <c r="AA152" i="28"/>
  <c r="AA168" i="28" s="1"/>
  <c r="D152" i="28"/>
  <c r="E117" i="28"/>
  <c r="F117" i="28"/>
  <c r="G117" i="28"/>
  <c r="H117" i="28"/>
  <c r="I117" i="28"/>
  <c r="J117" i="28"/>
  <c r="K117" i="28"/>
  <c r="L117" i="28"/>
  <c r="M117" i="28"/>
  <c r="N117" i="28"/>
  <c r="O117" i="28"/>
  <c r="P117" i="28"/>
  <c r="Q117" i="28"/>
  <c r="R117" i="28"/>
  <c r="S117" i="28"/>
  <c r="T117" i="28"/>
  <c r="U117" i="28"/>
  <c r="V117" i="28"/>
  <c r="W117" i="28"/>
  <c r="X117" i="28"/>
  <c r="Y117" i="28"/>
  <c r="Z117" i="28"/>
  <c r="AA117" i="28"/>
  <c r="D117" i="28"/>
  <c r="E84" i="28"/>
  <c r="F84" i="28"/>
  <c r="F108" i="28" s="1"/>
  <c r="G84" i="28"/>
  <c r="H84" i="28"/>
  <c r="H108" i="28" s="1"/>
  <c r="I84" i="28"/>
  <c r="J84" i="28"/>
  <c r="K84" i="28"/>
  <c r="L84" i="28"/>
  <c r="L108" i="28" s="1"/>
  <c r="M84" i="28"/>
  <c r="N84" i="28"/>
  <c r="N108" i="28" s="1"/>
  <c r="O84" i="28"/>
  <c r="P84" i="28"/>
  <c r="Q84" i="28"/>
  <c r="R84" i="28"/>
  <c r="S84" i="28"/>
  <c r="T84" i="28"/>
  <c r="U84" i="28"/>
  <c r="V84" i="28"/>
  <c r="W84" i="28"/>
  <c r="X84" i="28"/>
  <c r="X108" i="28" s="1"/>
  <c r="Y84" i="28"/>
  <c r="Z84" i="28"/>
  <c r="Z100" i="28" s="1"/>
  <c r="AA84" i="28"/>
  <c r="D84" i="28"/>
  <c r="E49" i="28"/>
  <c r="F49" i="28"/>
  <c r="G49" i="28"/>
  <c r="H49" i="28"/>
  <c r="I49" i="28"/>
  <c r="J49" i="28"/>
  <c r="K49" i="28"/>
  <c r="L49" i="28"/>
  <c r="M49" i="28"/>
  <c r="N49" i="28"/>
  <c r="O49" i="28"/>
  <c r="P49" i="28"/>
  <c r="Q49" i="28"/>
  <c r="R49" i="28"/>
  <c r="S49" i="28"/>
  <c r="T49" i="28"/>
  <c r="U49" i="28"/>
  <c r="V49" i="28"/>
  <c r="W49" i="28"/>
  <c r="X49" i="28"/>
  <c r="Y49" i="28"/>
  <c r="Z49" i="28"/>
  <c r="AA49" i="28"/>
  <c r="D49" i="28"/>
  <c r="E16" i="28"/>
  <c r="F16" i="28"/>
  <c r="G16" i="28"/>
  <c r="H16" i="28"/>
  <c r="I16" i="28"/>
  <c r="J16" i="28"/>
  <c r="K16" i="28"/>
  <c r="L16" i="28"/>
  <c r="M16" i="28"/>
  <c r="N16" i="28"/>
  <c r="O16" i="28"/>
  <c r="P16" i="28"/>
  <c r="Q16" i="28"/>
  <c r="R16" i="28"/>
  <c r="S16" i="28"/>
  <c r="T16" i="28"/>
  <c r="U16" i="28"/>
  <c r="V16" i="28"/>
  <c r="W16" i="28"/>
  <c r="X16" i="28"/>
  <c r="Y16" i="28"/>
  <c r="Z16" i="28"/>
  <c r="AA16" i="28"/>
  <c r="D16" i="28"/>
  <c r="E185" i="24"/>
  <c r="F185" i="24"/>
  <c r="G185" i="24"/>
  <c r="H185" i="24"/>
  <c r="I185" i="24"/>
  <c r="J185" i="24"/>
  <c r="K185" i="24"/>
  <c r="L185" i="24"/>
  <c r="M185" i="24"/>
  <c r="N185" i="24"/>
  <c r="O185" i="24"/>
  <c r="P185" i="24"/>
  <c r="Q185" i="24"/>
  <c r="R185" i="24"/>
  <c r="S185" i="24"/>
  <c r="T185" i="24"/>
  <c r="U185" i="24"/>
  <c r="V185" i="24"/>
  <c r="W185" i="24"/>
  <c r="X185" i="24"/>
  <c r="Y185" i="24"/>
  <c r="Z185" i="24"/>
  <c r="AA185" i="24"/>
  <c r="D185" i="24"/>
  <c r="E152" i="24"/>
  <c r="F152" i="24"/>
  <c r="G152" i="24"/>
  <c r="H152" i="24"/>
  <c r="I152" i="24"/>
  <c r="J152" i="24"/>
  <c r="K152" i="24"/>
  <c r="L152" i="24"/>
  <c r="M152" i="24"/>
  <c r="N152" i="24"/>
  <c r="O152" i="24"/>
  <c r="P152" i="24"/>
  <c r="Q152" i="24"/>
  <c r="R152" i="24"/>
  <c r="S152" i="24"/>
  <c r="T152" i="24"/>
  <c r="U152" i="24"/>
  <c r="V152" i="24"/>
  <c r="W152" i="24"/>
  <c r="X152" i="24"/>
  <c r="Y152" i="24"/>
  <c r="Z152" i="24"/>
  <c r="AA152" i="24"/>
  <c r="D152" i="24"/>
  <c r="E117" i="24"/>
  <c r="F117" i="24"/>
  <c r="G117" i="24"/>
  <c r="H117" i="24"/>
  <c r="I117" i="24"/>
  <c r="J117" i="24"/>
  <c r="K117" i="24"/>
  <c r="L117" i="24"/>
  <c r="M117" i="24"/>
  <c r="N117" i="24"/>
  <c r="O117" i="24"/>
  <c r="P117" i="24"/>
  <c r="Q117" i="24"/>
  <c r="R117" i="24"/>
  <c r="S117" i="24"/>
  <c r="T117" i="24"/>
  <c r="U117" i="24"/>
  <c r="V117" i="24"/>
  <c r="W117" i="24"/>
  <c r="X117" i="24"/>
  <c r="Y117" i="24"/>
  <c r="Z117" i="24"/>
  <c r="AA117" i="24"/>
  <c r="D117" i="24"/>
  <c r="E84" i="24"/>
  <c r="F84" i="24"/>
  <c r="G84" i="24"/>
  <c r="H84" i="24"/>
  <c r="I84" i="24"/>
  <c r="J84" i="24"/>
  <c r="K84" i="24"/>
  <c r="L84" i="24"/>
  <c r="M84" i="24"/>
  <c r="N84" i="24"/>
  <c r="O84" i="24"/>
  <c r="P84" i="24"/>
  <c r="Q84" i="24"/>
  <c r="R84" i="24"/>
  <c r="S84" i="24"/>
  <c r="T84" i="24"/>
  <c r="U84" i="24"/>
  <c r="V84" i="24"/>
  <c r="W84" i="24"/>
  <c r="X84" i="24"/>
  <c r="Y84" i="24"/>
  <c r="Z84" i="24"/>
  <c r="AA84" i="24"/>
  <c r="D84" i="24"/>
  <c r="D49" i="24"/>
  <c r="E49" i="24"/>
  <c r="F49" i="24"/>
  <c r="G49" i="24"/>
  <c r="H49" i="24"/>
  <c r="I49" i="24"/>
  <c r="J49" i="24"/>
  <c r="K49" i="24"/>
  <c r="L49" i="24"/>
  <c r="M49" i="24"/>
  <c r="N49" i="24"/>
  <c r="O49" i="24"/>
  <c r="P49" i="24"/>
  <c r="Q49" i="24"/>
  <c r="R49" i="24"/>
  <c r="S49" i="24"/>
  <c r="T49" i="24"/>
  <c r="U49" i="24"/>
  <c r="V49" i="24"/>
  <c r="W49" i="24"/>
  <c r="X49" i="24"/>
  <c r="Y49" i="24"/>
  <c r="Z49" i="24"/>
  <c r="AA49" i="24"/>
  <c r="E16" i="24"/>
  <c r="F16" i="24"/>
  <c r="G16" i="24"/>
  <c r="H16" i="24"/>
  <c r="I16" i="24"/>
  <c r="J16" i="24"/>
  <c r="K16" i="24"/>
  <c r="L16" i="24"/>
  <c r="M16" i="24"/>
  <c r="N16" i="24"/>
  <c r="O16" i="24"/>
  <c r="P16" i="24"/>
  <c r="Q16" i="24"/>
  <c r="R16" i="24"/>
  <c r="S16" i="24"/>
  <c r="T16" i="24"/>
  <c r="U16" i="24"/>
  <c r="V16" i="24"/>
  <c r="W16" i="24"/>
  <c r="X16" i="24"/>
  <c r="Y16" i="24"/>
  <c r="Z16" i="24"/>
  <c r="AA16" i="24"/>
  <c r="D16" i="24"/>
  <c r="E186" i="31"/>
  <c r="F186" i="31"/>
  <c r="G186" i="31"/>
  <c r="H186" i="31"/>
  <c r="I186" i="31"/>
  <c r="J186" i="31"/>
  <c r="K186" i="31"/>
  <c r="L186" i="31"/>
  <c r="M186" i="31"/>
  <c r="N186" i="31"/>
  <c r="O186" i="31"/>
  <c r="P186" i="31"/>
  <c r="Q186" i="31"/>
  <c r="R186" i="31"/>
  <c r="S186" i="31"/>
  <c r="T186" i="31"/>
  <c r="U186" i="31"/>
  <c r="V186" i="31"/>
  <c r="W186" i="31"/>
  <c r="X186" i="31"/>
  <c r="Y186" i="31"/>
  <c r="Z186" i="31"/>
  <c r="AA186" i="31"/>
  <c r="D186" i="31"/>
  <c r="E153" i="31"/>
  <c r="F153" i="31"/>
  <c r="G153" i="31"/>
  <c r="H153" i="31"/>
  <c r="I153" i="31"/>
  <c r="J153" i="31"/>
  <c r="K153" i="31"/>
  <c r="L153" i="31"/>
  <c r="M153" i="31"/>
  <c r="N153" i="31"/>
  <c r="O153" i="31"/>
  <c r="P153" i="31"/>
  <c r="Q153" i="31"/>
  <c r="R153" i="31"/>
  <c r="S153" i="31"/>
  <c r="T153" i="31"/>
  <c r="U153" i="31"/>
  <c r="V153" i="31"/>
  <c r="W153" i="31"/>
  <c r="X153" i="31"/>
  <c r="Y153" i="31"/>
  <c r="Z153" i="31"/>
  <c r="AA153" i="31"/>
  <c r="D153" i="31"/>
  <c r="E117" i="31"/>
  <c r="F117" i="31"/>
  <c r="G117" i="31"/>
  <c r="H117" i="31"/>
  <c r="I117" i="31"/>
  <c r="J117" i="31"/>
  <c r="K117" i="31"/>
  <c r="L117" i="31"/>
  <c r="M117" i="31"/>
  <c r="N117" i="31"/>
  <c r="O117" i="31"/>
  <c r="P117" i="31"/>
  <c r="Q117" i="31"/>
  <c r="R117" i="31"/>
  <c r="S117" i="31"/>
  <c r="T117" i="31"/>
  <c r="U117" i="31"/>
  <c r="V117" i="31"/>
  <c r="W117" i="31"/>
  <c r="X117" i="31"/>
  <c r="Y117" i="31"/>
  <c r="Z117" i="31"/>
  <c r="AA117" i="31"/>
  <c r="D117" i="31"/>
  <c r="E84" i="31"/>
  <c r="F84" i="31"/>
  <c r="G84" i="31"/>
  <c r="H84" i="31"/>
  <c r="I84" i="31"/>
  <c r="J84" i="31"/>
  <c r="K84" i="31"/>
  <c r="L84" i="31"/>
  <c r="M84" i="31"/>
  <c r="N84" i="31"/>
  <c r="O84" i="31"/>
  <c r="P84" i="31"/>
  <c r="Q84" i="31"/>
  <c r="R84" i="31"/>
  <c r="S84" i="31"/>
  <c r="T84" i="31"/>
  <c r="U84" i="31"/>
  <c r="V84" i="31"/>
  <c r="W84" i="31"/>
  <c r="X84" i="31"/>
  <c r="Y84" i="31"/>
  <c r="Z84" i="31"/>
  <c r="AA84" i="31"/>
  <c r="D84" i="31"/>
  <c r="E49" i="31"/>
  <c r="F49" i="31"/>
  <c r="G49" i="31"/>
  <c r="H49" i="31"/>
  <c r="I49" i="31"/>
  <c r="J49" i="31"/>
  <c r="K49" i="31"/>
  <c r="L49" i="31"/>
  <c r="M49" i="31"/>
  <c r="N49" i="31"/>
  <c r="O49" i="31"/>
  <c r="P49" i="31"/>
  <c r="Q49" i="31"/>
  <c r="R49" i="31"/>
  <c r="S49" i="31"/>
  <c r="T49" i="31"/>
  <c r="U49" i="31"/>
  <c r="V49" i="31"/>
  <c r="W49" i="31"/>
  <c r="X49" i="31"/>
  <c r="Y49" i="31"/>
  <c r="Z49" i="31"/>
  <c r="AA49" i="31"/>
  <c r="AA16" i="31"/>
  <c r="E16" i="31"/>
  <c r="F16" i="31"/>
  <c r="G16" i="31"/>
  <c r="H16" i="31"/>
  <c r="I16" i="31"/>
  <c r="J16" i="31"/>
  <c r="K16" i="31"/>
  <c r="L16" i="31"/>
  <c r="M16" i="31"/>
  <c r="N16" i="31"/>
  <c r="O16" i="31"/>
  <c r="P16" i="31"/>
  <c r="Q16" i="31"/>
  <c r="R16" i="31"/>
  <c r="S16" i="31"/>
  <c r="T16" i="31"/>
  <c r="U16" i="31"/>
  <c r="V16" i="31"/>
  <c r="W16" i="31"/>
  <c r="X16" i="31"/>
  <c r="Y16" i="31"/>
  <c r="Z16" i="31"/>
  <c r="D16" i="31"/>
  <c r="D185" i="32"/>
  <c r="F185" i="32"/>
  <c r="G185" i="32"/>
  <c r="H185" i="32"/>
  <c r="I185" i="32"/>
  <c r="J185" i="32"/>
  <c r="K185" i="32"/>
  <c r="L185" i="32"/>
  <c r="M185" i="32"/>
  <c r="N185" i="32"/>
  <c r="O185" i="32"/>
  <c r="P185" i="32"/>
  <c r="Q185" i="32"/>
  <c r="R185" i="32"/>
  <c r="S185" i="32"/>
  <c r="T185" i="32"/>
  <c r="U185" i="32"/>
  <c r="V185" i="32"/>
  <c r="W185" i="32"/>
  <c r="X185" i="32"/>
  <c r="Y185" i="32"/>
  <c r="Z185" i="32"/>
  <c r="AA185" i="32"/>
  <c r="E185" i="32"/>
  <c r="E152" i="32"/>
  <c r="F152" i="32"/>
  <c r="G152" i="32"/>
  <c r="H152" i="32"/>
  <c r="I152" i="32"/>
  <c r="J152" i="32"/>
  <c r="K152" i="32"/>
  <c r="L152" i="32"/>
  <c r="M152" i="32"/>
  <c r="N152" i="32"/>
  <c r="O152" i="32"/>
  <c r="P152" i="32"/>
  <c r="Q152" i="32"/>
  <c r="R152" i="32"/>
  <c r="S152" i="32"/>
  <c r="T152" i="32"/>
  <c r="U152" i="32"/>
  <c r="V152" i="32"/>
  <c r="W152" i="32"/>
  <c r="X152" i="32"/>
  <c r="Y152" i="32"/>
  <c r="Z152" i="32"/>
  <c r="AA152" i="32"/>
  <c r="D152" i="32"/>
  <c r="E117" i="32"/>
  <c r="F117" i="32"/>
  <c r="G117" i="32"/>
  <c r="H117" i="32"/>
  <c r="I117" i="32"/>
  <c r="J117" i="32"/>
  <c r="K117" i="32"/>
  <c r="L117" i="32"/>
  <c r="M117" i="32"/>
  <c r="N117" i="32"/>
  <c r="O117" i="32"/>
  <c r="P117" i="32"/>
  <c r="Q117" i="32"/>
  <c r="R117" i="32"/>
  <c r="S117" i="32"/>
  <c r="T117" i="32"/>
  <c r="U117" i="32"/>
  <c r="V117" i="32"/>
  <c r="W117" i="32"/>
  <c r="X117" i="32"/>
  <c r="Y117" i="32"/>
  <c r="Z117" i="32"/>
  <c r="AA117" i="32"/>
  <c r="D117" i="32"/>
  <c r="E84" i="32"/>
  <c r="F84" i="32"/>
  <c r="G84" i="32"/>
  <c r="H84" i="32"/>
  <c r="I84" i="32"/>
  <c r="J84" i="32"/>
  <c r="K84" i="32"/>
  <c r="L84" i="32"/>
  <c r="M84" i="32"/>
  <c r="N84" i="32"/>
  <c r="O84" i="32"/>
  <c r="P84" i="32"/>
  <c r="Q84" i="32"/>
  <c r="R84" i="32"/>
  <c r="S84" i="32"/>
  <c r="T84" i="32"/>
  <c r="U84" i="32"/>
  <c r="V84" i="32"/>
  <c r="W84" i="32"/>
  <c r="X84" i="32"/>
  <c r="Y84" i="32"/>
  <c r="Z84" i="32"/>
  <c r="AA84" i="32"/>
  <c r="D84" i="32"/>
  <c r="E49" i="32"/>
  <c r="F49" i="32"/>
  <c r="G49" i="32"/>
  <c r="H49" i="32"/>
  <c r="I49" i="32"/>
  <c r="J49" i="32"/>
  <c r="K49" i="32"/>
  <c r="L49" i="32"/>
  <c r="M49" i="32"/>
  <c r="N49" i="32"/>
  <c r="O49" i="32"/>
  <c r="P49" i="32"/>
  <c r="Q49" i="32"/>
  <c r="R49" i="32"/>
  <c r="S49" i="32"/>
  <c r="T49" i="32"/>
  <c r="U49" i="32"/>
  <c r="V49" i="32"/>
  <c r="W49" i="32"/>
  <c r="X49" i="32"/>
  <c r="Y49" i="32"/>
  <c r="Z49" i="32"/>
  <c r="AA49" i="32"/>
  <c r="D49" i="32"/>
  <c r="E16" i="32"/>
  <c r="F16" i="32"/>
  <c r="G16" i="32"/>
  <c r="H16" i="32"/>
  <c r="I16" i="32"/>
  <c r="J16" i="32"/>
  <c r="K16" i="32"/>
  <c r="L16" i="32"/>
  <c r="M16" i="32"/>
  <c r="N16" i="32"/>
  <c r="O16" i="32"/>
  <c r="P16" i="32"/>
  <c r="Q16" i="32"/>
  <c r="R16" i="32"/>
  <c r="S16" i="32"/>
  <c r="T16" i="32"/>
  <c r="U16" i="32"/>
  <c r="V16" i="32"/>
  <c r="W16" i="32"/>
  <c r="X16" i="32"/>
  <c r="Y16" i="32"/>
  <c r="Z16" i="32"/>
  <c r="AA16" i="32"/>
  <c r="D16" i="32"/>
  <c r="D20" i="33"/>
  <c r="Z196" i="30"/>
  <c r="Z195" i="30"/>
  <c r="G195" i="30"/>
  <c r="Z194" i="30"/>
  <c r="Z193" i="30"/>
  <c r="W193" i="30"/>
  <c r="G193" i="30"/>
  <c r="Z179" i="30"/>
  <c r="Z180" i="30" s="1"/>
  <c r="W176" i="30"/>
  <c r="G176" i="30"/>
  <c r="F176" i="30"/>
  <c r="AA175" i="30"/>
  <c r="Z175" i="30"/>
  <c r="Y175" i="30"/>
  <c r="X175" i="30"/>
  <c r="W175" i="30"/>
  <c r="V175" i="30"/>
  <c r="U175" i="30"/>
  <c r="T175" i="30"/>
  <c r="S175" i="30"/>
  <c r="R175" i="30"/>
  <c r="Q175" i="30"/>
  <c r="P175" i="30"/>
  <c r="O175" i="30"/>
  <c r="N175" i="30"/>
  <c r="M175" i="30"/>
  <c r="L175" i="30"/>
  <c r="K175" i="30"/>
  <c r="J175" i="30"/>
  <c r="I175" i="30"/>
  <c r="H175" i="30"/>
  <c r="G175" i="30"/>
  <c r="F175" i="30"/>
  <c r="E175" i="30"/>
  <c r="D175" i="30"/>
  <c r="Z171" i="30"/>
  <c r="Z170" i="30"/>
  <c r="W168" i="30"/>
  <c r="V168" i="30"/>
  <c r="U168" i="30"/>
  <c r="Q168" i="30"/>
  <c r="N168" i="30"/>
  <c r="G168" i="30"/>
  <c r="F168" i="30"/>
  <c r="AA166" i="30"/>
  <c r="Z166" i="30"/>
  <c r="Y166" i="30"/>
  <c r="X166" i="30"/>
  <c r="W166" i="30"/>
  <c r="V166" i="30"/>
  <c r="U166" i="30"/>
  <c r="T166" i="30"/>
  <c r="S166" i="30"/>
  <c r="R166" i="30"/>
  <c r="Q166" i="30"/>
  <c r="P166" i="30"/>
  <c r="O166" i="30"/>
  <c r="N166" i="30"/>
  <c r="M166" i="30"/>
  <c r="L166" i="30"/>
  <c r="K166" i="30"/>
  <c r="J166" i="30"/>
  <c r="I166" i="30"/>
  <c r="H166" i="30"/>
  <c r="G166" i="30"/>
  <c r="F166" i="30"/>
  <c r="E166" i="30"/>
  <c r="D166" i="30"/>
  <c r="AF151" i="30"/>
  <c r="AF154" i="30" s="1"/>
  <c r="AF155" i="30" s="1"/>
  <c r="AF156" i="30" s="1"/>
  <c r="AA149" i="30"/>
  <c r="AA171" i="30" s="1"/>
  <c r="Y149" i="30"/>
  <c r="X149" i="30"/>
  <c r="X171" i="30" s="1"/>
  <c r="W149" i="30"/>
  <c r="W194" i="30" s="1"/>
  <c r="V149" i="30"/>
  <c r="V171" i="30" s="1"/>
  <c r="U149" i="30"/>
  <c r="U171" i="30" s="1"/>
  <c r="T149" i="30"/>
  <c r="T171" i="30" s="1"/>
  <c r="S149" i="30"/>
  <c r="R149" i="30"/>
  <c r="R196" i="30" s="1"/>
  <c r="Q149" i="30"/>
  <c r="P149" i="30"/>
  <c r="P171" i="30" s="1"/>
  <c r="O149" i="30"/>
  <c r="O171" i="30" s="1"/>
  <c r="N149" i="30"/>
  <c r="N171" i="30" s="1"/>
  <c r="M149" i="30"/>
  <c r="M194" i="30" s="1"/>
  <c r="L149" i="30"/>
  <c r="L171" i="30" s="1"/>
  <c r="K149" i="30"/>
  <c r="J149" i="30"/>
  <c r="J171" i="30" s="1"/>
  <c r="I149" i="30"/>
  <c r="H149" i="30"/>
  <c r="H171" i="30" s="1"/>
  <c r="G149" i="30"/>
  <c r="G196" i="30" s="1"/>
  <c r="F149" i="30"/>
  <c r="F171" i="30" s="1"/>
  <c r="E149" i="30"/>
  <c r="E171" i="30" s="1"/>
  <c r="D149" i="30"/>
  <c r="D171" i="30" s="1"/>
  <c r="AA148" i="30"/>
  <c r="Y148" i="30"/>
  <c r="X148" i="30"/>
  <c r="W148" i="30"/>
  <c r="V148" i="30"/>
  <c r="U148" i="30"/>
  <c r="U195" i="30" s="1"/>
  <c r="T148" i="30"/>
  <c r="S148" i="30"/>
  <c r="R148" i="30"/>
  <c r="R195" i="30" s="1"/>
  <c r="Q148" i="30"/>
  <c r="P148" i="30"/>
  <c r="O148" i="30"/>
  <c r="O195" i="30" s="1"/>
  <c r="N148" i="30"/>
  <c r="M148" i="30"/>
  <c r="L148" i="30"/>
  <c r="K148" i="30"/>
  <c r="J148" i="30"/>
  <c r="I148" i="30"/>
  <c r="H148" i="30"/>
  <c r="F148" i="30"/>
  <c r="F170" i="30" s="1"/>
  <c r="E148" i="30"/>
  <c r="E193" i="30" s="1"/>
  <c r="D148" i="30"/>
  <c r="AA147" i="30"/>
  <c r="AA192" i="30" s="1"/>
  <c r="Z147" i="30"/>
  <c r="Z192" i="30" s="1"/>
  <c r="Y147" i="30"/>
  <c r="Y192" i="30" s="1"/>
  <c r="X147" i="30"/>
  <c r="X192" i="30" s="1"/>
  <c r="W147" i="30"/>
  <c r="W192" i="30" s="1"/>
  <c r="V147" i="30"/>
  <c r="V192" i="30" s="1"/>
  <c r="U147" i="30"/>
  <c r="U169" i="30" s="1"/>
  <c r="T147" i="30"/>
  <c r="T192" i="30" s="1"/>
  <c r="S147" i="30"/>
  <c r="S192" i="30" s="1"/>
  <c r="R147" i="30"/>
  <c r="R192" i="30" s="1"/>
  <c r="Q147" i="30"/>
  <c r="Q192" i="30" s="1"/>
  <c r="P147" i="30"/>
  <c r="P192" i="30" s="1"/>
  <c r="O147" i="30"/>
  <c r="O169" i="30" s="1"/>
  <c r="N147" i="30"/>
  <c r="N192" i="30" s="1"/>
  <c r="M147" i="30"/>
  <c r="M169" i="30" s="1"/>
  <c r="L147" i="30"/>
  <c r="L192" i="30" s="1"/>
  <c r="K147" i="30"/>
  <c r="K192" i="30" s="1"/>
  <c r="J147" i="30"/>
  <c r="J192" i="30" s="1"/>
  <c r="I147" i="30"/>
  <c r="I192" i="30" s="1"/>
  <c r="H147" i="30"/>
  <c r="H192" i="30" s="1"/>
  <c r="G147" i="30"/>
  <c r="G192" i="30" s="1"/>
  <c r="F147" i="30"/>
  <c r="F192" i="30" s="1"/>
  <c r="E147" i="30"/>
  <c r="E169" i="30" s="1"/>
  <c r="D147" i="30"/>
  <c r="D192" i="30" s="1"/>
  <c r="AA146" i="30"/>
  <c r="AA167" i="30" s="1"/>
  <c r="Z146" i="30"/>
  <c r="Z167" i="30" s="1"/>
  <c r="Y146" i="30"/>
  <c r="Y167" i="30" s="1"/>
  <c r="X146" i="30"/>
  <c r="X167" i="30" s="1"/>
  <c r="W146" i="30"/>
  <c r="W167" i="30" s="1"/>
  <c r="V146" i="30"/>
  <c r="V167" i="30" s="1"/>
  <c r="U146" i="30"/>
  <c r="U167" i="30" s="1"/>
  <c r="T146" i="30"/>
  <c r="T167" i="30" s="1"/>
  <c r="S146" i="30"/>
  <c r="S167" i="30" s="1"/>
  <c r="R146" i="30"/>
  <c r="R167" i="30" s="1"/>
  <c r="Q146" i="30"/>
  <c r="Q167" i="30" s="1"/>
  <c r="P146" i="30"/>
  <c r="P167" i="30" s="1"/>
  <c r="O146" i="30"/>
  <c r="O167" i="30" s="1"/>
  <c r="N146" i="30"/>
  <c r="N167" i="30" s="1"/>
  <c r="M146" i="30"/>
  <c r="M167" i="30" s="1"/>
  <c r="L146" i="30"/>
  <c r="L167" i="30" s="1"/>
  <c r="K146" i="30"/>
  <c r="K167" i="30" s="1"/>
  <c r="J146" i="30"/>
  <c r="J167" i="30" s="1"/>
  <c r="I146" i="30"/>
  <c r="I167" i="30" s="1"/>
  <c r="H146" i="30"/>
  <c r="H167" i="30" s="1"/>
  <c r="G146" i="30"/>
  <c r="G167" i="30" s="1"/>
  <c r="F146" i="30"/>
  <c r="F167" i="30" s="1"/>
  <c r="E146" i="30"/>
  <c r="E167" i="30" s="1"/>
  <c r="D146" i="30"/>
  <c r="D167" i="30" s="1"/>
  <c r="Z128" i="30"/>
  <c r="Z127" i="30"/>
  <c r="G127" i="30"/>
  <c r="Z126" i="30"/>
  <c r="Z125" i="30"/>
  <c r="G125" i="30"/>
  <c r="Z111" i="30"/>
  <c r="Z112" i="30" s="1"/>
  <c r="O108" i="30"/>
  <c r="AA107" i="30"/>
  <c r="Z107" i="30"/>
  <c r="Y107" i="30"/>
  <c r="X107" i="30"/>
  <c r="W107" i="30"/>
  <c r="V107" i="30"/>
  <c r="U107" i="30"/>
  <c r="T107" i="30"/>
  <c r="S107" i="30"/>
  <c r="R107" i="30"/>
  <c r="Q107" i="30"/>
  <c r="P107" i="30"/>
  <c r="O107" i="30"/>
  <c r="N107" i="30"/>
  <c r="M107" i="30"/>
  <c r="L107" i="30"/>
  <c r="K107" i="30"/>
  <c r="J107" i="30"/>
  <c r="I107" i="30"/>
  <c r="H107" i="30"/>
  <c r="G107" i="30"/>
  <c r="F107" i="30"/>
  <c r="E107" i="30"/>
  <c r="D107" i="30"/>
  <c r="Z103" i="30"/>
  <c r="AA101" i="30"/>
  <c r="K101" i="30"/>
  <c r="V100" i="30"/>
  <c r="O100" i="30"/>
  <c r="N100" i="30"/>
  <c r="AA98" i="30"/>
  <c r="Z98" i="30"/>
  <c r="Y98" i="30"/>
  <c r="X98" i="30"/>
  <c r="W98" i="30"/>
  <c r="V98" i="30"/>
  <c r="U98" i="30"/>
  <c r="T98" i="30"/>
  <c r="S98" i="30"/>
  <c r="R98" i="30"/>
  <c r="Q98" i="30"/>
  <c r="P98" i="30"/>
  <c r="O98" i="30"/>
  <c r="N98" i="30"/>
  <c r="M98" i="30"/>
  <c r="L98" i="30"/>
  <c r="K98" i="30"/>
  <c r="J98" i="30"/>
  <c r="I98" i="30"/>
  <c r="H98" i="30"/>
  <c r="G98" i="30"/>
  <c r="F98" i="30"/>
  <c r="E98" i="30"/>
  <c r="D98" i="30"/>
  <c r="AF83" i="30"/>
  <c r="AF86" i="30" s="1"/>
  <c r="AF87" i="30" s="1"/>
  <c r="AF88" i="30" s="1"/>
  <c r="AA81" i="30"/>
  <c r="AA128" i="30" s="1"/>
  <c r="Y81" i="30"/>
  <c r="X81" i="30"/>
  <c r="W81" i="30"/>
  <c r="V81" i="30"/>
  <c r="U81" i="30"/>
  <c r="T81" i="30"/>
  <c r="S81" i="30"/>
  <c r="S103" i="30" s="1"/>
  <c r="R81" i="30"/>
  <c r="Q81" i="30"/>
  <c r="Q103" i="30" s="1"/>
  <c r="P81" i="30"/>
  <c r="O81" i="30"/>
  <c r="O103" i="30" s="1"/>
  <c r="N81" i="30"/>
  <c r="M81" i="30"/>
  <c r="M103" i="30" s="1"/>
  <c r="L81" i="30"/>
  <c r="K81" i="30"/>
  <c r="K103" i="30" s="1"/>
  <c r="J81" i="30"/>
  <c r="I81" i="30"/>
  <c r="I103" i="30" s="1"/>
  <c r="H81" i="30"/>
  <c r="G81" i="30"/>
  <c r="G103" i="30" s="1"/>
  <c r="F81" i="30"/>
  <c r="E81" i="30"/>
  <c r="E103" i="30" s="1"/>
  <c r="D81" i="30"/>
  <c r="AA80" i="30"/>
  <c r="Y80" i="30"/>
  <c r="X80" i="30"/>
  <c r="W80" i="30"/>
  <c r="V80" i="30"/>
  <c r="U80" i="30"/>
  <c r="T80" i="30"/>
  <c r="S80" i="30"/>
  <c r="R80" i="30"/>
  <c r="Q80" i="30"/>
  <c r="P80" i="30"/>
  <c r="P127" i="30" s="1"/>
  <c r="O80" i="30"/>
  <c r="O102" i="30" s="1"/>
  <c r="N80" i="30"/>
  <c r="N127" i="30" s="1"/>
  <c r="M80" i="30"/>
  <c r="L80" i="30"/>
  <c r="K80" i="30"/>
  <c r="J80" i="30"/>
  <c r="I80" i="30"/>
  <c r="H80" i="30"/>
  <c r="H127" i="30" s="1"/>
  <c r="F80" i="30"/>
  <c r="E80" i="30"/>
  <c r="D80" i="30"/>
  <c r="AA79" i="30"/>
  <c r="AA124" i="30" s="1"/>
  <c r="Z79" i="30"/>
  <c r="Y79" i="30"/>
  <c r="Y124" i="30" s="1"/>
  <c r="X79" i="30"/>
  <c r="X124" i="30" s="1"/>
  <c r="W79" i="30"/>
  <c r="W124" i="30" s="1"/>
  <c r="V79" i="30"/>
  <c r="U79" i="30"/>
  <c r="U124" i="30" s="1"/>
  <c r="T79" i="30"/>
  <c r="T124" i="30" s="1"/>
  <c r="S79" i="30"/>
  <c r="S124" i="30" s="1"/>
  <c r="R79" i="30"/>
  <c r="Q79" i="30"/>
  <c r="Q124" i="30" s="1"/>
  <c r="P79" i="30"/>
  <c r="P101" i="30" s="1"/>
  <c r="O79" i="30"/>
  <c r="O124" i="30" s="1"/>
  <c r="N79" i="30"/>
  <c r="M79" i="30"/>
  <c r="M124" i="30" s="1"/>
  <c r="L79" i="30"/>
  <c r="L124" i="30" s="1"/>
  <c r="K79" i="30"/>
  <c r="K124" i="30" s="1"/>
  <c r="J79" i="30"/>
  <c r="I79" i="30"/>
  <c r="I124" i="30" s="1"/>
  <c r="H79" i="30"/>
  <c r="H124" i="30" s="1"/>
  <c r="G79" i="30"/>
  <c r="G124" i="30" s="1"/>
  <c r="F79" i="30"/>
  <c r="E79" i="30"/>
  <c r="E124" i="30" s="1"/>
  <c r="D79" i="30"/>
  <c r="D124" i="30" s="1"/>
  <c r="AA78" i="30"/>
  <c r="AA99" i="30" s="1"/>
  <c r="Z78" i="30"/>
  <c r="Z99" i="30" s="1"/>
  <c r="Y78" i="30"/>
  <c r="Y99" i="30" s="1"/>
  <c r="X78" i="30"/>
  <c r="X99" i="30" s="1"/>
  <c r="W78" i="30"/>
  <c r="W99" i="30" s="1"/>
  <c r="V78" i="30"/>
  <c r="V99" i="30" s="1"/>
  <c r="U78" i="30"/>
  <c r="U99" i="30" s="1"/>
  <c r="T78" i="30"/>
  <c r="T99" i="30" s="1"/>
  <c r="S78" i="30"/>
  <c r="S99" i="30" s="1"/>
  <c r="R78" i="30"/>
  <c r="R99" i="30" s="1"/>
  <c r="Q78" i="30"/>
  <c r="Q99" i="30" s="1"/>
  <c r="P78" i="30"/>
  <c r="P99" i="30" s="1"/>
  <c r="O78" i="30"/>
  <c r="O99" i="30" s="1"/>
  <c r="N78" i="30"/>
  <c r="N99" i="30" s="1"/>
  <c r="M78" i="30"/>
  <c r="M99" i="30" s="1"/>
  <c r="L78" i="30"/>
  <c r="L99" i="30" s="1"/>
  <c r="K78" i="30"/>
  <c r="K99" i="30" s="1"/>
  <c r="J78" i="30"/>
  <c r="J99" i="30" s="1"/>
  <c r="I78" i="30"/>
  <c r="I99" i="30" s="1"/>
  <c r="H78" i="30"/>
  <c r="H99" i="30" s="1"/>
  <c r="G78" i="30"/>
  <c r="G99" i="30" s="1"/>
  <c r="F78" i="30"/>
  <c r="F99" i="30" s="1"/>
  <c r="E78" i="30"/>
  <c r="E99" i="30" s="1"/>
  <c r="D78" i="30"/>
  <c r="D99" i="30" s="1"/>
  <c r="D19" i="33"/>
  <c r="O196" i="29"/>
  <c r="N196" i="29"/>
  <c r="M196" i="29"/>
  <c r="L196" i="29"/>
  <c r="K196" i="29"/>
  <c r="J196" i="29"/>
  <c r="I196" i="29"/>
  <c r="H196" i="29"/>
  <c r="G196" i="29"/>
  <c r="F196" i="29"/>
  <c r="E196" i="29"/>
  <c r="D196" i="29"/>
  <c r="AA195" i="29"/>
  <c r="Z195" i="29"/>
  <c r="X195" i="29"/>
  <c r="W195" i="29"/>
  <c r="U195" i="29"/>
  <c r="S195" i="29"/>
  <c r="R195" i="29"/>
  <c r="Q195" i="29"/>
  <c r="O195" i="29"/>
  <c r="N195" i="29"/>
  <c r="M195" i="29"/>
  <c r="L195" i="29"/>
  <c r="K195" i="29"/>
  <c r="J195" i="29"/>
  <c r="I195" i="29"/>
  <c r="H195" i="29"/>
  <c r="G195" i="29"/>
  <c r="F195" i="29"/>
  <c r="E195" i="29"/>
  <c r="D195" i="29"/>
  <c r="O194" i="29"/>
  <c r="N194" i="29"/>
  <c r="M194" i="29"/>
  <c r="L194" i="29"/>
  <c r="K194" i="29"/>
  <c r="J194" i="29"/>
  <c r="I194" i="29"/>
  <c r="H194" i="29"/>
  <c r="G194" i="29"/>
  <c r="F194" i="29"/>
  <c r="E194" i="29"/>
  <c r="D194" i="29"/>
  <c r="AA193" i="29"/>
  <c r="Z193" i="29"/>
  <c r="X193" i="29"/>
  <c r="W193" i="29"/>
  <c r="U193" i="29"/>
  <c r="S193" i="29"/>
  <c r="R193" i="29"/>
  <c r="Q193" i="29"/>
  <c r="O193" i="29"/>
  <c r="N193" i="29"/>
  <c r="M193" i="29"/>
  <c r="L193" i="29"/>
  <c r="K193" i="29"/>
  <c r="J193" i="29"/>
  <c r="I193" i="29"/>
  <c r="H193" i="29"/>
  <c r="G193" i="29"/>
  <c r="F193" i="29"/>
  <c r="E193" i="29"/>
  <c r="D193" i="29"/>
  <c r="X179" i="29"/>
  <c r="X180" i="29" s="1"/>
  <c r="O179" i="29"/>
  <c r="O180" i="29" s="1"/>
  <c r="N179" i="29"/>
  <c r="N180" i="29" s="1"/>
  <c r="M179" i="29"/>
  <c r="M180" i="29" s="1"/>
  <c r="L179" i="29"/>
  <c r="L180" i="29" s="1"/>
  <c r="K179" i="29"/>
  <c r="K180" i="29" s="1"/>
  <c r="J179" i="29"/>
  <c r="J180" i="29" s="1"/>
  <c r="I179" i="29"/>
  <c r="I180" i="29" s="1"/>
  <c r="H179" i="29"/>
  <c r="H180" i="29" s="1"/>
  <c r="G179" i="29"/>
  <c r="G180" i="29" s="1"/>
  <c r="F179" i="29"/>
  <c r="F180" i="29" s="1"/>
  <c r="E179" i="29"/>
  <c r="E180" i="29" s="1"/>
  <c r="D179" i="29"/>
  <c r="D180" i="29" s="1"/>
  <c r="Y176" i="29"/>
  <c r="V176" i="29"/>
  <c r="U176" i="29"/>
  <c r="Q176" i="29"/>
  <c r="N176" i="29"/>
  <c r="M176" i="29"/>
  <c r="J176" i="29"/>
  <c r="I176" i="29"/>
  <c r="F176" i="29"/>
  <c r="E176" i="29"/>
  <c r="AA175" i="29"/>
  <c r="Z175" i="29"/>
  <c r="Y175" i="29"/>
  <c r="X175" i="29"/>
  <c r="W175" i="29"/>
  <c r="V175" i="29"/>
  <c r="U175" i="29"/>
  <c r="T175" i="29"/>
  <c r="S175" i="29"/>
  <c r="R175" i="29"/>
  <c r="Q175" i="29"/>
  <c r="P175" i="29"/>
  <c r="O175" i="29"/>
  <c r="N175" i="29"/>
  <c r="M175" i="29"/>
  <c r="L175" i="29"/>
  <c r="K175" i="29"/>
  <c r="J175" i="29"/>
  <c r="I175" i="29"/>
  <c r="H175" i="29"/>
  <c r="G175" i="29"/>
  <c r="F175" i="29"/>
  <c r="E175" i="29"/>
  <c r="D175" i="29"/>
  <c r="T171" i="29"/>
  <c r="O171" i="29"/>
  <c r="N171" i="29"/>
  <c r="M171" i="29"/>
  <c r="L171" i="29"/>
  <c r="K171" i="29"/>
  <c r="J171" i="29"/>
  <c r="I171" i="29"/>
  <c r="H171" i="29"/>
  <c r="G171" i="29"/>
  <c r="F171" i="29"/>
  <c r="E171" i="29"/>
  <c r="D171" i="29"/>
  <c r="Z170" i="29"/>
  <c r="U170" i="29"/>
  <c r="Q170" i="29"/>
  <c r="N170" i="29"/>
  <c r="M170" i="29"/>
  <c r="I170" i="29"/>
  <c r="F170" i="29"/>
  <c r="E170" i="29"/>
  <c r="Q169" i="29"/>
  <c r="P169" i="29"/>
  <c r="Y168" i="29"/>
  <c r="V168" i="29"/>
  <c r="U168" i="29"/>
  <c r="Q168" i="29"/>
  <c r="N168" i="29"/>
  <c r="M168" i="29"/>
  <c r="J168" i="29"/>
  <c r="I168" i="29"/>
  <c r="F168" i="29"/>
  <c r="E168" i="29"/>
  <c r="P167" i="29"/>
  <c r="D167" i="29"/>
  <c r="AA166" i="29"/>
  <c r="Z166" i="29"/>
  <c r="Y166" i="29"/>
  <c r="X166" i="29"/>
  <c r="W166" i="29"/>
  <c r="V166" i="29"/>
  <c r="U166" i="29"/>
  <c r="T166" i="29"/>
  <c r="S166" i="29"/>
  <c r="R166" i="29"/>
  <c r="Q166" i="29"/>
  <c r="P166" i="29"/>
  <c r="O166" i="29"/>
  <c r="N166" i="29"/>
  <c r="M166" i="29"/>
  <c r="L166" i="29"/>
  <c r="K166" i="29"/>
  <c r="J166" i="29"/>
  <c r="I166" i="29"/>
  <c r="H166" i="29"/>
  <c r="G166" i="29"/>
  <c r="F166" i="29"/>
  <c r="E166" i="29"/>
  <c r="D166" i="29"/>
  <c r="AF154" i="29"/>
  <c r="AF155" i="29" s="1"/>
  <c r="AF156" i="29" s="1"/>
  <c r="AF151" i="29"/>
  <c r="AA149" i="29"/>
  <c r="AA171" i="29" s="1"/>
  <c r="Z149" i="29"/>
  <c r="Z171" i="29" s="1"/>
  <c r="Y149" i="29"/>
  <c r="X149" i="29"/>
  <c r="X171" i="29" s="1"/>
  <c r="W149" i="29"/>
  <c r="V149" i="29"/>
  <c r="V171" i="29" s="1"/>
  <c r="U149" i="29"/>
  <c r="U171" i="29" s="1"/>
  <c r="T149" i="29"/>
  <c r="S149" i="29"/>
  <c r="S171" i="29" s="1"/>
  <c r="R149" i="29"/>
  <c r="R171" i="29" s="1"/>
  <c r="Q149" i="29"/>
  <c r="Q171" i="29" s="1"/>
  <c r="P149" i="29"/>
  <c r="P171" i="29" s="1"/>
  <c r="Y148" i="29"/>
  <c r="V148" i="29"/>
  <c r="T148" i="29"/>
  <c r="P148" i="29"/>
  <c r="AA147" i="29"/>
  <c r="AA192" i="29" s="1"/>
  <c r="Z147" i="29"/>
  <c r="Z192" i="29" s="1"/>
  <c r="Y147" i="29"/>
  <c r="Y192" i="29" s="1"/>
  <c r="X147" i="29"/>
  <c r="X192" i="29" s="1"/>
  <c r="W147" i="29"/>
  <c r="W192" i="29" s="1"/>
  <c r="V147" i="29"/>
  <c r="V192" i="29" s="1"/>
  <c r="U147" i="29"/>
  <c r="U192" i="29" s="1"/>
  <c r="T147" i="29"/>
  <c r="T192" i="29" s="1"/>
  <c r="S147" i="29"/>
  <c r="S192" i="29" s="1"/>
  <c r="R147" i="29"/>
  <c r="R192" i="29" s="1"/>
  <c r="Q147" i="29"/>
  <c r="Q192" i="29" s="1"/>
  <c r="P147" i="29"/>
  <c r="P192" i="29" s="1"/>
  <c r="O147" i="29"/>
  <c r="O192" i="29" s="1"/>
  <c r="N147" i="29"/>
  <c r="N192" i="29" s="1"/>
  <c r="M147" i="29"/>
  <c r="M192" i="29" s="1"/>
  <c r="L147" i="29"/>
  <c r="L192" i="29" s="1"/>
  <c r="K147" i="29"/>
  <c r="K192" i="29" s="1"/>
  <c r="J147" i="29"/>
  <c r="J192" i="29" s="1"/>
  <c r="I147" i="29"/>
  <c r="I192" i="29" s="1"/>
  <c r="H147" i="29"/>
  <c r="H192" i="29" s="1"/>
  <c r="G147" i="29"/>
  <c r="G192" i="29" s="1"/>
  <c r="F147" i="29"/>
  <c r="F192" i="29" s="1"/>
  <c r="E147" i="29"/>
  <c r="E192" i="29" s="1"/>
  <c r="D147" i="29"/>
  <c r="D192" i="29" s="1"/>
  <c r="AA146" i="29"/>
  <c r="AA167" i="29" s="1"/>
  <c r="Z146" i="29"/>
  <c r="Z167" i="29" s="1"/>
  <c r="Y146" i="29"/>
  <c r="Y167" i="29" s="1"/>
  <c r="X146" i="29"/>
  <c r="X167" i="29" s="1"/>
  <c r="W146" i="29"/>
  <c r="W167" i="29" s="1"/>
  <c r="V146" i="29"/>
  <c r="V167" i="29" s="1"/>
  <c r="U146" i="29"/>
  <c r="U167" i="29" s="1"/>
  <c r="T146" i="29"/>
  <c r="T167" i="29" s="1"/>
  <c r="S146" i="29"/>
  <c r="S167" i="29" s="1"/>
  <c r="R146" i="29"/>
  <c r="R167" i="29" s="1"/>
  <c r="Q146" i="29"/>
  <c r="Q167" i="29" s="1"/>
  <c r="P146" i="29"/>
  <c r="O146" i="29"/>
  <c r="O167" i="29" s="1"/>
  <c r="N146" i="29"/>
  <c r="N167" i="29" s="1"/>
  <c r="M146" i="29"/>
  <c r="M167" i="29" s="1"/>
  <c r="L146" i="29"/>
  <c r="L167" i="29" s="1"/>
  <c r="K146" i="29"/>
  <c r="K167" i="29" s="1"/>
  <c r="J146" i="29"/>
  <c r="J167" i="29" s="1"/>
  <c r="I146" i="29"/>
  <c r="I167" i="29" s="1"/>
  <c r="H146" i="29"/>
  <c r="H167" i="29" s="1"/>
  <c r="G146" i="29"/>
  <c r="G167" i="29" s="1"/>
  <c r="F146" i="29"/>
  <c r="F167" i="29" s="1"/>
  <c r="E146" i="29"/>
  <c r="E167" i="29" s="1"/>
  <c r="D146" i="29"/>
  <c r="O128" i="29"/>
  <c r="N128" i="29"/>
  <c r="M128" i="29"/>
  <c r="L128" i="29"/>
  <c r="K128" i="29"/>
  <c r="J128" i="29"/>
  <c r="I128" i="29"/>
  <c r="H128" i="29"/>
  <c r="G128" i="29"/>
  <c r="F128" i="29"/>
  <c r="E128" i="29"/>
  <c r="D128" i="29"/>
  <c r="AA127" i="29"/>
  <c r="Z127" i="29"/>
  <c r="X127" i="29"/>
  <c r="W127" i="29"/>
  <c r="U127" i="29"/>
  <c r="S127" i="29"/>
  <c r="R127" i="29"/>
  <c r="Q127" i="29"/>
  <c r="O127" i="29"/>
  <c r="N127" i="29"/>
  <c r="M127" i="29"/>
  <c r="L127" i="29"/>
  <c r="K127" i="29"/>
  <c r="J127" i="29"/>
  <c r="I127" i="29"/>
  <c r="H127" i="29"/>
  <c r="G127" i="29"/>
  <c r="F127" i="29"/>
  <c r="E127" i="29"/>
  <c r="D127" i="29"/>
  <c r="O126" i="29"/>
  <c r="N126" i="29"/>
  <c r="M126" i="29"/>
  <c r="L126" i="29"/>
  <c r="K126" i="29"/>
  <c r="J126" i="29"/>
  <c r="I126" i="29"/>
  <c r="H126" i="29"/>
  <c r="G126" i="29"/>
  <c r="F126" i="29"/>
  <c r="E126" i="29"/>
  <c r="D126" i="29"/>
  <c r="AA125" i="29"/>
  <c r="Z125" i="29"/>
  <c r="X125" i="29"/>
  <c r="W125" i="29"/>
  <c r="U125" i="29"/>
  <c r="S125" i="29"/>
  <c r="R125" i="29"/>
  <c r="Q125" i="29"/>
  <c r="O125" i="29"/>
  <c r="N125" i="29"/>
  <c r="M125" i="29"/>
  <c r="L125" i="29"/>
  <c r="K125" i="29"/>
  <c r="J125" i="29"/>
  <c r="I125" i="29"/>
  <c r="H125" i="29"/>
  <c r="G125" i="29"/>
  <c r="F125" i="29"/>
  <c r="E125" i="29"/>
  <c r="D125" i="29"/>
  <c r="O111" i="29"/>
  <c r="O112" i="29" s="1"/>
  <c r="N111" i="29"/>
  <c r="N112" i="29" s="1"/>
  <c r="M111" i="29"/>
  <c r="M112" i="29" s="1"/>
  <c r="L111" i="29"/>
  <c r="L112" i="29" s="1"/>
  <c r="K111" i="29"/>
  <c r="K112" i="29" s="1"/>
  <c r="J111" i="29"/>
  <c r="J112" i="29" s="1"/>
  <c r="I111" i="29"/>
  <c r="I112" i="29" s="1"/>
  <c r="H111" i="29"/>
  <c r="H112" i="29" s="1"/>
  <c r="G111" i="29"/>
  <c r="G112" i="29" s="1"/>
  <c r="F111" i="29"/>
  <c r="F112" i="29" s="1"/>
  <c r="E111" i="29"/>
  <c r="E112" i="29" s="1"/>
  <c r="D111" i="29"/>
  <c r="D112" i="29" s="1"/>
  <c r="Y108" i="29"/>
  <c r="W108" i="29"/>
  <c r="U108" i="29"/>
  <c r="Q108" i="29"/>
  <c r="O108" i="29"/>
  <c r="M108" i="29"/>
  <c r="I108" i="29"/>
  <c r="H108" i="29"/>
  <c r="E108" i="29"/>
  <c r="AA107" i="29"/>
  <c r="Z107" i="29"/>
  <c r="Y107" i="29"/>
  <c r="X107" i="29"/>
  <c r="W107" i="29"/>
  <c r="V107" i="29"/>
  <c r="U107" i="29"/>
  <c r="T107" i="29"/>
  <c r="S107" i="29"/>
  <c r="R107" i="29"/>
  <c r="Q107" i="29"/>
  <c r="P107" i="29"/>
  <c r="O107" i="29"/>
  <c r="N107" i="29"/>
  <c r="M107" i="29"/>
  <c r="L107" i="29"/>
  <c r="K107" i="29"/>
  <c r="J107" i="29"/>
  <c r="I107" i="29"/>
  <c r="H107" i="29"/>
  <c r="G107" i="29"/>
  <c r="F107" i="29"/>
  <c r="E107" i="29"/>
  <c r="D107" i="29"/>
  <c r="AA103" i="29"/>
  <c r="Z103" i="29"/>
  <c r="O103" i="29"/>
  <c r="N103" i="29"/>
  <c r="M103" i="29"/>
  <c r="L103" i="29"/>
  <c r="K103" i="29"/>
  <c r="J103" i="29"/>
  <c r="I103" i="29"/>
  <c r="H103" i="29"/>
  <c r="G103" i="29"/>
  <c r="F103" i="29"/>
  <c r="E103" i="29"/>
  <c r="D103" i="29"/>
  <c r="U102" i="29"/>
  <c r="Q102" i="29"/>
  <c r="M102" i="29"/>
  <c r="I102" i="29"/>
  <c r="E102" i="29"/>
  <c r="Y100" i="29"/>
  <c r="U100" i="29"/>
  <c r="S100" i="29"/>
  <c r="Q100" i="29"/>
  <c r="M100" i="29"/>
  <c r="I100" i="29"/>
  <c r="E100" i="29"/>
  <c r="Z99" i="29"/>
  <c r="K99" i="29"/>
  <c r="AA98" i="29"/>
  <c r="Z98" i="29"/>
  <c r="Y98" i="29"/>
  <c r="X98" i="29"/>
  <c r="W98" i="29"/>
  <c r="V98" i="29"/>
  <c r="U98" i="29"/>
  <c r="T98" i="29"/>
  <c r="S98" i="29"/>
  <c r="R98" i="29"/>
  <c r="Q98" i="29"/>
  <c r="P98" i="29"/>
  <c r="O98" i="29"/>
  <c r="N98" i="29"/>
  <c r="M98" i="29"/>
  <c r="L98" i="29"/>
  <c r="K98" i="29"/>
  <c r="J98" i="29"/>
  <c r="I98" i="29"/>
  <c r="H98" i="29"/>
  <c r="G98" i="29"/>
  <c r="F98" i="29"/>
  <c r="E98" i="29"/>
  <c r="D98" i="29"/>
  <c r="AF83" i="29"/>
  <c r="AF86" i="29" s="1"/>
  <c r="AF87" i="29" s="1"/>
  <c r="AF88" i="29" s="1"/>
  <c r="AA81" i="29"/>
  <c r="AA111" i="29" s="1"/>
  <c r="AA112" i="29" s="1"/>
  <c r="Z81" i="29"/>
  <c r="Y81" i="29"/>
  <c r="X81" i="29"/>
  <c r="X111" i="29" s="1"/>
  <c r="X112" i="29" s="1"/>
  <c r="W81" i="29"/>
  <c r="W111" i="29" s="1"/>
  <c r="W112" i="29" s="1"/>
  <c r="V81" i="29"/>
  <c r="V103" i="29" s="1"/>
  <c r="U81" i="29"/>
  <c r="T81" i="29"/>
  <c r="S81" i="29"/>
  <c r="S111" i="29" s="1"/>
  <c r="S112" i="29" s="1"/>
  <c r="R81" i="29"/>
  <c r="R103" i="29" s="1"/>
  <c r="Q81" i="29"/>
  <c r="Q111" i="29" s="1"/>
  <c r="Q112" i="29" s="1"/>
  <c r="P81" i="29"/>
  <c r="Y80" i="29"/>
  <c r="V80" i="29"/>
  <c r="T80" i="29"/>
  <c r="T127" i="29" s="1"/>
  <c r="P80" i="29"/>
  <c r="AA79" i="29"/>
  <c r="AA124" i="29" s="1"/>
  <c r="Z79" i="29"/>
  <c r="Z124" i="29" s="1"/>
  <c r="Y79" i="29"/>
  <c r="Y124" i="29" s="1"/>
  <c r="X79" i="29"/>
  <c r="W79" i="29"/>
  <c r="W101" i="29" s="1"/>
  <c r="V79" i="29"/>
  <c r="V124" i="29" s="1"/>
  <c r="U79" i="29"/>
  <c r="U124" i="29" s="1"/>
  <c r="T79" i="29"/>
  <c r="S79" i="29"/>
  <c r="S124" i="29" s="1"/>
  <c r="R79" i="29"/>
  <c r="R124" i="29" s="1"/>
  <c r="Q79" i="29"/>
  <c r="P79" i="29"/>
  <c r="O79" i="29"/>
  <c r="O101" i="29" s="1"/>
  <c r="N79" i="29"/>
  <c r="N124" i="29" s="1"/>
  <c r="M79" i="29"/>
  <c r="L79" i="29"/>
  <c r="K79" i="29"/>
  <c r="K124" i="29" s="1"/>
  <c r="J79" i="29"/>
  <c r="J124" i="29" s="1"/>
  <c r="I79" i="29"/>
  <c r="H79" i="29"/>
  <c r="G79" i="29"/>
  <c r="G101" i="29" s="1"/>
  <c r="F79" i="29"/>
  <c r="F124" i="29" s="1"/>
  <c r="E79" i="29"/>
  <c r="D79" i="29"/>
  <c r="AA78" i="29"/>
  <c r="AA99" i="29" s="1"/>
  <c r="Z78" i="29"/>
  <c r="Y78" i="29"/>
  <c r="Y99" i="29" s="1"/>
  <c r="X78" i="29"/>
  <c r="X99" i="29" s="1"/>
  <c r="W78" i="29"/>
  <c r="W99" i="29" s="1"/>
  <c r="V78" i="29"/>
  <c r="V99" i="29" s="1"/>
  <c r="U78" i="29"/>
  <c r="U99" i="29" s="1"/>
  <c r="T78" i="29"/>
  <c r="T99" i="29" s="1"/>
  <c r="S78" i="29"/>
  <c r="S99" i="29" s="1"/>
  <c r="R78" i="29"/>
  <c r="R99" i="29" s="1"/>
  <c r="Q78" i="29"/>
  <c r="Q99" i="29" s="1"/>
  <c r="P78" i="29"/>
  <c r="P99" i="29" s="1"/>
  <c r="O78" i="29"/>
  <c r="O99" i="29" s="1"/>
  <c r="N78" i="29"/>
  <c r="N99" i="29" s="1"/>
  <c r="M78" i="29"/>
  <c r="M99" i="29" s="1"/>
  <c r="L78" i="29"/>
  <c r="L99" i="29" s="1"/>
  <c r="K78" i="29"/>
  <c r="J78" i="29"/>
  <c r="J99" i="29" s="1"/>
  <c r="I78" i="29"/>
  <c r="I99" i="29" s="1"/>
  <c r="H78" i="29"/>
  <c r="H99" i="29" s="1"/>
  <c r="G78" i="29"/>
  <c r="G99" i="29" s="1"/>
  <c r="F78" i="29"/>
  <c r="F99" i="29" s="1"/>
  <c r="E78" i="29"/>
  <c r="E99" i="29" s="1"/>
  <c r="D78" i="29"/>
  <c r="D99" i="29" s="1"/>
  <c r="D18" i="33"/>
  <c r="AA196" i="28"/>
  <c r="Z196" i="28"/>
  <c r="Y196" i="28"/>
  <c r="X196" i="28"/>
  <c r="W196" i="28"/>
  <c r="V196" i="28"/>
  <c r="U196" i="28"/>
  <c r="T196" i="28"/>
  <c r="S196" i="28"/>
  <c r="R196" i="28"/>
  <c r="Q196" i="28"/>
  <c r="P196" i="28"/>
  <c r="O196" i="28"/>
  <c r="N196" i="28"/>
  <c r="M196" i="28"/>
  <c r="L196" i="28"/>
  <c r="K196" i="28"/>
  <c r="J196" i="28"/>
  <c r="I196" i="28"/>
  <c r="H196" i="28"/>
  <c r="G196" i="28"/>
  <c r="F196" i="28"/>
  <c r="E196" i="28"/>
  <c r="D196" i="28"/>
  <c r="AA195" i="28"/>
  <c r="Z195" i="28"/>
  <c r="Y195" i="28"/>
  <c r="X195" i="28"/>
  <c r="W195" i="28"/>
  <c r="V195" i="28"/>
  <c r="U195" i="28"/>
  <c r="T195" i="28"/>
  <c r="S195" i="28"/>
  <c r="R195" i="28"/>
  <c r="Q195" i="28"/>
  <c r="P195" i="28"/>
  <c r="O195" i="28"/>
  <c r="N195" i="28"/>
  <c r="M195" i="28"/>
  <c r="L195" i="28"/>
  <c r="K195" i="28"/>
  <c r="J195" i="28"/>
  <c r="I195" i="28"/>
  <c r="H195" i="28"/>
  <c r="G195" i="28"/>
  <c r="F195" i="28"/>
  <c r="E195" i="28"/>
  <c r="D195" i="28"/>
  <c r="AA194" i="28"/>
  <c r="Z194" i="28"/>
  <c r="Y194" i="28"/>
  <c r="X194" i="28"/>
  <c r="W194" i="28"/>
  <c r="V194" i="28"/>
  <c r="U194" i="28"/>
  <c r="T194" i="28"/>
  <c r="S194" i="28"/>
  <c r="R194" i="28"/>
  <c r="Q194" i="28"/>
  <c r="P194" i="28"/>
  <c r="O194" i="28"/>
  <c r="N194" i="28"/>
  <c r="M194" i="28"/>
  <c r="L194" i="28"/>
  <c r="K194" i="28"/>
  <c r="J194" i="28"/>
  <c r="I194" i="28"/>
  <c r="H194" i="28"/>
  <c r="G194" i="28"/>
  <c r="F194" i="28"/>
  <c r="E194" i="28"/>
  <c r="D194" i="28"/>
  <c r="AA193" i="28"/>
  <c r="Z193" i="28"/>
  <c r="Y193" i="28"/>
  <c r="X193" i="28"/>
  <c r="W193" i="28"/>
  <c r="V193" i="28"/>
  <c r="U193" i="28"/>
  <c r="T193" i="28"/>
  <c r="S193" i="28"/>
  <c r="R193" i="28"/>
  <c r="Q193" i="28"/>
  <c r="P193" i="28"/>
  <c r="O193" i="28"/>
  <c r="N193" i="28"/>
  <c r="M193" i="28"/>
  <c r="L193" i="28"/>
  <c r="K193" i="28"/>
  <c r="J193" i="28"/>
  <c r="I193" i="28"/>
  <c r="H193" i="28"/>
  <c r="G193" i="28"/>
  <c r="F193" i="28"/>
  <c r="E193" i="28"/>
  <c r="D193" i="28"/>
  <c r="AA179" i="28"/>
  <c r="AA180" i="28" s="1"/>
  <c r="Z179" i="28"/>
  <c r="Z180" i="28" s="1"/>
  <c r="Y179" i="28"/>
  <c r="Y180" i="28" s="1"/>
  <c r="X179" i="28"/>
  <c r="X180" i="28" s="1"/>
  <c r="W179" i="28"/>
  <c r="W180" i="28" s="1"/>
  <c r="V179" i="28"/>
  <c r="V180" i="28" s="1"/>
  <c r="U179" i="28"/>
  <c r="U180" i="28" s="1"/>
  <c r="T179" i="28"/>
  <c r="T180" i="28" s="1"/>
  <c r="S179" i="28"/>
  <c r="S180" i="28" s="1"/>
  <c r="R179" i="28"/>
  <c r="R180" i="28" s="1"/>
  <c r="Q179" i="28"/>
  <c r="Q180" i="28" s="1"/>
  <c r="P179" i="28"/>
  <c r="P180" i="28" s="1"/>
  <c r="P184" i="28" s="1"/>
  <c r="O179" i="28"/>
  <c r="O180" i="28" s="1"/>
  <c r="N179" i="28"/>
  <c r="N180" i="28" s="1"/>
  <c r="M179" i="28"/>
  <c r="M180" i="28" s="1"/>
  <c r="L179" i="28"/>
  <c r="L180" i="28" s="1"/>
  <c r="L182" i="28" s="1"/>
  <c r="K179" i="28"/>
  <c r="K180" i="28" s="1"/>
  <c r="J179" i="28"/>
  <c r="J180" i="28" s="1"/>
  <c r="I179" i="28"/>
  <c r="I180" i="28" s="1"/>
  <c r="H179" i="28"/>
  <c r="H180" i="28" s="1"/>
  <c r="G179" i="28"/>
  <c r="G180" i="28" s="1"/>
  <c r="F179" i="28"/>
  <c r="F180" i="28" s="1"/>
  <c r="E179" i="28"/>
  <c r="E180" i="28" s="1"/>
  <c r="D179" i="28"/>
  <c r="D180" i="28" s="1"/>
  <c r="Y176" i="28"/>
  <c r="W176" i="28"/>
  <c r="U176" i="28"/>
  <c r="Q176" i="28"/>
  <c r="M176" i="28"/>
  <c r="I176" i="28"/>
  <c r="E176" i="28"/>
  <c r="AA175" i="28"/>
  <c r="Z175" i="28"/>
  <c r="Y175" i="28"/>
  <c r="X175" i="28"/>
  <c r="W175" i="28"/>
  <c r="V175" i="28"/>
  <c r="U175" i="28"/>
  <c r="T175" i="28"/>
  <c r="S175" i="28"/>
  <c r="R175" i="28"/>
  <c r="Q175" i="28"/>
  <c r="P175" i="28"/>
  <c r="O175" i="28"/>
  <c r="N175" i="28"/>
  <c r="M175" i="28"/>
  <c r="L175" i="28"/>
  <c r="K175" i="28"/>
  <c r="J175" i="28"/>
  <c r="I175" i="28"/>
  <c r="H175" i="28"/>
  <c r="G175" i="28"/>
  <c r="F175" i="28"/>
  <c r="E175" i="28"/>
  <c r="D175" i="28"/>
  <c r="AA171" i="28"/>
  <c r="Z171" i="28"/>
  <c r="Y171" i="28"/>
  <c r="X171" i="28"/>
  <c r="W171" i="28"/>
  <c r="V171" i="28"/>
  <c r="U171" i="28"/>
  <c r="T171" i="28"/>
  <c r="S171" i="28"/>
  <c r="R171" i="28"/>
  <c r="Q171" i="28"/>
  <c r="P171" i="28"/>
  <c r="O171" i="28"/>
  <c r="N171" i="28"/>
  <c r="M171" i="28"/>
  <c r="L171" i="28"/>
  <c r="K171" i="28"/>
  <c r="J171" i="28"/>
  <c r="I171" i="28"/>
  <c r="H171" i="28"/>
  <c r="G171" i="28"/>
  <c r="F171" i="28"/>
  <c r="E171" i="28"/>
  <c r="D171" i="28"/>
  <c r="Y170" i="28"/>
  <c r="U170" i="28"/>
  <c r="Q170" i="28"/>
  <c r="M170" i="28"/>
  <c r="I170" i="28"/>
  <c r="E170" i="28"/>
  <c r="Y168" i="28"/>
  <c r="U168" i="28"/>
  <c r="Q168" i="28"/>
  <c r="M168" i="28"/>
  <c r="I168" i="28"/>
  <c r="E168" i="28"/>
  <c r="AA166" i="28"/>
  <c r="Z166" i="28"/>
  <c r="Y166" i="28"/>
  <c r="X166" i="28"/>
  <c r="W166" i="28"/>
  <c r="V166" i="28"/>
  <c r="U166" i="28"/>
  <c r="T166" i="28"/>
  <c r="S166" i="28"/>
  <c r="R166" i="28"/>
  <c r="Q166" i="28"/>
  <c r="P166" i="28"/>
  <c r="O166" i="28"/>
  <c r="N166" i="28"/>
  <c r="M166" i="28"/>
  <c r="L166" i="28"/>
  <c r="K166" i="28"/>
  <c r="J166" i="28"/>
  <c r="I166" i="28"/>
  <c r="H166" i="28"/>
  <c r="G166" i="28"/>
  <c r="F166" i="28"/>
  <c r="E166" i="28"/>
  <c r="D166" i="28"/>
  <c r="AF151" i="28"/>
  <c r="AF154" i="28" s="1"/>
  <c r="AF155" i="28" s="1"/>
  <c r="AF156" i="28" s="1"/>
  <c r="AI150" i="28"/>
  <c r="AD150" i="28"/>
  <c r="AD149" i="28"/>
  <c r="AI147" i="28"/>
  <c r="AA147" i="28"/>
  <c r="AA169" i="28" s="1"/>
  <c r="Z147" i="28"/>
  <c r="Z192" i="28" s="1"/>
  <c r="Y147" i="28"/>
  <c r="Y192" i="28" s="1"/>
  <c r="X147" i="28"/>
  <c r="X192" i="28" s="1"/>
  <c r="W147" i="28"/>
  <c r="W169" i="28" s="1"/>
  <c r="V147" i="28"/>
  <c r="V192" i="28" s="1"/>
  <c r="U147" i="28"/>
  <c r="U192" i="28" s="1"/>
  <c r="T147" i="28"/>
  <c r="T192" i="28" s="1"/>
  <c r="S147" i="28"/>
  <c r="S169" i="28" s="1"/>
  <c r="R147" i="28"/>
  <c r="R192" i="28" s="1"/>
  <c r="Q147" i="28"/>
  <c r="Q192" i="28" s="1"/>
  <c r="P147" i="28"/>
  <c r="P192" i="28" s="1"/>
  <c r="O147" i="28"/>
  <c r="O169" i="28" s="1"/>
  <c r="N147" i="28"/>
  <c r="N192" i="28" s="1"/>
  <c r="M147" i="28"/>
  <c r="M192" i="28" s="1"/>
  <c r="L147" i="28"/>
  <c r="L192" i="28" s="1"/>
  <c r="K147" i="28"/>
  <c r="K169" i="28" s="1"/>
  <c r="J147" i="28"/>
  <c r="J192" i="28" s="1"/>
  <c r="I147" i="28"/>
  <c r="I192" i="28" s="1"/>
  <c r="H147" i="28"/>
  <c r="H192" i="28" s="1"/>
  <c r="G147" i="28"/>
  <c r="G169" i="28" s="1"/>
  <c r="F147" i="28"/>
  <c r="F192" i="28" s="1"/>
  <c r="E147" i="28"/>
  <c r="E192" i="28" s="1"/>
  <c r="D147" i="28"/>
  <c r="D192" i="28" s="1"/>
  <c r="AA146" i="28"/>
  <c r="AA167" i="28" s="1"/>
  <c r="Z146" i="28"/>
  <c r="Z167" i="28" s="1"/>
  <c r="Y146" i="28"/>
  <c r="Y167" i="28" s="1"/>
  <c r="X146" i="28"/>
  <c r="X167" i="28" s="1"/>
  <c r="W146" i="28"/>
  <c r="W167" i="28" s="1"/>
  <c r="V146" i="28"/>
  <c r="V167" i="28" s="1"/>
  <c r="U146" i="28"/>
  <c r="U167" i="28" s="1"/>
  <c r="T146" i="28"/>
  <c r="T167" i="28" s="1"/>
  <c r="S146" i="28"/>
  <c r="S167" i="28" s="1"/>
  <c r="R146" i="28"/>
  <c r="R167" i="28" s="1"/>
  <c r="Q146" i="28"/>
  <c r="Q167" i="28" s="1"/>
  <c r="P146" i="28"/>
  <c r="P167" i="28" s="1"/>
  <c r="O146" i="28"/>
  <c r="O167" i="28" s="1"/>
  <c r="N146" i="28"/>
  <c r="N167" i="28" s="1"/>
  <c r="M146" i="28"/>
  <c r="M167" i="28" s="1"/>
  <c r="L146" i="28"/>
  <c r="L167" i="28" s="1"/>
  <c r="K146" i="28"/>
  <c r="K167" i="28" s="1"/>
  <c r="J146" i="28"/>
  <c r="J167" i="28" s="1"/>
  <c r="I146" i="28"/>
  <c r="I167" i="28" s="1"/>
  <c r="H146" i="28"/>
  <c r="H167" i="28" s="1"/>
  <c r="G146" i="28"/>
  <c r="G167" i="28" s="1"/>
  <c r="F146" i="28"/>
  <c r="F167" i="28" s="1"/>
  <c r="E146" i="28"/>
  <c r="E167" i="28" s="1"/>
  <c r="D146" i="28"/>
  <c r="D167" i="28" s="1"/>
  <c r="AA128" i="28"/>
  <c r="Z128" i="28"/>
  <c r="Y128" i="28"/>
  <c r="X128" i="28"/>
  <c r="W128" i="28"/>
  <c r="V128" i="28"/>
  <c r="U128" i="28"/>
  <c r="T128" i="28"/>
  <c r="S128" i="28"/>
  <c r="R128" i="28"/>
  <c r="Q128" i="28"/>
  <c r="P128" i="28"/>
  <c r="O128" i="28"/>
  <c r="N128" i="28"/>
  <c r="M128" i="28"/>
  <c r="L128" i="28"/>
  <c r="K128" i="28"/>
  <c r="J128" i="28"/>
  <c r="I128" i="28"/>
  <c r="H128" i="28"/>
  <c r="G128" i="28"/>
  <c r="F128" i="28"/>
  <c r="E128" i="28"/>
  <c r="D128" i="28"/>
  <c r="AA127" i="28"/>
  <c r="Z127" i="28"/>
  <c r="Y127" i="28"/>
  <c r="X127" i="28"/>
  <c r="W127" i="28"/>
  <c r="V127" i="28"/>
  <c r="U127" i="28"/>
  <c r="T127" i="28"/>
  <c r="S127" i="28"/>
  <c r="R127" i="28"/>
  <c r="Q127" i="28"/>
  <c r="P127" i="28"/>
  <c r="O127" i="28"/>
  <c r="N127" i="28"/>
  <c r="M127" i="28"/>
  <c r="L127" i="28"/>
  <c r="K127" i="28"/>
  <c r="J127" i="28"/>
  <c r="I127" i="28"/>
  <c r="H127" i="28"/>
  <c r="G127" i="28"/>
  <c r="F127" i="28"/>
  <c r="E127" i="28"/>
  <c r="D127" i="28"/>
  <c r="AA126" i="28"/>
  <c r="Z126" i="28"/>
  <c r="Y126" i="28"/>
  <c r="X126" i="28"/>
  <c r="W126" i="28"/>
  <c r="V126" i="28"/>
  <c r="U126" i="28"/>
  <c r="T126" i="28"/>
  <c r="S126" i="28"/>
  <c r="R126" i="28"/>
  <c r="Q126" i="28"/>
  <c r="P126" i="28"/>
  <c r="O126" i="28"/>
  <c r="N126" i="28"/>
  <c r="M126" i="28"/>
  <c r="L126" i="28"/>
  <c r="K126" i="28"/>
  <c r="J126" i="28"/>
  <c r="I126" i="28"/>
  <c r="H126" i="28"/>
  <c r="G126" i="28"/>
  <c r="F126" i="28"/>
  <c r="E126" i="28"/>
  <c r="D126" i="28"/>
  <c r="AA125" i="28"/>
  <c r="Z125" i="28"/>
  <c r="Y125" i="28"/>
  <c r="X125" i="28"/>
  <c r="W125" i="28"/>
  <c r="V125" i="28"/>
  <c r="U125" i="28"/>
  <c r="T125" i="28"/>
  <c r="S125" i="28"/>
  <c r="R125" i="28"/>
  <c r="Q125" i="28"/>
  <c r="P125" i="28"/>
  <c r="O125" i="28"/>
  <c r="N125" i="28"/>
  <c r="M125" i="28"/>
  <c r="L125" i="28"/>
  <c r="K125" i="28"/>
  <c r="J125" i="28"/>
  <c r="I125" i="28"/>
  <c r="H125" i="28"/>
  <c r="G125" i="28"/>
  <c r="F125" i="28"/>
  <c r="E125" i="28"/>
  <c r="D125" i="28"/>
  <c r="P112" i="28"/>
  <c r="P114" i="28" s="1"/>
  <c r="AA111" i="28"/>
  <c r="AA112" i="28" s="1"/>
  <c r="Z111" i="28"/>
  <c r="Z112" i="28" s="1"/>
  <c r="Y111" i="28"/>
  <c r="Y112" i="28" s="1"/>
  <c r="Y116" i="28" s="1"/>
  <c r="Y118" i="28" s="1"/>
  <c r="X111" i="28"/>
  <c r="X112" i="28" s="1"/>
  <c r="X116" i="28" s="1"/>
  <c r="W111" i="28"/>
  <c r="W112" i="28" s="1"/>
  <c r="V111" i="28"/>
  <c r="V112" i="28" s="1"/>
  <c r="U111" i="28"/>
  <c r="U112" i="28" s="1"/>
  <c r="T111" i="28"/>
  <c r="T112" i="28" s="1"/>
  <c r="S111" i="28"/>
  <c r="S112" i="28" s="1"/>
  <c r="R111" i="28"/>
  <c r="R112" i="28" s="1"/>
  <c r="Q111" i="28"/>
  <c r="Q112" i="28" s="1"/>
  <c r="Q116" i="28" s="1"/>
  <c r="P111" i="28"/>
  <c r="O111" i="28"/>
  <c r="O112" i="28" s="1"/>
  <c r="N111" i="28"/>
  <c r="N112" i="28" s="1"/>
  <c r="M111" i="28"/>
  <c r="M112" i="28" s="1"/>
  <c r="L111" i="28"/>
  <c r="L112" i="28" s="1"/>
  <c r="K111" i="28"/>
  <c r="K112" i="28" s="1"/>
  <c r="J111" i="28"/>
  <c r="J112" i="28" s="1"/>
  <c r="I111" i="28"/>
  <c r="I112" i="28" s="1"/>
  <c r="I116" i="28" s="1"/>
  <c r="I118" i="28" s="1"/>
  <c r="H111" i="28"/>
  <c r="H112" i="28" s="1"/>
  <c r="H116" i="28" s="1"/>
  <c r="G111" i="28"/>
  <c r="G112" i="28" s="1"/>
  <c r="F111" i="28"/>
  <c r="F112" i="28" s="1"/>
  <c r="E111" i="28"/>
  <c r="E112" i="28" s="1"/>
  <c r="D111" i="28"/>
  <c r="D112" i="28" s="1"/>
  <c r="Y108" i="28"/>
  <c r="V108" i="28"/>
  <c r="U108" i="28"/>
  <c r="R108" i="28"/>
  <c r="Q108" i="28"/>
  <c r="M108" i="28"/>
  <c r="I108" i="28"/>
  <c r="E108" i="28"/>
  <c r="AA107" i="28"/>
  <c r="Z107" i="28"/>
  <c r="Y107" i="28"/>
  <c r="X107" i="28"/>
  <c r="W107" i="28"/>
  <c r="V107" i="28"/>
  <c r="U107" i="28"/>
  <c r="T107" i="28"/>
  <c r="S107" i="28"/>
  <c r="R107" i="28"/>
  <c r="Q107" i="28"/>
  <c r="P107" i="28"/>
  <c r="O107" i="28"/>
  <c r="N107" i="28"/>
  <c r="M107" i="28"/>
  <c r="L107" i="28"/>
  <c r="K107" i="28"/>
  <c r="J107" i="28"/>
  <c r="I107" i="28"/>
  <c r="H107" i="28"/>
  <c r="G107" i="28"/>
  <c r="F107" i="28"/>
  <c r="E107" i="28"/>
  <c r="D107" i="28"/>
  <c r="AA103" i="28"/>
  <c r="Z103" i="28"/>
  <c r="Y103" i="28"/>
  <c r="X103" i="28"/>
  <c r="W103" i="28"/>
  <c r="V103" i="28"/>
  <c r="U103" i="28"/>
  <c r="T103" i="28"/>
  <c r="S103" i="28"/>
  <c r="R103" i="28"/>
  <c r="Q103" i="28"/>
  <c r="P103" i="28"/>
  <c r="O103" i="28"/>
  <c r="N103" i="28"/>
  <c r="M103" i="28"/>
  <c r="L103" i="28"/>
  <c r="K103" i="28"/>
  <c r="J103" i="28"/>
  <c r="I103" i="28"/>
  <c r="H103" i="28"/>
  <c r="G103" i="28"/>
  <c r="F103" i="28"/>
  <c r="E103" i="28"/>
  <c r="D103" i="28"/>
  <c r="Y102" i="28"/>
  <c r="V102" i="28"/>
  <c r="U102" i="28"/>
  <c r="R102" i="28"/>
  <c r="Q102" i="28"/>
  <c r="N102" i="28"/>
  <c r="M102" i="28"/>
  <c r="I102" i="28"/>
  <c r="H102" i="28"/>
  <c r="E102" i="28"/>
  <c r="Y100" i="28"/>
  <c r="U100" i="28"/>
  <c r="Q100" i="28"/>
  <c r="M100" i="28"/>
  <c r="I100" i="28"/>
  <c r="E100" i="28"/>
  <c r="AA98" i="28"/>
  <c r="Z98" i="28"/>
  <c r="Y98" i="28"/>
  <c r="X98" i="28"/>
  <c r="W98" i="28"/>
  <c r="V98" i="28"/>
  <c r="U98" i="28"/>
  <c r="T98" i="28"/>
  <c r="S98" i="28"/>
  <c r="R98" i="28"/>
  <c r="Q98" i="28"/>
  <c r="P98" i="28"/>
  <c r="O98" i="28"/>
  <c r="N98" i="28"/>
  <c r="M98" i="28"/>
  <c r="L98" i="28"/>
  <c r="K98" i="28"/>
  <c r="J98" i="28"/>
  <c r="I98" i="28"/>
  <c r="H98" i="28"/>
  <c r="G98" i="28"/>
  <c r="F98" i="28"/>
  <c r="E98" i="28"/>
  <c r="D98" i="28"/>
  <c r="AF83" i="28"/>
  <c r="AF86" i="28" s="1"/>
  <c r="AF87" i="28" s="1"/>
  <c r="AF88" i="28" s="1"/>
  <c r="AI82" i="28"/>
  <c r="AD82" i="28"/>
  <c r="AD81" i="28"/>
  <c r="AA79" i="28"/>
  <c r="AA124" i="28" s="1"/>
  <c r="Z79" i="28"/>
  <c r="Y79" i="28"/>
  <c r="Y124" i="28" s="1"/>
  <c r="X79" i="28"/>
  <c r="X101" i="28" s="1"/>
  <c r="W79" i="28"/>
  <c r="W101" i="28" s="1"/>
  <c r="V79" i="28"/>
  <c r="U79" i="28"/>
  <c r="U124" i="28" s="1"/>
  <c r="T79" i="28"/>
  <c r="T124" i="28" s="1"/>
  <c r="S79" i="28"/>
  <c r="S101" i="28" s="1"/>
  <c r="R79" i="28"/>
  <c r="Q79" i="28"/>
  <c r="Q124" i="28" s="1"/>
  <c r="P79" i="28"/>
  <c r="P124" i="28" s="1"/>
  <c r="O79" i="28"/>
  <c r="O124" i="28" s="1"/>
  <c r="O130" i="28" s="1"/>
  <c r="O132" i="28" s="1"/>
  <c r="N79" i="28"/>
  <c r="M79" i="28"/>
  <c r="M124" i="28" s="1"/>
  <c r="L79" i="28"/>
  <c r="L124" i="28" s="1"/>
  <c r="K79" i="28"/>
  <c r="K124" i="28" s="1"/>
  <c r="J79" i="28"/>
  <c r="I79" i="28"/>
  <c r="I124" i="28" s="1"/>
  <c r="H79" i="28"/>
  <c r="H124" i="28" s="1"/>
  <c r="G79" i="28"/>
  <c r="G101" i="28" s="1"/>
  <c r="F79" i="28"/>
  <c r="E79" i="28"/>
  <c r="E124" i="28" s="1"/>
  <c r="D79" i="28"/>
  <c r="D124" i="28" s="1"/>
  <c r="AA78" i="28"/>
  <c r="AA99" i="28" s="1"/>
  <c r="Z78" i="28"/>
  <c r="Z99" i="28" s="1"/>
  <c r="Y78" i="28"/>
  <c r="Y99" i="28" s="1"/>
  <c r="X78" i="28"/>
  <c r="X99" i="28" s="1"/>
  <c r="W78" i="28"/>
  <c r="W99" i="28" s="1"/>
  <c r="V78" i="28"/>
  <c r="V99" i="28" s="1"/>
  <c r="U78" i="28"/>
  <c r="U99" i="28" s="1"/>
  <c r="T78" i="28"/>
  <c r="T99" i="28" s="1"/>
  <c r="S78" i="28"/>
  <c r="S99" i="28" s="1"/>
  <c r="R78" i="28"/>
  <c r="R99" i="28" s="1"/>
  <c r="Q78" i="28"/>
  <c r="Q99" i="28" s="1"/>
  <c r="P78" i="28"/>
  <c r="P99" i="28" s="1"/>
  <c r="O78" i="28"/>
  <c r="O99" i="28" s="1"/>
  <c r="N78" i="28"/>
  <c r="N99" i="28" s="1"/>
  <c r="M78" i="28"/>
  <c r="M99" i="28" s="1"/>
  <c r="L78" i="28"/>
  <c r="L99" i="28" s="1"/>
  <c r="K78" i="28"/>
  <c r="K99" i="28" s="1"/>
  <c r="J78" i="28"/>
  <c r="J99" i="28" s="1"/>
  <c r="I78" i="28"/>
  <c r="I99" i="28" s="1"/>
  <c r="H78" i="28"/>
  <c r="H99" i="28" s="1"/>
  <c r="G78" i="28"/>
  <c r="G99" i="28" s="1"/>
  <c r="F78" i="28"/>
  <c r="F99" i="28" s="1"/>
  <c r="E78" i="28"/>
  <c r="E99" i="28" s="1"/>
  <c r="D78" i="28"/>
  <c r="D99" i="28" s="1"/>
  <c r="D17" i="33"/>
  <c r="W124" i="28" l="1"/>
  <c r="U169" i="28"/>
  <c r="X124" i="28"/>
  <c r="Y101" i="28"/>
  <c r="Z198" i="30"/>
  <c r="Z200" i="30" s="1"/>
  <c r="M176" i="30"/>
  <c r="J100" i="30"/>
  <c r="K108" i="30"/>
  <c r="E168" i="30"/>
  <c r="G101" i="30"/>
  <c r="G104" i="30" s="1"/>
  <c r="W179" i="30"/>
  <c r="W180" i="30" s="1"/>
  <c r="W181" i="30" s="1"/>
  <c r="J169" i="30"/>
  <c r="W195" i="30"/>
  <c r="AD150" i="30"/>
  <c r="Y179" i="30"/>
  <c r="Y180" i="30" s="1"/>
  <c r="J168" i="30"/>
  <c r="L169" i="30"/>
  <c r="E192" i="30"/>
  <c r="N169" i="30"/>
  <c r="Z169" i="30"/>
  <c r="O193" i="30"/>
  <c r="K102" i="30"/>
  <c r="W101" i="30"/>
  <c r="R108" i="30"/>
  <c r="N101" i="29"/>
  <c r="Z176" i="29"/>
  <c r="G124" i="29"/>
  <c r="G132" i="29" s="1"/>
  <c r="AA101" i="29"/>
  <c r="O124" i="29"/>
  <c r="P179" i="29"/>
  <c r="P180" i="29" s="1"/>
  <c r="O169" i="29"/>
  <c r="K101" i="29"/>
  <c r="J111" i="30"/>
  <c r="J112" i="30" s="1"/>
  <c r="J113" i="30" s="1"/>
  <c r="V179" i="29"/>
  <c r="V180" i="29" s="1"/>
  <c r="V182" i="29" s="1"/>
  <c r="Y101" i="30"/>
  <c r="D101" i="28"/>
  <c r="AA170" i="29"/>
  <c r="H101" i="28"/>
  <c r="D100" i="29"/>
  <c r="R101" i="29"/>
  <c r="K102" i="29"/>
  <c r="K104" i="29" s="1"/>
  <c r="AA108" i="29"/>
  <c r="W124" i="29"/>
  <c r="D169" i="29"/>
  <c r="S169" i="29"/>
  <c r="J170" i="29"/>
  <c r="L102" i="30"/>
  <c r="M101" i="30"/>
  <c r="K168" i="30"/>
  <c r="Z168" i="30"/>
  <c r="P169" i="30"/>
  <c r="J194" i="30"/>
  <c r="O196" i="30"/>
  <c r="R111" i="30"/>
  <c r="R112" i="30" s="1"/>
  <c r="I101" i="30"/>
  <c r="O130" i="29"/>
  <c r="J196" i="30"/>
  <c r="I101" i="28"/>
  <c r="G124" i="28"/>
  <c r="E169" i="28"/>
  <c r="E172" i="28" s="1"/>
  <c r="AD81" i="29"/>
  <c r="AA100" i="29"/>
  <c r="S101" i="29"/>
  <c r="W126" i="29"/>
  <c r="G130" i="29"/>
  <c r="G169" i="29"/>
  <c r="T169" i="29"/>
  <c r="R176" i="29"/>
  <c r="O101" i="30"/>
  <c r="Z102" i="30"/>
  <c r="AA168" i="30"/>
  <c r="R169" i="30"/>
  <c r="AA102" i="30"/>
  <c r="R171" i="30"/>
  <c r="O101" i="28"/>
  <c r="J102" i="28"/>
  <c r="Z108" i="28"/>
  <c r="J169" i="28"/>
  <c r="F101" i="29"/>
  <c r="V101" i="29"/>
  <c r="S103" i="29"/>
  <c r="W128" i="29"/>
  <c r="H169" i="29"/>
  <c r="W169" i="29"/>
  <c r="Q101" i="30"/>
  <c r="P124" i="30"/>
  <c r="D169" i="30"/>
  <c r="T169" i="30"/>
  <c r="Z169" i="28"/>
  <c r="P101" i="28"/>
  <c r="P169" i="28"/>
  <c r="K100" i="29"/>
  <c r="S102" i="29"/>
  <c r="AD150" i="29"/>
  <c r="R168" i="29"/>
  <c r="I169" i="29"/>
  <c r="I172" i="29" s="1"/>
  <c r="X169" i="29"/>
  <c r="AA100" i="30"/>
  <c r="S101" i="30"/>
  <c r="S104" i="30" s="1"/>
  <c r="D108" i="30"/>
  <c r="F169" i="30"/>
  <c r="V169" i="30"/>
  <c r="M195" i="30"/>
  <c r="V102" i="29"/>
  <c r="K176" i="28"/>
  <c r="T101" i="28"/>
  <c r="Q169" i="28"/>
  <c r="Q172" i="28" s="1"/>
  <c r="J101" i="29"/>
  <c r="Z101" i="29"/>
  <c r="W103" i="29"/>
  <c r="L169" i="29"/>
  <c r="Y169" i="29"/>
  <c r="E101" i="30"/>
  <c r="U101" i="30"/>
  <c r="R168" i="30"/>
  <c r="H169" i="30"/>
  <c r="X169" i="30"/>
  <c r="M193" i="30"/>
  <c r="F100" i="28"/>
  <c r="N100" i="28"/>
  <c r="T100" i="30"/>
  <c r="F108" i="30"/>
  <c r="Z108" i="30"/>
  <c r="J100" i="28"/>
  <c r="Z100" i="30"/>
  <c r="T108" i="30"/>
  <c r="D168" i="28"/>
  <c r="G176" i="28"/>
  <c r="AA176" i="28"/>
  <c r="I168" i="30"/>
  <c r="S168" i="30"/>
  <c r="Y168" i="30"/>
  <c r="G170" i="30"/>
  <c r="O176" i="30"/>
  <c r="Q118" i="28"/>
  <c r="H118" i="28"/>
  <c r="X118" i="28"/>
  <c r="T168" i="28"/>
  <c r="P176" i="28"/>
  <c r="L168" i="28"/>
  <c r="P108" i="28"/>
  <c r="P100" i="30"/>
  <c r="G100" i="29"/>
  <c r="G104" i="29" s="1"/>
  <c r="O100" i="29"/>
  <c r="W100" i="29"/>
  <c r="G102" i="29"/>
  <c r="O102" i="29"/>
  <c r="W102" i="29"/>
  <c r="X108" i="29"/>
  <c r="G100" i="30"/>
  <c r="L100" i="30"/>
  <c r="W100" i="30"/>
  <c r="G102" i="30"/>
  <c r="G108" i="30"/>
  <c r="P108" i="29"/>
  <c r="S102" i="30"/>
  <c r="O104" i="30"/>
  <c r="H100" i="30"/>
  <c r="S100" i="30"/>
  <c r="X100" i="30"/>
  <c r="H108" i="30"/>
  <c r="X108" i="30"/>
  <c r="H168" i="30"/>
  <c r="L168" i="30"/>
  <c r="P168" i="30"/>
  <c r="T168" i="30"/>
  <c r="X168" i="30"/>
  <c r="H170" i="30"/>
  <c r="D168" i="30"/>
  <c r="D170" i="30"/>
  <c r="E102" i="30"/>
  <c r="I108" i="30"/>
  <c r="M108" i="30"/>
  <c r="U108" i="30"/>
  <c r="Y108" i="30"/>
  <c r="E100" i="30"/>
  <c r="Q100" i="30"/>
  <c r="P100" i="28"/>
  <c r="V100" i="28"/>
  <c r="F102" i="28"/>
  <c r="Z102" i="28"/>
  <c r="J108" i="28"/>
  <c r="D102" i="29"/>
  <c r="L108" i="29"/>
  <c r="R100" i="28"/>
  <c r="X102" i="28"/>
  <c r="X104" i="28" s="1"/>
  <c r="T108" i="29"/>
  <c r="H168" i="28"/>
  <c r="P168" i="28"/>
  <c r="X168" i="28"/>
  <c r="H176" i="28"/>
  <c r="S176" i="28"/>
  <c r="X176" i="28"/>
  <c r="L176" i="28"/>
  <c r="O176" i="28"/>
  <c r="T176" i="28"/>
  <c r="H170" i="29"/>
  <c r="P186" i="28"/>
  <c r="K170" i="28"/>
  <c r="K172" i="28" s="1"/>
  <c r="AA170" i="28"/>
  <c r="AA172" i="28" s="1"/>
  <c r="D170" i="29"/>
  <c r="F168" i="28"/>
  <c r="J168" i="28"/>
  <c r="J172" i="28" s="1"/>
  <c r="N168" i="28"/>
  <c r="R168" i="28"/>
  <c r="V168" i="28"/>
  <c r="Z168" i="28"/>
  <c r="P170" i="29"/>
  <c r="W170" i="29"/>
  <c r="S170" i="28"/>
  <c r="S172" i="28" s="1"/>
  <c r="G168" i="28"/>
  <c r="G172" i="28" s="1"/>
  <c r="O168" i="28"/>
  <c r="O172" i="28" s="1"/>
  <c r="W168" i="28"/>
  <c r="W172" i="28" s="1"/>
  <c r="F176" i="28"/>
  <c r="J176" i="28"/>
  <c r="N176" i="28"/>
  <c r="R176" i="28"/>
  <c r="V176" i="28"/>
  <c r="Z176" i="28"/>
  <c r="D168" i="29"/>
  <c r="L170" i="29"/>
  <c r="H100" i="28"/>
  <c r="H104" i="28" s="1"/>
  <c r="H120" i="28" s="1"/>
  <c r="X100" i="28"/>
  <c r="P102" i="28"/>
  <c r="D100" i="28"/>
  <c r="T100" i="28"/>
  <c r="L102" i="28"/>
  <c r="D108" i="28"/>
  <c r="T108" i="28"/>
  <c r="AA104" i="29"/>
  <c r="F108" i="29"/>
  <c r="J108" i="29"/>
  <c r="N108" i="29"/>
  <c r="R108" i="29"/>
  <c r="V108" i="29"/>
  <c r="Z108" i="29"/>
  <c r="L100" i="28"/>
  <c r="D102" i="28"/>
  <c r="T102" i="28"/>
  <c r="R102" i="29"/>
  <c r="Z102" i="29"/>
  <c r="Q172" i="29"/>
  <c r="G168" i="29"/>
  <c r="K168" i="29"/>
  <c r="O168" i="29"/>
  <c r="S168" i="29"/>
  <c r="S172" i="29" s="1"/>
  <c r="W168" i="29"/>
  <c r="AA168" i="29"/>
  <c r="X170" i="29"/>
  <c r="G176" i="29"/>
  <c r="K176" i="29"/>
  <c r="O176" i="29"/>
  <c r="S176" i="29"/>
  <c r="AA176" i="29"/>
  <c r="H168" i="29"/>
  <c r="L168" i="29"/>
  <c r="L172" i="29" s="1"/>
  <c r="P168" i="29"/>
  <c r="T168" i="29"/>
  <c r="X168" i="29"/>
  <c r="H176" i="29"/>
  <c r="L176" i="29"/>
  <c r="P176" i="29"/>
  <c r="F100" i="29"/>
  <c r="F104" i="29" s="1"/>
  <c r="J100" i="29"/>
  <c r="J104" i="29" s="1"/>
  <c r="N100" i="29"/>
  <c r="N104" i="29" s="1"/>
  <c r="R100" i="29"/>
  <c r="V100" i="29"/>
  <c r="V104" i="29" s="1"/>
  <c r="Z100" i="29"/>
  <c r="X102" i="29"/>
  <c r="H100" i="29"/>
  <c r="L100" i="29"/>
  <c r="H170" i="28"/>
  <c r="L170" i="28"/>
  <c r="P170" i="28"/>
  <c r="P172" i="28" s="1"/>
  <c r="T170" i="28"/>
  <c r="X170" i="28"/>
  <c r="D170" i="28"/>
  <c r="D176" i="28"/>
  <c r="G100" i="28"/>
  <c r="K100" i="28"/>
  <c r="O100" i="28"/>
  <c r="S100" i="28"/>
  <c r="W100" i="28"/>
  <c r="AA100" i="28"/>
  <c r="G102" i="28"/>
  <c r="K102" i="28"/>
  <c r="O102" i="28"/>
  <c r="S102" i="28"/>
  <c r="W102" i="28"/>
  <c r="AA102" i="28"/>
  <c r="G108" i="28"/>
  <c r="K108" i="28"/>
  <c r="O108" i="28"/>
  <c r="S108" i="28"/>
  <c r="W108" i="28"/>
  <c r="AA108" i="28"/>
  <c r="I104" i="28"/>
  <c r="I120" i="28" s="1"/>
  <c r="Y104" i="28"/>
  <c r="F172" i="30"/>
  <c r="Z172" i="30"/>
  <c r="W184" i="30"/>
  <c r="W186" i="30" s="1"/>
  <c r="Y184" i="30"/>
  <c r="Y186" i="30" s="1"/>
  <c r="Y182" i="30"/>
  <c r="Y181" i="30"/>
  <c r="L195" i="30"/>
  <c r="L193" i="30"/>
  <c r="L179" i="30"/>
  <c r="L180" i="30" s="1"/>
  <c r="T195" i="30"/>
  <c r="T193" i="30"/>
  <c r="T179" i="30"/>
  <c r="T180" i="30" s="1"/>
  <c r="I196" i="30"/>
  <c r="I194" i="30"/>
  <c r="T170" i="30"/>
  <c r="I179" i="30"/>
  <c r="I180" i="30" s="1"/>
  <c r="O192" i="30"/>
  <c r="U194" i="30"/>
  <c r="E196" i="30"/>
  <c r="J179" i="30"/>
  <c r="J180" i="30" s="1"/>
  <c r="N179" i="30"/>
  <c r="N180" i="30" s="1"/>
  <c r="N195" i="30"/>
  <c r="N193" i="30"/>
  <c r="R179" i="30"/>
  <c r="R180" i="30" s="1"/>
  <c r="V195" i="30"/>
  <c r="V193" i="30"/>
  <c r="V179" i="30"/>
  <c r="V180" i="30" s="1"/>
  <c r="AA195" i="30"/>
  <c r="AA193" i="30"/>
  <c r="K196" i="30"/>
  <c r="K194" i="30"/>
  <c r="S196" i="30"/>
  <c r="S194" i="30"/>
  <c r="AD149" i="30"/>
  <c r="J170" i="30"/>
  <c r="J172" i="30" s="1"/>
  <c r="N170" i="30"/>
  <c r="R170" i="30"/>
  <c r="V170" i="30"/>
  <c r="E179" i="30"/>
  <c r="E180" i="30" s="1"/>
  <c r="M179" i="30"/>
  <c r="M180" i="30" s="1"/>
  <c r="U179" i="30"/>
  <c r="U180" i="30" s="1"/>
  <c r="AA179" i="30"/>
  <c r="AA180" i="30" s="1"/>
  <c r="U192" i="30"/>
  <c r="R193" i="30"/>
  <c r="E194" i="30"/>
  <c r="O194" i="30"/>
  <c r="U196" i="30"/>
  <c r="F195" i="30"/>
  <c r="F193" i="30"/>
  <c r="F179" i="30"/>
  <c r="F180" i="30" s="1"/>
  <c r="K195" i="30"/>
  <c r="K193" i="30"/>
  <c r="S195" i="30"/>
  <c r="S193" i="30"/>
  <c r="D196" i="30"/>
  <c r="D194" i="30"/>
  <c r="H196" i="30"/>
  <c r="H194" i="30"/>
  <c r="L196" i="30"/>
  <c r="L194" i="30"/>
  <c r="P196" i="30"/>
  <c r="P194" i="30"/>
  <c r="T196" i="30"/>
  <c r="T194" i="30"/>
  <c r="X196" i="30"/>
  <c r="X194" i="30"/>
  <c r="G169" i="30"/>
  <c r="K169" i="30"/>
  <c r="S169" i="30"/>
  <c r="W169" i="30"/>
  <c r="AA169" i="30"/>
  <c r="K170" i="30"/>
  <c r="O170" i="30"/>
  <c r="O172" i="30" s="1"/>
  <c r="S170" i="30"/>
  <c r="W170" i="30"/>
  <c r="AA170" i="30"/>
  <c r="G171" i="30"/>
  <c r="K171" i="30"/>
  <c r="S171" i="30"/>
  <c r="W171" i="30"/>
  <c r="G179" i="30"/>
  <c r="G180" i="30" s="1"/>
  <c r="O179" i="30"/>
  <c r="O180" i="30" s="1"/>
  <c r="M192" i="30"/>
  <c r="J193" i="30"/>
  <c r="U193" i="30"/>
  <c r="G194" i="30"/>
  <c r="G198" i="30" s="1"/>
  <c r="R194" i="30"/>
  <c r="E195" i="30"/>
  <c r="M196" i="30"/>
  <c r="W196" i="30"/>
  <c r="H195" i="30"/>
  <c r="H193" i="30"/>
  <c r="H179" i="30"/>
  <c r="H180" i="30" s="1"/>
  <c r="P195" i="30"/>
  <c r="P193" i="30"/>
  <c r="P179" i="30"/>
  <c r="P180" i="30" s="1"/>
  <c r="X195" i="30"/>
  <c r="X193" i="30"/>
  <c r="X179" i="30"/>
  <c r="X180" i="30" s="1"/>
  <c r="Q196" i="30"/>
  <c r="Q194" i="30"/>
  <c r="Y196" i="30"/>
  <c r="Y194" i="30"/>
  <c r="L170" i="30"/>
  <c r="L172" i="30" s="1"/>
  <c r="P170" i="30"/>
  <c r="X170" i="30"/>
  <c r="Q179" i="30"/>
  <c r="Q180" i="30" s="1"/>
  <c r="D195" i="30"/>
  <c r="D193" i="30"/>
  <c r="D179" i="30"/>
  <c r="D180" i="30" s="1"/>
  <c r="I195" i="30"/>
  <c r="I193" i="30"/>
  <c r="Q195" i="30"/>
  <c r="Q193" i="30"/>
  <c r="Y195" i="30"/>
  <c r="Y193" i="30"/>
  <c r="F196" i="30"/>
  <c r="F194" i="30"/>
  <c r="N196" i="30"/>
  <c r="N194" i="30"/>
  <c r="V196" i="30"/>
  <c r="V194" i="30"/>
  <c r="AA196" i="30"/>
  <c r="AA194" i="30"/>
  <c r="I169" i="30"/>
  <c r="Q169" i="30"/>
  <c r="Y169" i="30"/>
  <c r="E170" i="30"/>
  <c r="E172" i="30" s="1"/>
  <c r="I170" i="30"/>
  <c r="M170" i="30"/>
  <c r="Q170" i="30"/>
  <c r="U170" i="30"/>
  <c r="U172" i="30" s="1"/>
  <c r="Y170" i="30"/>
  <c r="I171" i="30"/>
  <c r="M171" i="30"/>
  <c r="Q171" i="30"/>
  <c r="Y171" i="30"/>
  <c r="K179" i="30"/>
  <c r="K180" i="30" s="1"/>
  <c r="S179" i="30"/>
  <c r="S180" i="30" s="1"/>
  <c r="Z182" i="30"/>
  <c r="Z184" i="30"/>
  <c r="Z186" i="30" s="1"/>
  <c r="Z181" i="30"/>
  <c r="J195" i="30"/>
  <c r="J114" i="30"/>
  <c r="R116" i="30"/>
  <c r="R118" i="30" s="1"/>
  <c r="R114" i="30"/>
  <c r="R113" i="30"/>
  <c r="AD82" i="30"/>
  <c r="K104" i="30"/>
  <c r="F101" i="30"/>
  <c r="F124" i="30"/>
  <c r="J124" i="30"/>
  <c r="J101" i="30"/>
  <c r="N124" i="30"/>
  <c r="N101" i="30"/>
  <c r="R124" i="30"/>
  <c r="R101" i="30"/>
  <c r="V101" i="30"/>
  <c r="V124" i="30"/>
  <c r="Z124" i="30"/>
  <c r="Z101" i="30"/>
  <c r="F127" i="30"/>
  <c r="F111" i="30"/>
  <c r="F112" i="30" s="1"/>
  <c r="F102" i="30"/>
  <c r="F125" i="30"/>
  <c r="K111" i="30"/>
  <c r="K112" i="30" s="1"/>
  <c r="K127" i="30"/>
  <c r="K125" i="30"/>
  <c r="O125" i="30"/>
  <c r="O111" i="30"/>
  <c r="O112" i="30" s="1"/>
  <c r="O127" i="30"/>
  <c r="S111" i="30"/>
  <c r="S112" i="30" s="1"/>
  <c r="S125" i="30"/>
  <c r="S127" i="30"/>
  <c r="W111" i="30"/>
  <c r="W112" i="30" s="1"/>
  <c r="W127" i="30"/>
  <c r="W125" i="30"/>
  <c r="W102" i="30"/>
  <c r="D126" i="30"/>
  <c r="D128" i="30"/>
  <c r="D103" i="30"/>
  <c r="H126" i="30"/>
  <c r="H111" i="30"/>
  <c r="H112" i="30" s="1"/>
  <c r="H128" i="30"/>
  <c r="H103" i="30"/>
  <c r="L128" i="30"/>
  <c r="L126" i="30"/>
  <c r="L103" i="30"/>
  <c r="P128" i="30"/>
  <c r="P126" i="30"/>
  <c r="P103" i="30"/>
  <c r="T126" i="30"/>
  <c r="T111" i="30"/>
  <c r="T112" i="30" s="1"/>
  <c r="T128" i="30"/>
  <c r="T103" i="30"/>
  <c r="X126" i="30"/>
  <c r="X111" i="30"/>
  <c r="X112" i="30" s="1"/>
  <c r="X103" i="30"/>
  <c r="X128" i="30"/>
  <c r="Z116" i="30"/>
  <c r="Z118" i="30" s="1"/>
  <c r="Z114" i="30"/>
  <c r="Z113" i="30"/>
  <c r="T125" i="30"/>
  <c r="T127" i="30"/>
  <c r="X127" i="30"/>
  <c r="X125" i="30"/>
  <c r="E128" i="30"/>
  <c r="E126" i="30"/>
  <c r="I128" i="30"/>
  <c r="I126" i="30"/>
  <c r="M128" i="30"/>
  <c r="M126" i="30"/>
  <c r="Q128" i="30"/>
  <c r="Q126" i="30"/>
  <c r="U128" i="30"/>
  <c r="U126" i="30"/>
  <c r="U103" i="30"/>
  <c r="Y128" i="30"/>
  <c r="Y126" i="30"/>
  <c r="Y103" i="30"/>
  <c r="D101" i="30"/>
  <c r="H101" i="30"/>
  <c r="L101" i="30"/>
  <c r="T101" i="30"/>
  <c r="X101" i="30"/>
  <c r="D102" i="30"/>
  <c r="H102" i="30"/>
  <c r="P102" i="30"/>
  <c r="P104" i="30" s="1"/>
  <c r="T102" i="30"/>
  <c r="X102" i="30"/>
  <c r="N125" i="30"/>
  <c r="AA126" i="30"/>
  <c r="P111" i="30"/>
  <c r="P112" i="30" s="1"/>
  <c r="L127" i="30"/>
  <c r="L125" i="30"/>
  <c r="D125" i="30"/>
  <c r="D127" i="30"/>
  <c r="I127" i="30"/>
  <c r="I125" i="30"/>
  <c r="I111" i="30"/>
  <c r="I112" i="30" s="1"/>
  <c r="M127" i="30"/>
  <c r="M125" i="30"/>
  <c r="M111" i="30"/>
  <c r="M112" i="30" s="1"/>
  <c r="Q127" i="30"/>
  <c r="Q125" i="30"/>
  <c r="Q111" i="30"/>
  <c r="Q112" i="30" s="1"/>
  <c r="U127" i="30"/>
  <c r="U125" i="30"/>
  <c r="U130" i="30" s="1"/>
  <c r="U132" i="30" s="1"/>
  <c r="U111" i="30"/>
  <c r="U112" i="30" s="1"/>
  <c r="Y127" i="30"/>
  <c r="Y125" i="30"/>
  <c r="Y111" i="30"/>
  <c r="Y112" i="30" s="1"/>
  <c r="F128" i="30"/>
  <c r="F126" i="30"/>
  <c r="J128" i="30"/>
  <c r="J126" i="30"/>
  <c r="N128" i="30"/>
  <c r="N126" i="30"/>
  <c r="R128" i="30"/>
  <c r="R126" i="30"/>
  <c r="V128" i="30"/>
  <c r="V126" i="30"/>
  <c r="I102" i="30"/>
  <c r="M102" i="30"/>
  <c r="Q102" i="30"/>
  <c r="U102" i="30"/>
  <c r="Y102" i="30"/>
  <c r="V103" i="30"/>
  <c r="AA103" i="30"/>
  <c r="D111" i="30"/>
  <c r="D112" i="30" s="1"/>
  <c r="L111" i="30"/>
  <c r="L112" i="30" s="1"/>
  <c r="P125" i="30"/>
  <c r="E127" i="30"/>
  <c r="E125" i="30"/>
  <c r="E111" i="30"/>
  <c r="E112" i="30" s="1"/>
  <c r="J127" i="30"/>
  <c r="J125" i="30"/>
  <c r="R127" i="30"/>
  <c r="R125" i="30"/>
  <c r="V127" i="30"/>
  <c r="V125" i="30"/>
  <c r="AA125" i="30"/>
  <c r="AA127" i="30"/>
  <c r="AA111" i="30"/>
  <c r="AA112" i="30" s="1"/>
  <c r="G128" i="30"/>
  <c r="G126" i="30"/>
  <c r="G111" i="30"/>
  <c r="G112" i="30" s="1"/>
  <c r="K126" i="30"/>
  <c r="K128" i="30"/>
  <c r="O128" i="30"/>
  <c r="O126" i="30"/>
  <c r="S126" i="30"/>
  <c r="S128" i="30"/>
  <c r="W128" i="30"/>
  <c r="W126" i="30"/>
  <c r="AD81" i="30"/>
  <c r="J102" i="30"/>
  <c r="N102" i="30"/>
  <c r="R102" i="30"/>
  <c r="V102" i="30"/>
  <c r="F103" i="30"/>
  <c r="J103" i="30"/>
  <c r="N103" i="30"/>
  <c r="R103" i="30"/>
  <c r="W103" i="30"/>
  <c r="N111" i="30"/>
  <c r="N112" i="30" s="1"/>
  <c r="V111" i="30"/>
  <c r="V112" i="30" s="1"/>
  <c r="H125" i="30"/>
  <c r="D184" i="29"/>
  <c r="D186" i="29" s="1"/>
  <c r="D182" i="29"/>
  <c r="D181" i="29"/>
  <c r="H184" i="29"/>
  <c r="H186" i="29" s="1"/>
  <c r="H181" i="29"/>
  <c r="H182" i="29"/>
  <c r="P184" i="29"/>
  <c r="P186" i="29" s="1"/>
  <c r="P181" i="29"/>
  <c r="P182" i="29"/>
  <c r="L184" i="29"/>
  <c r="L186" i="29" s="1"/>
  <c r="L182" i="29"/>
  <c r="L181" i="29"/>
  <c r="X184" i="29"/>
  <c r="X186" i="29" s="1"/>
  <c r="X182" i="29"/>
  <c r="X181" i="29"/>
  <c r="V184" i="29"/>
  <c r="V186" i="29" s="1"/>
  <c r="F172" i="29"/>
  <c r="F184" i="29"/>
  <c r="F186" i="29" s="1"/>
  <c r="F182" i="29"/>
  <c r="F181" i="29"/>
  <c r="J184" i="29"/>
  <c r="J186" i="29" s="1"/>
  <c r="J182" i="29"/>
  <c r="J181" i="29"/>
  <c r="N184" i="29"/>
  <c r="N186" i="29" s="1"/>
  <c r="N182" i="29"/>
  <c r="N181" i="29"/>
  <c r="G198" i="29"/>
  <c r="G200" i="29" s="1"/>
  <c r="K198" i="29"/>
  <c r="K200" i="29" s="1"/>
  <c r="O198" i="29"/>
  <c r="O200" i="29" s="1"/>
  <c r="Y179" i="29"/>
  <c r="Y180" i="29" s="1"/>
  <c r="Y193" i="29"/>
  <c r="Y195" i="29"/>
  <c r="S179" i="29"/>
  <c r="S180" i="29" s="1"/>
  <c r="S194" i="29"/>
  <c r="S196" i="29"/>
  <c r="W179" i="29"/>
  <c r="W180" i="29" s="1"/>
  <c r="W194" i="29"/>
  <c r="W196" i="29"/>
  <c r="AA179" i="29"/>
  <c r="AA180" i="29" s="1"/>
  <c r="AA194" i="29"/>
  <c r="AA196" i="29"/>
  <c r="E169" i="29"/>
  <c r="E172" i="29" s="1"/>
  <c r="K169" i="29"/>
  <c r="K172" i="29" s="1"/>
  <c r="U169" i="29"/>
  <c r="U172" i="29" s="1"/>
  <c r="AA169" i="29"/>
  <c r="Y170" i="29"/>
  <c r="W171" i="29"/>
  <c r="E198" i="29"/>
  <c r="E200" i="29" s="1"/>
  <c r="I198" i="29"/>
  <c r="I200" i="29" s="1"/>
  <c r="M198" i="29"/>
  <c r="M200" i="29" s="1"/>
  <c r="T195" i="29"/>
  <c r="T193" i="29"/>
  <c r="T170" i="29"/>
  <c r="T172" i="29" s="1"/>
  <c r="Q179" i="29"/>
  <c r="Q180" i="29" s="1"/>
  <c r="Q194" i="29"/>
  <c r="Q196" i="29"/>
  <c r="Q198" i="29" s="1"/>
  <c r="U179" i="29"/>
  <c r="U180" i="29" s="1"/>
  <c r="U196" i="29"/>
  <c r="U194" i="29"/>
  <c r="Y194" i="29"/>
  <c r="Y196" i="29"/>
  <c r="M169" i="29"/>
  <c r="M172" i="29" s="1"/>
  <c r="Y171" i="29"/>
  <c r="T179" i="29"/>
  <c r="T180" i="29" s="1"/>
  <c r="D200" i="29"/>
  <c r="D198" i="29"/>
  <c r="H198" i="29"/>
  <c r="H200" i="29" s="1"/>
  <c r="L198" i="29"/>
  <c r="L200" i="29" s="1"/>
  <c r="P195" i="29"/>
  <c r="P193" i="29"/>
  <c r="P196" i="29"/>
  <c r="P194" i="29"/>
  <c r="T196" i="29"/>
  <c r="T194" i="29"/>
  <c r="X196" i="29"/>
  <c r="X194" i="29"/>
  <c r="X198" i="29" s="1"/>
  <c r="AD149" i="29"/>
  <c r="F169" i="29"/>
  <c r="J169" i="29"/>
  <c r="N169" i="29"/>
  <c r="N172" i="29" s="1"/>
  <c r="R169" i="29"/>
  <c r="R172" i="29" s="1"/>
  <c r="V169" i="29"/>
  <c r="Z169" i="29"/>
  <c r="Z172" i="29" s="1"/>
  <c r="V170" i="29"/>
  <c r="G184" i="29"/>
  <c r="G186" i="29" s="1"/>
  <c r="G182" i="29"/>
  <c r="G181" i="29"/>
  <c r="K184" i="29"/>
  <c r="K186" i="29" s="1"/>
  <c r="K182" i="29"/>
  <c r="K181" i="29"/>
  <c r="O184" i="29"/>
  <c r="O186" i="29" s="1"/>
  <c r="O182" i="29"/>
  <c r="O181" i="29"/>
  <c r="F198" i="29"/>
  <c r="F200" i="29" s="1"/>
  <c r="J198" i="29"/>
  <c r="J200" i="29" s="1"/>
  <c r="N198" i="29"/>
  <c r="N200" i="29" s="1"/>
  <c r="V195" i="29"/>
  <c r="V193" i="29"/>
  <c r="R196" i="29"/>
  <c r="R194" i="29"/>
  <c r="V196" i="29"/>
  <c r="V194" i="29"/>
  <c r="Z196" i="29"/>
  <c r="Z194" i="29"/>
  <c r="E184" i="29"/>
  <c r="E186" i="29" s="1"/>
  <c r="E182" i="29"/>
  <c r="E181" i="29"/>
  <c r="I184" i="29"/>
  <c r="I186" i="29" s="1"/>
  <c r="I182" i="29"/>
  <c r="I181" i="29"/>
  <c r="M184" i="29"/>
  <c r="M186" i="29" s="1"/>
  <c r="M182" i="29"/>
  <c r="M181" i="29"/>
  <c r="R179" i="29"/>
  <c r="R180" i="29" s="1"/>
  <c r="Z179" i="29"/>
  <c r="Z180" i="29" s="1"/>
  <c r="X114" i="29"/>
  <c r="X116" i="29"/>
  <c r="X118" i="29" s="1"/>
  <c r="X113" i="29"/>
  <c r="H114" i="29"/>
  <c r="H116" i="29"/>
  <c r="H118" i="29" s="1"/>
  <c r="H113" i="29"/>
  <c r="D124" i="29"/>
  <c r="D101" i="29"/>
  <c r="L124" i="29"/>
  <c r="L101" i="29"/>
  <c r="T124" i="29"/>
  <c r="T101" i="29"/>
  <c r="P103" i="29"/>
  <c r="P128" i="29"/>
  <c r="P126" i="29"/>
  <c r="E116" i="29"/>
  <c r="E118" i="29" s="1"/>
  <c r="E114" i="29"/>
  <c r="E113" i="29"/>
  <c r="I116" i="29"/>
  <c r="I118" i="29" s="1"/>
  <c r="I113" i="29"/>
  <c r="I114" i="29"/>
  <c r="M116" i="29"/>
  <c r="M118" i="29" s="1"/>
  <c r="M114" i="29"/>
  <c r="M113" i="29"/>
  <c r="O132" i="29"/>
  <c r="K130" i="29"/>
  <c r="K132" i="29" s="1"/>
  <c r="H101" i="29"/>
  <c r="H124" i="29"/>
  <c r="P124" i="29"/>
  <c r="P101" i="29"/>
  <c r="X101" i="29"/>
  <c r="X124" i="29"/>
  <c r="P127" i="29"/>
  <c r="P125" i="29"/>
  <c r="AD82" i="29"/>
  <c r="P102" i="29"/>
  <c r="T128" i="29"/>
  <c r="T126" i="29"/>
  <c r="T103" i="29"/>
  <c r="X103" i="29"/>
  <c r="X128" i="29"/>
  <c r="X126" i="29"/>
  <c r="E124" i="29"/>
  <c r="E101" i="29"/>
  <c r="E104" i="29" s="1"/>
  <c r="I124" i="29"/>
  <c r="I101" i="29"/>
  <c r="I104" i="29" s="1"/>
  <c r="M124" i="29"/>
  <c r="M101" i="29"/>
  <c r="M104" i="29" s="1"/>
  <c r="Q124" i="29"/>
  <c r="Q101" i="29"/>
  <c r="Q114" i="29"/>
  <c r="Q116" i="29"/>
  <c r="Q118" i="29" s="1"/>
  <c r="Q113" i="29"/>
  <c r="D116" i="29"/>
  <c r="D118" i="29" s="1"/>
  <c r="D114" i="29"/>
  <c r="D113" i="29"/>
  <c r="L116" i="29"/>
  <c r="L118" i="29" s="1"/>
  <c r="L114" i="29"/>
  <c r="L113" i="29"/>
  <c r="P111" i="29"/>
  <c r="P112" i="29" s="1"/>
  <c r="F132" i="29"/>
  <c r="F130" i="29"/>
  <c r="J130" i="29"/>
  <c r="J132" i="29" s="1"/>
  <c r="N132" i="29"/>
  <c r="N130" i="29"/>
  <c r="V127" i="29"/>
  <c r="V125" i="29"/>
  <c r="V111" i="29"/>
  <c r="V112" i="29" s="1"/>
  <c r="R128" i="29"/>
  <c r="R126" i="29"/>
  <c r="R111" i="29"/>
  <c r="R112" i="29" s="1"/>
  <c r="V128" i="29"/>
  <c r="V126" i="29"/>
  <c r="Z128" i="29"/>
  <c r="Z126" i="29"/>
  <c r="Z130" i="29" s="1"/>
  <c r="Z111" i="29"/>
  <c r="Z112" i="29" s="1"/>
  <c r="T102" i="29"/>
  <c r="F116" i="29"/>
  <c r="F118" i="29" s="1"/>
  <c r="F114" i="29"/>
  <c r="F113" i="29"/>
  <c r="J116" i="29"/>
  <c r="J118" i="29" s="1"/>
  <c r="J114" i="29"/>
  <c r="J113" i="29"/>
  <c r="N116" i="29"/>
  <c r="N118" i="29" s="1"/>
  <c r="N114" i="29"/>
  <c r="N113" i="29"/>
  <c r="T111" i="29"/>
  <c r="T112" i="29" s="1"/>
  <c r="S126" i="29"/>
  <c r="S130" i="29" s="1"/>
  <c r="AA126" i="29"/>
  <c r="S128" i="29"/>
  <c r="AA128" i="29"/>
  <c r="Q128" i="29"/>
  <c r="Q126" i="29"/>
  <c r="U128" i="29"/>
  <c r="U126" i="29"/>
  <c r="U130" i="29" s="1"/>
  <c r="Y128" i="29"/>
  <c r="Y126" i="29"/>
  <c r="Y111" i="29"/>
  <c r="Y112" i="29" s="1"/>
  <c r="Y127" i="29"/>
  <c r="Y125" i="29"/>
  <c r="S116" i="29"/>
  <c r="S118" i="29" s="1"/>
  <c r="S114" i="29"/>
  <c r="S113" i="29"/>
  <c r="W116" i="29"/>
  <c r="W118" i="29" s="1"/>
  <c r="W114" i="29"/>
  <c r="W113" i="29"/>
  <c r="AA116" i="29"/>
  <c r="AA118" i="29" s="1"/>
  <c r="AA114" i="29"/>
  <c r="AA113" i="29"/>
  <c r="U101" i="29"/>
  <c r="U104" i="29" s="1"/>
  <c r="Y101" i="29"/>
  <c r="Y102" i="29"/>
  <c r="Q103" i="29"/>
  <c r="U103" i="29"/>
  <c r="Y103" i="29"/>
  <c r="G116" i="29"/>
  <c r="G118" i="29" s="1"/>
  <c r="G114" i="29"/>
  <c r="G113" i="29"/>
  <c r="K116" i="29"/>
  <c r="K118" i="29" s="1"/>
  <c r="K114" i="29"/>
  <c r="K113" i="29"/>
  <c r="O116" i="29"/>
  <c r="O118" i="29" s="1"/>
  <c r="O114" i="29"/>
  <c r="O113" i="29"/>
  <c r="U111" i="29"/>
  <c r="U112" i="29" s="1"/>
  <c r="T125" i="29"/>
  <c r="U172" i="28"/>
  <c r="D184" i="28"/>
  <c r="D186" i="28" s="1"/>
  <c r="D181" i="28"/>
  <c r="D182" i="28"/>
  <c r="H184" i="28"/>
  <c r="H186" i="28" s="1"/>
  <c r="H182" i="28"/>
  <c r="H181" i="28"/>
  <c r="T184" i="28"/>
  <c r="T186" i="28" s="1"/>
  <c r="T181" i="28"/>
  <c r="T182" i="28"/>
  <c r="X181" i="28"/>
  <c r="X182" i="28"/>
  <c r="X184" i="28"/>
  <c r="X186" i="28" s="1"/>
  <c r="K184" i="28"/>
  <c r="K186" i="28" s="1"/>
  <c r="K182" i="28"/>
  <c r="K181" i="28"/>
  <c r="L198" i="28"/>
  <c r="L200" i="28" s="1"/>
  <c r="T198" i="28"/>
  <c r="T200" i="28" s="1"/>
  <c r="Z172" i="28"/>
  <c r="F169" i="28"/>
  <c r="L169" i="28"/>
  <c r="V169" i="28"/>
  <c r="L181" i="28"/>
  <c r="L184" i="28"/>
  <c r="L186" i="28" s="1"/>
  <c r="S192" i="28"/>
  <c r="G184" i="28"/>
  <c r="G186" i="28" s="1"/>
  <c r="G182" i="28"/>
  <c r="G181" i="28"/>
  <c r="S184" i="28"/>
  <c r="S186" i="28" s="1"/>
  <c r="S182" i="28"/>
  <c r="S181" i="28"/>
  <c r="W184" i="28"/>
  <c r="W186" i="28" s="1"/>
  <c r="W182" i="28"/>
  <c r="W181" i="28"/>
  <c r="P182" i="28"/>
  <c r="O192" i="28"/>
  <c r="D198" i="28"/>
  <c r="D200" i="28" s="1"/>
  <c r="H198" i="28"/>
  <c r="H200" i="28" s="1"/>
  <c r="P198" i="28"/>
  <c r="P200" i="28" s="1"/>
  <c r="X198" i="28"/>
  <c r="X200" i="28" s="1"/>
  <c r="E198" i="28"/>
  <c r="E200" i="28" s="1"/>
  <c r="I198" i="28"/>
  <c r="I200" i="28" s="1"/>
  <c r="M198" i="28"/>
  <c r="M200" i="28" s="1"/>
  <c r="Q198" i="28"/>
  <c r="Q200" i="28" s="1"/>
  <c r="U198" i="28"/>
  <c r="U200" i="28" s="1"/>
  <c r="Y198" i="28"/>
  <c r="Y200" i="28" s="1"/>
  <c r="H169" i="28"/>
  <c r="H172" i="28" s="1"/>
  <c r="M169" i="28"/>
  <c r="R169" i="28"/>
  <c r="X169" i="28"/>
  <c r="E184" i="28"/>
  <c r="E186" i="28" s="1"/>
  <c r="E182" i="28"/>
  <c r="E181" i="28"/>
  <c r="I184" i="28"/>
  <c r="I186" i="28" s="1"/>
  <c r="I182" i="28"/>
  <c r="I181" i="28"/>
  <c r="M184" i="28"/>
  <c r="M186" i="28" s="1"/>
  <c r="M182" i="28"/>
  <c r="M181" i="28"/>
  <c r="Q184" i="28"/>
  <c r="Q186" i="28" s="1"/>
  <c r="Q182" i="28"/>
  <c r="Q181" i="28"/>
  <c r="U184" i="28"/>
  <c r="U186" i="28" s="1"/>
  <c r="U182" i="28"/>
  <c r="U181" i="28"/>
  <c r="Y184" i="28"/>
  <c r="Y186" i="28" s="1"/>
  <c r="Y182" i="28"/>
  <c r="Y181" i="28"/>
  <c r="P181" i="28"/>
  <c r="G192" i="28"/>
  <c r="W192" i="28"/>
  <c r="M172" i="28"/>
  <c r="O184" i="28"/>
  <c r="O186" i="28" s="1"/>
  <c r="O182" i="28"/>
  <c r="O181" i="28"/>
  <c r="AA184" i="28"/>
  <c r="AA186" i="28" s="1"/>
  <c r="AA182" i="28"/>
  <c r="AA181" i="28"/>
  <c r="F198" i="28"/>
  <c r="F200" i="28" s="1"/>
  <c r="J200" i="28"/>
  <c r="J198" i="28"/>
  <c r="N198" i="28"/>
  <c r="N200" i="28" s="1"/>
  <c r="R198" i="28"/>
  <c r="R200" i="28" s="1"/>
  <c r="V198" i="28"/>
  <c r="V200" i="28" s="1"/>
  <c r="Z198" i="28"/>
  <c r="Z200" i="28" s="1"/>
  <c r="D169" i="28"/>
  <c r="D172" i="28" s="1"/>
  <c r="I169" i="28"/>
  <c r="I172" i="28" s="1"/>
  <c r="N169" i="28"/>
  <c r="T169" i="28"/>
  <c r="Y169" i="28"/>
  <c r="Y172" i="28" s="1"/>
  <c r="F184" i="28"/>
  <c r="F186" i="28" s="1"/>
  <c r="F182" i="28"/>
  <c r="F181" i="28"/>
  <c r="J184" i="28"/>
  <c r="J186" i="28" s="1"/>
  <c r="J182" i="28"/>
  <c r="J181" i="28"/>
  <c r="N184" i="28"/>
  <c r="N186" i="28" s="1"/>
  <c r="N182" i="28"/>
  <c r="N181" i="28"/>
  <c r="R184" i="28"/>
  <c r="R186" i="28" s="1"/>
  <c r="R182" i="28"/>
  <c r="R181" i="28"/>
  <c r="V184" i="28"/>
  <c r="V186" i="28" s="1"/>
  <c r="V182" i="28"/>
  <c r="V181" i="28"/>
  <c r="Z184" i="28"/>
  <c r="Z186" i="28" s="1"/>
  <c r="Z182" i="28"/>
  <c r="Z181" i="28"/>
  <c r="K192" i="28"/>
  <c r="AA192" i="28"/>
  <c r="K130" i="28"/>
  <c r="K132" i="28" s="1"/>
  <c r="D116" i="28"/>
  <c r="D118" i="28" s="1"/>
  <c r="D114" i="28"/>
  <c r="D113" i="28"/>
  <c r="T116" i="28"/>
  <c r="T118" i="28" s="1"/>
  <c r="T114" i="28"/>
  <c r="T113" i="28"/>
  <c r="D130" i="28"/>
  <c r="D132" i="28" s="1"/>
  <c r="L130" i="28"/>
  <c r="L132" i="28" s="1"/>
  <c r="T130" i="28"/>
  <c r="T132" i="28" s="1"/>
  <c r="E116" i="28"/>
  <c r="E118" i="28" s="1"/>
  <c r="E114" i="28"/>
  <c r="E113" i="28"/>
  <c r="M116" i="28"/>
  <c r="M118" i="28" s="1"/>
  <c r="M114" i="28"/>
  <c r="M113" i="28"/>
  <c r="U116" i="28"/>
  <c r="U118" i="28" s="1"/>
  <c r="U114" i="28"/>
  <c r="U113" i="28"/>
  <c r="AA132" i="28"/>
  <c r="AA130" i="28"/>
  <c r="L116" i="28"/>
  <c r="L118" i="28" s="1"/>
  <c r="L114" i="28"/>
  <c r="L113" i="28"/>
  <c r="F124" i="28"/>
  <c r="F101" i="28"/>
  <c r="N124" i="28"/>
  <c r="N101" i="28"/>
  <c r="N104" i="28" s="1"/>
  <c r="R124" i="28"/>
  <c r="R101" i="28"/>
  <c r="V124" i="28"/>
  <c r="V101" i="28"/>
  <c r="Z124" i="28"/>
  <c r="Z101" i="28"/>
  <c r="F116" i="28"/>
  <c r="F118" i="28" s="1"/>
  <c r="F114" i="28"/>
  <c r="F113" i="28"/>
  <c r="N116" i="28"/>
  <c r="N118" i="28" s="1"/>
  <c r="N114" i="28"/>
  <c r="N113" i="28"/>
  <c r="R116" i="28"/>
  <c r="R118" i="28" s="1"/>
  <c r="R114" i="28"/>
  <c r="R113" i="28"/>
  <c r="Z116" i="28"/>
  <c r="Z118" i="28" s="1"/>
  <c r="Z114" i="28"/>
  <c r="Z113" i="28"/>
  <c r="H113" i="28"/>
  <c r="X113" i="28"/>
  <c r="H114" i="28"/>
  <c r="X114" i="28"/>
  <c r="P116" i="28"/>
  <c r="P118" i="28" s="1"/>
  <c r="G130" i="28"/>
  <c r="G132" i="28" s="1"/>
  <c r="W130" i="28"/>
  <c r="W132" i="28" s="1"/>
  <c r="E101" i="28"/>
  <c r="E104" i="28" s="1"/>
  <c r="K101" i="28"/>
  <c r="U101" i="28"/>
  <c r="U104" i="28" s="1"/>
  <c r="AA101" i="28"/>
  <c r="G116" i="28"/>
  <c r="G118" i="28" s="1"/>
  <c r="G114" i="28"/>
  <c r="G113" i="28"/>
  <c r="K116" i="28"/>
  <c r="K118" i="28" s="1"/>
  <c r="K114" i="28"/>
  <c r="K113" i="28"/>
  <c r="O116" i="28"/>
  <c r="O118" i="28" s="1"/>
  <c r="O114" i="28"/>
  <c r="O113" i="28"/>
  <c r="S116" i="28"/>
  <c r="S118" i="28" s="1"/>
  <c r="S114" i="28"/>
  <c r="S113" i="28"/>
  <c r="W116" i="28"/>
  <c r="W118" i="28" s="1"/>
  <c r="W114" i="28"/>
  <c r="W113" i="28"/>
  <c r="AA116" i="28"/>
  <c r="AA118" i="28" s="1"/>
  <c r="AA114" i="28"/>
  <c r="AA113" i="28"/>
  <c r="I113" i="28"/>
  <c r="Q113" i="28"/>
  <c r="Y113" i="28"/>
  <c r="I114" i="28"/>
  <c r="Q114" i="28"/>
  <c r="Y114" i="28"/>
  <c r="H130" i="28"/>
  <c r="H132" i="28" s="1"/>
  <c r="P130" i="28"/>
  <c r="P132" i="28" s="1"/>
  <c r="X130" i="28"/>
  <c r="X132" i="28" s="1"/>
  <c r="L101" i="28"/>
  <c r="Q101" i="28"/>
  <c r="Q104" i="28" s="1"/>
  <c r="S124" i="28"/>
  <c r="J124" i="28"/>
  <c r="J101" i="28"/>
  <c r="J104" i="28" s="1"/>
  <c r="J116" i="28"/>
  <c r="J118" i="28" s="1"/>
  <c r="J114" i="28"/>
  <c r="J113" i="28"/>
  <c r="V116" i="28"/>
  <c r="V118" i="28" s="1"/>
  <c r="V114" i="28"/>
  <c r="V113" i="28"/>
  <c r="P113" i="28"/>
  <c r="E130" i="28"/>
  <c r="E132" i="28" s="1"/>
  <c r="I130" i="28"/>
  <c r="I132" i="28" s="1"/>
  <c r="M130" i="28"/>
  <c r="M132" i="28" s="1"/>
  <c r="Q130" i="28"/>
  <c r="Q132" i="28" s="1"/>
  <c r="U130" i="28"/>
  <c r="U132" i="28" s="1"/>
  <c r="Y130" i="28"/>
  <c r="Y132" i="28" s="1"/>
  <c r="M101" i="28"/>
  <c r="M104" i="28" s="1"/>
  <c r="AA196" i="24"/>
  <c r="Z196" i="24"/>
  <c r="Y196" i="24"/>
  <c r="X196" i="24"/>
  <c r="W196" i="24"/>
  <c r="V196" i="24"/>
  <c r="U196" i="24"/>
  <c r="T196" i="24"/>
  <c r="S196" i="24"/>
  <c r="R196" i="24"/>
  <c r="Q196" i="24"/>
  <c r="P196" i="24"/>
  <c r="O196" i="24"/>
  <c r="N196" i="24"/>
  <c r="M196" i="24"/>
  <c r="L196" i="24"/>
  <c r="K196" i="24"/>
  <c r="J196" i="24"/>
  <c r="I196" i="24"/>
  <c r="H196" i="24"/>
  <c r="G196" i="24"/>
  <c r="F196" i="24"/>
  <c r="E196" i="24"/>
  <c r="D196" i="24"/>
  <c r="AA195" i="24"/>
  <c r="Z195" i="24"/>
  <c r="Y195" i="24"/>
  <c r="X195" i="24"/>
  <c r="W195" i="24"/>
  <c r="V195" i="24"/>
  <c r="U195" i="24"/>
  <c r="T195" i="24"/>
  <c r="S195" i="24"/>
  <c r="R195" i="24"/>
  <c r="Q195" i="24"/>
  <c r="P195" i="24"/>
  <c r="O195" i="24"/>
  <c r="N195" i="24"/>
  <c r="M195" i="24"/>
  <c r="L195" i="24"/>
  <c r="K195" i="24"/>
  <c r="J195" i="24"/>
  <c r="I195" i="24"/>
  <c r="H195" i="24"/>
  <c r="G195" i="24"/>
  <c r="F195" i="24"/>
  <c r="E195" i="24"/>
  <c r="D195" i="24"/>
  <c r="AA194" i="24"/>
  <c r="Z194" i="24"/>
  <c r="Y194" i="24"/>
  <c r="X194" i="24"/>
  <c r="W194" i="24"/>
  <c r="V194" i="24"/>
  <c r="U194" i="24"/>
  <c r="T194" i="24"/>
  <c r="S194" i="24"/>
  <c r="R194" i="24"/>
  <c r="Q194" i="24"/>
  <c r="P194" i="24"/>
  <c r="O194" i="24"/>
  <c r="N194" i="24"/>
  <c r="M194" i="24"/>
  <c r="L194" i="24"/>
  <c r="K194" i="24"/>
  <c r="J194" i="24"/>
  <c r="I194" i="24"/>
  <c r="H194" i="24"/>
  <c r="G194" i="24"/>
  <c r="F194" i="24"/>
  <c r="E194" i="24"/>
  <c r="D194" i="24"/>
  <c r="AA193" i="24"/>
  <c r="Z193" i="24"/>
  <c r="Y193" i="24"/>
  <c r="X193" i="24"/>
  <c r="W193" i="24"/>
  <c r="V193" i="24"/>
  <c r="U193" i="24"/>
  <c r="T193" i="24"/>
  <c r="S193" i="24"/>
  <c r="R193" i="24"/>
  <c r="Q193" i="24"/>
  <c r="P193" i="24"/>
  <c r="O193" i="24"/>
  <c r="N193" i="24"/>
  <c r="M193" i="24"/>
  <c r="L193" i="24"/>
  <c r="K193" i="24"/>
  <c r="J193" i="24"/>
  <c r="I193" i="24"/>
  <c r="H193" i="24"/>
  <c r="G193" i="24"/>
  <c r="F193" i="24"/>
  <c r="E193" i="24"/>
  <c r="D193" i="24"/>
  <c r="AA179" i="24"/>
  <c r="AA180" i="24" s="1"/>
  <c r="Z179" i="24"/>
  <c r="Z180" i="24" s="1"/>
  <c r="Y179" i="24"/>
  <c r="Y180" i="24" s="1"/>
  <c r="Y184" i="24" s="1"/>
  <c r="Y186" i="24" s="1"/>
  <c r="X179" i="24"/>
  <c r="X180" i="24" s="1"/>
  <c r="X182" i="24" s="1"/>
  <c r="W179" i="24"/>
  <c r="W180" i="24" s="1"/>
  <c r="V179" i="24"/>
  <c r="V180" i="24" s="1"/>
  <c r="U179" i="24"/>
  <c r="U180" i="24" s="1"/>
  <c r="T179" i="24"/>
  <c r="T180" i="24" s="1"/>
  <c r="S179" i="24"/>
  <c r="S180" i="24" s="1"/>
  <c r="R179" i="24"/>
  <c r="R180" i="24" s="1"/>
  <c r="Q179" i="24"/>
  <c r="Q180" i="24" s="1"/>
  <c r="Q184" i="24" s="1"/>
  <c r="Q186" i="24" s="1"/>
  <c r="P179" i="24"/>
  <c r="P180" i="24" s="1"/>
  <c r="P184" i="24" s="1"/>
  <c r="O179" i="24"/>
  <c r="O180" i="24" s="1"/>
  <c r="N179" i="24"/>
  <c r="N180" i="24" s="1"/>
  <c r="M179" i="24"/>
  <c r="M180" i="24" s="1"/>
  <c r="L179" i="24"/>
  <c r="L180" i="24" s="1"/>
  <c r="K179" i="24"/>
  <c r="K180" i="24" s="1"/>
  <c r="J179" i="24"/>
  <c r="J180" i="24" s="1"/>
  <c r="I179" i="24"/>
  <c r="I180" i="24" s="1"/>
  <c r="I184" i="24" s="1"/>
  <c r="I186" i="24" s="1"/>
  <c r="H179" i="24"/>
  <c r="H180" i="24" s="1"/>
  <c r="H184" i="24" s="1"/>
  <c r="H186" i="24" s="1"/>
  <c r="G179" i="24"/>
  <c r="G180" i="24" s="1"/>
  <c r="F179" i="24"/>
  <c r="F180" i="24" s="1"/>
  <c r="E179" i="24"/>
  <c r="E180" i="24" s="1"/>
  <c r="D179" i="24"/>
  <c r="D180" i="24" s="1"/>
  <c r="AA176" i="24"/>
  <c r="Z176" i="24"/>
  <c r="Y176" i="24"/>
  <c r="X176" i="24"/>
  <c r="W176" i="24"/>
  <c r="V176" i="24"/>
  <c r="U176" i="24"/>
  <c r="T176" i="24"/>
  <c r="S176" i="24"/>
  <c r="R176" i="24"/>
  <c r="Q176" i="24"/>
  <c r="P176" i="24"/>
  <c r="O176" i="24"/>
  <c r="N176" i="24"/>
  <c r="M176" i="24"/>
  <c r="L176" i="24"/>
  <c r="K176" i="24"/>
  <c r="J176" i="24"/>
  <c r="I176" i="24"/>
  <c r="H176" i="24"/>
  <c r="G176" i="24"/>
  <c r="F176" i="24"/>
  <c r="E176" i="24"/>
  <c r="D176" i="24"/>
  <c r="AA175" i="24"/>
  <c r="Z175" i="24"/>
  <c r="Y175" i="24"/>
  <c r="X175" i="24"/>
  <c r="W175" i="24"/>
  <c r="V175" i="24"/>
  <c r="U175" i="24"/>
  <c r="T175" i="24"/>
  <c r="S175" i="24"/>
  <c r="R175" i="24"/>
  <c r="Q175" i="24"/>
  <c r="P175" i="24"/>
  <c r="O175" i="24"/>
  <c r="N175" i="24"/>
  <c r="M175" i="24"/>
  <c r="L175" i="24"/>
  <c r="K175" i="24"/>
  <c r="J175" i="24"/>
  <c r="I175" i="24"/>
  <c r="H175" i="24"/>
  <c r="G175" i="24"/>
  <c r="F175" i="24"/>
  <c r="E175" i="24"/>
  <c r="D175" i="24"/>
  <c r="AA171" i="24"/>
  <c r="Z171" i="24"/>
  <c r="Y171" i="24"/>
  <c r="X171" i="24"/>
  <c r="W171" i="24"/>
  <c r="V171" i="24"/>
  <c r="U171" i="24"/>
  <c r="T171" i="24"/>
  <c r="S171" i="24"/>
  <c r="R171" i="24"/>
  <c r="Q171" i="24"/>
  <c r="P171" i="24"/>
  <c r="O171" i="24"/>
  <c r="N171" i="24"/>
  <c r="M171" i="24"/>
  <c r="L171" i="24"/>
  <c r="K171" i="24"/>
  <c r="J171" i="24"/>
  <c r="I171" i="24"/>
  <c r="H171" i="24"/>
  <c r="G171" i="24"/>
  <c r="F171" i="24"/>
  <c r="E171" i="24"/>
  <c r="D171" i="24"/>
  <c r="AA170" i="24"/>
  <c r="Z170" i="24"/>
  <c r="Y170" i="24"/>
  <c r="X170" i="24"/>
  <c r="W170" i="24"/>
  <c r="V170" i="24"/>
  <c r="U170" i="24"/>
  <c r="T170" i="24"/>
  <c r="S170" i="24"/>
  <c r="R170" i="24"/>
  <c r="Q170" i="24"/>
  <c r="P170" i="24"/>
  <c r="O170" i="24"/>
  <c r="N170" i="24"/>
  <c r="M170" i="24"/>
  <c r="L170" i="24"/>
  <c r="K170" i="24"/>
  <c r="J170" i="24"/>
  <c r="I170" i="24"/>
  <c r="H170" i="24"/>
  <c r="G170" i="24"/>
  <c r="F170" i="24"/>
  <c r="E170" i="24"/>
  <c r="D170" i="24"/>
  <c r="Y169" i="24"/>
  <c r="AA168" i="24"/>
  <c r="Z168" i="24"/>
  <c r="Y168" i="24"/>
  <c r="X168" i="24"/>
  <c r="W168" i="24"/>
  <c r="V168" i="24"/>
  <c r="U168" i="24"/>
  <c r="T168" i="24"/>
  <c r="S168" i="24"/>
  <c r="R168" i="24"/>
  <c r="Q168" i="24"/>
  <c r="P168" i="24"/>
  <c r="O168" i="24"/>
  <c r="N168" i="24"/>
  <c r="M168" i="24"/>
  <c r="L168" i="24"/>
  <c r="K168" i="24"/>
  <c r="J168" i="24"/>
  <c r="I168" i="24"/>
  <c r="H168" i="24"/>
  <c r="G168" i="24"/>
  <c r="F168" i="24"/>
  <c r="E168" i="24"/>
  <c r="D168" i="24"/>
  <c r="AA166" i="24"/>
  <c r="Z166" i="24"/>
  <c r="Y166" i="24"/>
  <c r="X166" i="24"/>
  <c r="W166" i="24"/>
  <c r="V166" i="24"/>
  <c r="U166" i="24"/>
  <c r="T166" i="24"/>
  <c r="S166" i="24"/>
  <c r="R166" i="24"/>
  <c r="Q166" i="24"/>
  <c r="P166" i="24"/>
  <c r="O166" i="24"/>
  <c r="N166" i="24"/>
  <c r="M166" i="24"/>
  <c r="L166" i="24"/>
  <c r="K166" i="24"/>
  <c r="J166" i="24"/>
  <c r="I166" i="24"/>
  <c r="H166" i="24"/>
  <c r="G166" i="24"/>
  <c r="F166" i="24"/>
  <c r="E166" i="24"/>
  <c r="D166" i="24"/>
  <c r="AF151" i="24"/>
  <c r="AF154" i="24" s="1"/>
  <c r="AF155" i="24" s="1"/>
  <c r="AF156" i="24" s="1"/>
  <c r="AD150" i="24"/>
  <c r="AD149" i="24"/>
  <c r="AA147" i="24"/>
  <c r="AA169" i="24" s="1"/>
  <c r="Z147" i="24"/>
  <c r="Z192" i="24" s="1"/>
  <c r="Y147" i="24"/>
  <c r="Y192" i="24" s="1"/>
  <c r="X147" i="24"/>
  <c r="X192" i="24" s="1"/>
  <c r="W147" i="24"/>
  <c r="W169" i="24" s="1"/>
  <c r="V147" i="24"/>
  <c r="V192" i="24" s="1"/>
  <c r="U147" i="24"/>
  <c r="U192" i="24" s="1"/>
  <c r="T147" i="24"/>
  <c r="T192" i="24" s="1"/>
  <c r="S147" i="24"/>
  <c r="S169" i="24" s="1"/>
  <c r="R147" i="24"/>
  <c r="R192" i="24" s="1"/>
  <c r="Q147" i="24"/>
  <c r="Q192" i="24" s="1"/>
  <c r="P147" i="24"/>
  <c r="P169" i="24" s="1"/>
  <c r="O147" i="24"/>
  <c r="O169" i="24" s="1"/>
  <c r="N147" i="24"/>
  <c r="N192" i="24" s="1"/>
  <c r="M147" i="24"/>
  <c r="M192" i="24" s="1"/>
  <c r="L147" i="24"/>
  <c r="L192" i="24" s="1"/>
  <c r="K147" i="24"/>
  <c r="K169" i="24" s="1"/>
  <c r="J147" i="24"/>
  <c r="J192" i="24" s="1"/>
  <c r="I147" i="24"/>
  <c r="I192" i="24" s="1"/>
  <c r="H147" i="24"/>
  <c r="H169" i="24" s="1"/>
  <c r="G147" i="24"/>
  <c r="G169" i="24" s="1"/>
  <c r="F147" i="24"/>
  <c r="F192" i="24" s="1"/>
  <c r="E147" i="24"/>
  <c r="E192" i="24" s="1"/>
  <c r="D147" i="24"/>
  <c r="D192" i="24" s="1"/>
  <c r="AA146" i="24"/>
  <c r="AA167" i="24" s="1"/>
  <c r="Z146" i="24"/>
  <c r="Z167" i="24" s="1"/>
  <c r="Y146" i="24"/>
  <c r="Y167" i="24" s="1"/>
  <c r="X146" i="24"/>
  <c r="X167" i="24" s="1"/>
  <c r="W146" i="24"/>
  <c r="W167" i="24" s="1"/>
  <c r="V146" i="24"/>
  <c r="V167" i="24" s="1"/>
  <c r="U146" i="24"/>
  <c r="U167" i="24" s="1"/>
  <c r="T146" i="24"/>
  <c r="T167" i="24" s="1"/>
  <c r="S146" i="24"/>
  <c r="S167" i="24" s="1"/>
  <c r="R146" i="24"/>
  <c r="R167" i="24" s="1"/>
  <c r="Q146" i="24"/>
  <c r="Q167" i="24" s="1"/>
  <c r="P146" i="24"/>
  <c r="P167" i="24" s="1"/>
  <c r="O146" i="24"/>
  <c r="O167" i="24" s="1"/>
  <c r="N146" i="24"/>
  <c r="N167" i="24" s="1"/>
  <c r="M146" i="24"/>
  <c r="M167" i="24" s="1"/>
  <c r="L146" i="24"/>
  <c r="L167" i="24" s="1"/>
  <c r="K146" i="24"/>
  <c r="K167" i="24" s="1"/>
  <c r="J146" i="24"/>
  <c r="J167" i="24" s="1"/>
  <c r="I146" i="24"/>
  <c r="I167" i="24" s="1"/>
  <c r="H146" i="24"/>
  <c r="H167" i="24" s="1"/>
  <c r="G146" i="24"/>
  <c r="G167" i="24" s="1"/>
  <c r="F146" i="24"/>
  <c r="F167" i="24" s="1"/>
  <c r="E146" i="24"/>
  <c r="E167" i="24" s="1"/>
  <c r="D146" i="24"/>
  <c r="D167" i="24" s="1"/>
  <c r="AA128" i="24"/>
  <c r="Z128" i="24"/>
  <c r="Y128" i="24"/>
  <c r="X128" i="24"/>
  <c r="W128" i="24"/>
  <c r="V128" i="24"/>
  <c r="U128" i="24"/>
  <c r="T128" i="24"/>
  <c r="S128" i="24"/>
  <c r="R128" i="24"/>
  <c r="Q128" i="24"/>
  <c r="P128" i="24"/>
  <c r="O128" i="24"/>
  <c r="N128" i="24"/>
  <c r="M128" i="24"/>
  <c r="L128" i="24"/>
  <c r="K128" i="24"/>
  <c r="J128" i="24"/>
  <c r="I128" i="24"/>
  <c r="H128" i="24"/>
  <c r="G128" i="24"/>
  <c r="F128" i="24"/>
  <c r="E128" i="24"/>
  <c r="D128" i="24"/>
  <c r="AA127" i="24"/>
  <c r="Z127" i="24"/>
  <c r="Y127" i="24"/>
  <c r="X127" i="24"/>
  <c r="W127" i="24"/>
  <c r="V127" i="24"/>
  <c r="U127" i="24"/>
  <c r="T127" i="24"/>
  <c r="S127" i="24"/>
  <c r="R127" i="24"/>
  <c r="Q127" i="24"/>
  <c r="P127" i="24"/>
  <c r="O127" i="24"/>
  <c r="N127" i="24"/>
  <c r="M127" i="24"/>
  <c r="L127" i="24"/>
  <c r="K127" i="24"/>
  <c r="J127" i="24"/>
  <c r="I127" i="24"/>
  <c r="H127" i="24"/>
  <c r="G127" i="24"/>
  <c r="F127" i="24"/>
  <c r="E127" i="24"/>
  <c r="D127" i="24"/>
  <c r="AA126" i="24"/>
  <c r="Z126" i="24"/>
  <c r="Y126" i="24"/>
  <c r="X126" i="24"/>
  <c r="W126" i="24"/>
  <c r="V126" i="24"/>
  <c r="U126" i="24"/>
  <c r="T126" i="24"/>
  <c r="S126" i="24"/>
  <c r="R126" i="24"/>
  <c r="Q126" i="24"/>
  <c r="P126" i="24"/>
  <c r="O126" i="24"/>
  <c r="N126" i="24"/>
  <c r="M126" i="24"/>
  <c r="L126" i="24"/>
  <c r="K126" i="24"/>
  <c r="J126" i="24"/>
  <c r="I126" i="24"/>
  <c r="H126" i="24"/>
  <c r="G126" i="24"/>
  <c r="F126" i="24"/>
  <c r="E126" i="24"/>
  <c r="D126" i="24"/>
  <c r="AA125" i="24"/>
  <c r="Z125" i="24"/>
  <c r="Y125" i="24"/>
  <c r="X125" i="24"/>
  <c r="W125" i="24"/>
  <c r="V125" i="24"/>
  <c r="U125" i="24"/>
  <c r="T125" i="24"/>
  <c r="S125" i="24"/>
  <c r="R125" i="24"/>
  <c r="Q125" i="24"/>
  <c r="P125" i="24"/>
  <c r="O125" i="24"/>
  <c r="N125" i="24"/>
  <c r="M125" i="24"/>
  <c r="L125" i="24"/>
  <c r="K125" i="24"/>
  <c r="J125" i="24"/>
  <c r="I125" i="24"/>
  <c r="H125" i="24"/>
  <c r="G125" i="24"/>
  <c r="F125" i="24"/>
  <c r="E125" i="24"/>
  <c r="D125" i="24"/>
  <c r="AA111" i="24"/>
  <c r="AA112" i="24" s="1"/>
  <c r="Z111" i="24"/>
  <c r="Z112" i="24" s="1"/>
  <c r="Y111" i="24"/>
  <c r="Y112" i="24" s="1"/>
  <c r="X111" i="24"/>
  <c r="X112" i="24" s="1"/>
  <c r="W111" i="24"/>
  <c r="W112" i="24" s="1"/>
  <c r="V111" i="24"/>
  <c r="V112" i="24" s="1"/>
  <c r="U111" i="24"/>
  <c r="U112" i="24" s="1"/>
  <c r="T111" i="24"/>
  <c r="T112" i="24" s="1"/>
  <c r="S111" i="24"/>
  <c r="S112" i="24" s="1"/>
  <c r="R111" i="24"/>
  <c r="R112" i="24" s="1"/>
  <c r="Q111" i="24"/>
  <c r="Q112" i="24" s="1"/>
  <c r="P111" i="24"/>
  <c r="P112" i="24" s="1"/>
  <c r="O111" i="24"/>
  <c r="O112" i="24" s="1"/>
  <c r="N111" i="24"/>
  <c r="N112" i="24" s="1"/>
  <c r="M111" i="24"/>
  <c r="M112" i="24" s="1"/>
  <c r="L111" i="24"/>
  <c r="L112" i="24" s="1"/>
  <c r="K111" i="24"/>
  <c r="K112" i="24" s="1"/>
  <c r="J111" i="24"/>
  <c r="J112" i="24" s="1"/>
  <c r="I111" i="24"/>
  <c r="I112" i="24" s="1"/>
  <c r="H111" i="24"/>
  <c r="H112" i="24" s="1"/>
  <c r="G111" i="24"/>
  <c r="G112" i="24" s="1"/>
  <c r="F111" i="24"/>
  <c r="F112" i="24" s="1"/>
  <c r="E111" i="24"/>
  <c r="E112" i="24" s="1"/>
  <c r="D111" i="24"/>
  <c r="D112" i="24" s="1"/>
  <c r="AA108" i="24"/>
  <c r="Z108" i="24"/>
  <c r="Y108" i="24"/>
  <c r="X108" i="24"/>
  <c r="W108" i="24"/>
  <c r="V108" i="24"/>
  <c r="U108" i="24"/>
  <c r="T108" i="24"/>
  <c r="S108" i="24"/>
  <c r="R108" i="24"/>
  <c r="Q108" i="24"/>
  <c r="P108" i="24"/>
  <c r="O108" i="24"/>
  <c r="N108" i="24"/>
  <c r="M108" i="24"/>
  <c r="L108" i="24"/>
  <c r="K108" i="24"/>
  <c r="J108" i="24"/>
  <c r="I108" i="24"/>
  <c r="H108" i="24"/>
  <c r="G108" i="24"/>
  <c r="F108" i="24"/>
  <c r="E108" i="24"/>
  <c r="D108" i="24"/>
  <c r="AA107" i="24"/>
  <c r="Z107" i="24"/>
  <c r="Y107" i="24"/>
  <c r="X107" i="24"/>
  <c r="W107" i="24"/>
  <c r="V107" i="24"/>
  <c r="U107" i="24"/>
  <c r="T107" i="24"/>
  <c r="S107" i="24"/>
  <c r="R107" i="24"/>
  <c r="Q107" i="24"/>
  <c r="P107" i="24"/>
  <c r="O107" i="24"/>
  <c r="N107" i="24"/>
  <c r="M107" i="24"/>
  <c r="L107" i="24"/>
  <c r="K107" i="24"/>
  <c r="J107" i="24"/>
  <c r="I107" i="24"/>
  <c r="H107" i="24"/>
  <c r="G107" i="24"/>
  <c r="F107" i="24"/>
  <c r="E107" i="24"/>
  <c r="D107" i="24"/>
  <c r="AA103" i="24"/>
  <c r="Z103" i="24"/>
  <c r="Y103" i="24"/>
  <c r="X103" i="24"/>
  <c r="W103" i="24"/>
  <c r="V103" i="24"/>
  <c r="U103" i="24"/>
  <c r="T103" i="24"/>
  <c r="S103" i="24"/>
  <c r="R103" i="24"/>
  <c r="Q103" i="24"/>
  <c r="P103" i="24"/>
  <c r="O103" i="24"/>
  <c r="N103" i="24"/>
  <c r="M103" i="24"/>
  <c r="L103" i="24"/>
  <c r="K103" i="24"/>
  <c r="J103" i="24"/>
  <c r="I103" i="24"/>
  <c r="H103" i="24"/>
  <c r="G103" i="24"/>
  <c r="F103" i="24"/>
  <c r="E103" i="24"/>
  <c r="D103" i="24"/>
  <c r="AA102" i="24"/>
  <c r="Z102" i="24"/>
  <c r="Y102" i="24"/>
  <c r="X102" i="24"/>
  <c r="W102" i="24"/>
  <c r="V102" i="24"/>
  <c r="U102" i="24"/>
  <c r="T102" i="24"/>
  <c r="S102" i="24"/>
  <c r="R102" i="24"/>
  <c r="Q102" i="24"/>
  <c r="P102" i="24"/>
  <c r="O102" i="24"/>
  <c r="N102" i="24"/>
  <c r="M102" i="24"/>
  <c r="L102" i="24"/>
  <c r="K102" i="24"/>
  <c r="J102" i="24"/>
  <c r="I102" i="24"/>
  <c r="H102" i="24"/>
  <c r="G102" i="24"/>
  <c r="F102" i="24"/>
  <c r="E102" i="24"/>
  <c r="D102" i="24"/>
  <c r="AA100" i="24"/>
  <c r="Z100" i="24"/>
  <c r="Y100" i="24"/>
  <c r="X100" i="24"/>
  <c r="W100" i="24"/>
  <c r="V100" i="24"/>
  <c r="U100" i="24"/>
  <c r="T100" i="24"/>
  <c r="S100" i="24"/>
  <c r="R100" i="24"/>
  <c r="Q100" i="24"/>
  <c r="P100" i="24"/>
  <c r="O100" i="24"/>
  <c r="N100" i="24"/>
  <c r="M100" i="24"/>
  <c r="L100" i="24"/>
  <c r="K100" i="24"/>
  <c r="J100" i="24"/>
  <c r="I100" i="24"/>
  <c r="H100" i="24"/>
  <c r="G100" i="24"/>
  <c r="F100" i="24"/>
  <c r="E100" i="24"/>
  <c r="D100" i="24"/>
  <c r="AA98" i="24"/>
  <c r="Z98" i="24"/>
  <c r="Y98" i="24"/>
  <c r="X98" i="24"/>
  <c r="W98" i="24"/>
  <c r="V98" i="24"/>
  <c r="U98" i="24"/>
  <c r="T98" i="24"/>
  <c r="S98" i="24"/>
  <c r="R98" i="24"/>
  <c r="Q98" i="24"/>
  <c r="P98" i="24"/>
  <c r="O98" i="24"/>
  <c r="N98" i="24"/>
  <c r="M98" i="24"/>
  <c r="L98" i="24"/>
  <c r="K98" i="24"/>
  <c r="J98" i="24"/>
  <c r="I98" i="24"/>
  <c r="H98" i="24"/>
  <c r="G98" i="24"/>
  <c r="F98" i="24"/>
  <c r="E98" i="24"/>
  <c r="D98" i="24"/>
  <c r="AF83" i="24"/>
  <c r="AF86" i="24" s="1"/>
  <c r="AF87" i="24" s="1"/>
  <c r="AF88" i="24" s="1"/>
  <c r="AD82" i="24"/>
  <c r="AD81" i="24"/>
  <c r="AA79" i="24"/>
  <c r="AA101" i="24" s="1"/>
  <c r="Z79" i="24"/>
  <c r="Y79" i="24"/>
  <c r="Y124" i="24" s="1"/>
  <c r="X79" i="24"/>
  <c r="W79" i="24"/>
  <c r="W101" i="24" s="1"/>
  <c r="V79" i="24"/>
  <c r="U79" i="24"/>
  <c r="T79" i="24"/>
  <c r="T124" i="24" s="1"/>
  <c r="S79" i="24"/>
  <c r="S124" i="24" s="1"/>
  <c r="S130" i="24" s="1"/>
  <c r="S132" i="24" s="1"/>
  <c r="R79" i="24"/>
  <c r="Q79" i="24"/>
  <c r="Q124" i="24" s="1"/>
  <c r="P79" i="24"/>
  <c r="O79" i="24"/>
  <c r="O101" i="24" s="1"/>
  <c r="N79" i="24"/>
  <c r="M79" i="24"/>
  <c r="L79" i="24"/>
  <c r="L124" i="24" s="1"/>
  <c r="K79" i="24"/>
  <c r="K101" i="24" s="1"/>
  <c r="J79" i="24"/>
  <c r="I79" i="24"/>
  <c r="I124" i="24" s="1"/>
  <c r="H79" i="24"/>
  <c r="G79" i="24"/>
  <c r="G101" i="24" s="1"/>
  <c r="F79" i="24"/>
  <c r="E79" i="24"/>
  <c r="D79" i="24"/>
  <c r="D124" i="24" s="1"/>
  <c r="AA78" i="24"/>
  <c r="AA99" i="24" s="1"/>
  <c r="Z78" i="24"/>
  <c r="Z99" i="24" s="1"/>
  <c r="Y78" i="24"/>
  <c r="Y99" i="24" s="1"/>
  <c r="X78" i="24"/>
  <c r="X99" i="24" s="1"/>
  <c r="W78" i="24"/>
  <c r="W99" i="24" s="1"/>
  <c r="V78" i="24"/>
  <c r="V99" i="24" s="1"/>
  <c r="U78" i="24"/>
  <c r="U99" i="24" s="1"/>
  <c r="T78" i="24"/>
  <c r="T99" i="24" s="1"/>
  <c r="S78" i="24"/>
  <c r="S99" i="24" s="1"/>
  <c r="R78" i="24"/>
  <c r="R99" i="24" s="1"/>
  <c r="Q78" i="24"/>
  <c r="Q99" i="24" s="1"/>
  <c r="P78" i="24"/>
  <c r="P99" i="24" s="1"/>
  <c r="O78" i="24"/>
  <c r="O99" i="24" s="1"/>
  <c r="N78" i="24"/>
  <c r="N99" i="24" s="1"/>
  <c r="M78" i="24"/>
  <c r="M99" i="24" s="1"/>
  <c r="L78" i="24"/>
  <c r="L99" i="24" s="1"/>
  <c r="K78" i="24"/>
  <c r="K99" i="24" s="1"/>
  <c r="J78" i="24"/>
  <c r="J99" i="24" s="1"/>
  <c r="I78" i="24"/>
  <c r="I99" i="24" s="1"/>
  <c r="H78" i="24"/>
  <c r="H99" i="24" s="1"/>
  <c r="G78" i="24"/>
  <c r="G99" i="24" s="1"/>
  <c r="F78" i="24"/>
  <c r="F99" i="24" s="1"/>
  <c r="E78" i="24"/>
  <c r="E99" i="24" s="1"/>
  <c r="D78" i="24"/>
  <c r="D99" i="24" s="1"/>
  <c r="D16" i="33"/>
  <c r="AA197" i="31"/>
  <c r="Z197" i="31"/>
  <c r="Y197" i="31"/>
  <c r="X197" i="31"/>
  <c r="W197" i="31"/>
  <c r="V197" i="31"/>
  <c r="U197" i="31"/>
  <c r="T197" i="31"/>
  <c r="S197" i="31"/>
  <c r="R197" i="31"/>
  <c r="Q197" i="31"/>
  <c r="P197" i="31"/>
  <c r="O197" i="31"/>
  <c r="N197" i="31"/>
  <c r="M197" i="31"/>
  <c r="L197" i="31"/>
  <c r="K197" i="31"/>
  <c r="J197" i="31"/>
  <c r="I197" i="31"/>
  <c r="H197" i="31"/>
  <c r="G197" i="31"/>
  <c r="F197" i="31"/>
  <c r="E197" i="31"/>
  <c r="AA196" i="31"/>
  <c r="Z196" i="31"/>
  <c r="Y196" i="31"/>
  <c r="X196" i="31"/>
  <c r="W196" i="31"/>
  <c r="V196" i="31"/>
  <c r="U196" i="31"/>
  <c r="T196" i="31"/>
  <c r="S196" i="31"/>
  <c r="R196" i="31"/>
  <c r="Q196" i="31"/>
  <c r="P196" i="31"/>
  <c r="O196" i="31"/>
  <c r="N196" i="31"/>
  <c r="M196" i="31"/>
  <c r="L196" i="31"/>
  <c r="K196" i="31"/>
  <c r="J196" i="31"/>
  <c r="I196" i="31"/>
  <c r="H196" i="31"/>
  <c r="G196" i="31"/>
  <c r="F196" i="31"/>
  <c r="E196" i="31"/>
  <c r="AA195" i="31"/>
  <c r="Z195" i="31"/>
  <c r="Y195" i="31"/>
  <c r="X195" i="31"/>
  <c r="W195" i="31"/>
  <c r="V195" i="31"/>
  <c r="U195" i="31"/>
  <c r="T195" i="31"/>
  <c r="S195" i="31"/>
  <c r="R195" i="31"/>
  <c r="Q195" i="31"/>
  <c r="P195" i="31"/>
  <c r="O195" i="31"/>
  <c r="N195" i="31"/>
  <c r="M195" i="31"/>
  <c r="L195" i="31"/>
  <c r="K195" i="31"/>
  <c r="J195" i="31"/>
  <c r="I195" i="31"/>
  <c r="H195" i="31"/>
  <c r="G195" i="31"/>
  <c r="F195" i="31"/>
  <c r="E195" i="31"/>
  <c r="AA194" i="31"/>
  <c r="Z194" i="31"/>
  <c r="Y194" i="31"/>
  <c r="X194" i="31"/>
  <c r="W194" i="31"/>
  <c r="V194" i="31"/>
  <c r="U194" i="31"/>
  <c r="T194" i="31"/>
  <c r="S194" i="31"/>
  <c r="R194" i="31"/>
  <c r="Q194" i="31"/>
  <c r="P194" i="31"/>
  <c r="O194" i="31"/>
  <c r="N194" i="31"/>
  <c r="M194" i="31"/>
  <c r="L194" i="31"/>
  <c r="K194" i="31"/>
  <c r="J194" i="31"/>
  <c r="I194" i="31"/>
  <c r="H194" i="31"/>
  <c r="G194" i="31"/>
  <c r="F194" i="31"/>
  <c r="E194" i="31"/>
  <c r="W193" i="31"/>
  <c r="G193" i="31"/>
  <c r="Q181" i="31"/>
  <c r="Q185" i="31" s="1"/>
  <c r="Q187" i="31" s="1"/>
  <c r="P181" i="31"/>
  <c r="P183" i="31" s="1"/>
  <c r="I181" i="31"/>
  <c r="I183" i="31" s="1"/>
  <c r="AA180" i="31"/>
  <c r="AA181" i="31" s="1"/>
  <c r="Z180" i="31"/>
  <c r="Z181" i="31" s="1"/>
  <c r="Y180" i="31"/>
  <c r="Y181" i="31" s="1"/>
  <c r="Y183" i="31" s="1"/>
  <c r="X180" i="31"/>
  <c r="X181" i="31" s="1"/>
  <c r="X185" i="31" s="1"/>
  <c r="X187" i="31" s="1"/>
  <c r="W180" i="31"/>
  <c r="W181" i="31" s="1"/>
  <c r="V180" i="31"/>
  <c r="V181" i="31" s="1"/>
  <c r="U180" i="31"/>
  <c r="U181" i="31" s="1"/>
  <c r="T180" i="31"/>
  <c r="T181" i="31" s="1"/>
  <c r="S180" i="31"/>
  <c r="S181" i="31" s="1"/>
  <c r="R180" i="31"/>
  <c r="R181" i="31" s="1"/>
  <c r="Q180" i="31"/>
  <c r="P180" i="31"/>
  <c r="O180" i="31"/>
  <c r="O181" i="31" s="1"/>
  <c r="N180" i="31"/>
  <c r="N181" i="31" s="1"/>
  <c r="M180" i="31"/>
  <c r="M181" i="31" s="1"/>
  <c r="L180" i="31"/>
  <c r="L181" i="31" s="1"/>
  <c r="K180" i="31"/>
  <c r="K181" i="31" s="1"/>
  <c r="J180" i="31"/>
  <c r="J181" i="31" s="1"/>
  <c r="I180" i="31"/>
  <c r="H180" i="31"/>
  <c r="H181" i="31" s="1"/>
  <c r="H185" i="31" s="1"/>
  <c r="H187" i="31" s="1"/>
  <c r="G180" i="31"/>
  <c r="G181" i="31" s="1"/>
  <c r="F180" i="31"/>
  <c r="F181" i="31" s="1"/>
  <c r="E180" i="31"/>
  <c r="E181" i="31" s="1"/>
  <c r="D180" i="31"/>
  <c r="D181" i="31" s="1"/>
  <c r="AA177" i="31"/>
  <c r="Z177" i="31"/>
  <c r="Y177" i="31"/>
  <c r="X177" i="31"/>
  <c r="W177" i="31"/>
  <c r="V177" i="31"/>
  <c r="U177" i="31"/>
  <c r="T177" i="31"/>
  <c r="S177" i="31"/>
  <c r="R177" i="31"/>
  <c r="Q177" i="31"/>
  <c r="P177" i="31"/>
  <c r="O177" i="31"/>
  <c r="N177" i="31"/>
  <c r="M177" i="31"/>
  <c r="L177" i="31"/>
  <c r="K177" i="31"/>
  <c r="J177" i="31"/>
  <c r="I177" i="31"/>
  <c r="H177" i="31"/>
  <c r="G177" i="31"/>
  <c r="F177" i="31"/>
  <c r="E177" i="31"/>
  <c r="AA176" i="31"/>
  <c r="Z176" i="31"/>
  <c r="Y176" i="31"/>
  <c r="X176" i="31"/>
  <c r="W176" i="31"/>
  <c r="V176" i="31"/>
  <c r="U176" i="31"/>
  <c r="T176" i="31"/>
  <c r="S176" i="31"/>
  <c r="R176" i="31"/>
  <c r="Q176" i="31"/>
  <c r="P176" i="31"/>
  <c r="O176" i="31"/>
  <c r="N176" i="31"/>
  <c r="M176" i="31"/>
  <c r="L176" i="31"/>
  <c r="K176" i="31"/>
  <c r="J176" i="31"/>
  <c r="I176" i="31"/>
  <c r="H176" i="31"/>
  <c r="G176" i="31"/>
  <c r="F176" i="31"/>
  <c r="E176" i="31"/>
  <c r="D176" i="31"/>
  <c r="AA172" i="31"/>
  <c r="Z172" i="31"/>
  <c r="Y172" i="31"/>
  <c r="X172" i="31"/>
  <c r="W172" i="31"/>
  <c r="V172" i="31"/>
  <c r="U172" i="31"/>
  <c r="T172" i="31"/>
  <c r="S172" i="31"/>
  <c r="R172" i="31"/>
  <c r="Q172" i="31"/>
  <c r="P172" i="31"/>
  <c r="O172" i="31"/>
  <c r="N172" i="31"/>
  <c r="M172" i="31"/>
  <c r="L172" i="31"/>
  <c r="K172" i="31"/>
  <c r="J172" i="31"/>
  <c r="I172" i="31"/>
  <c r="H172" i="31"/>
  <c r="G172" i="31"/>
  <c r="F172" i="31"/>
  <c r="E172" i="31"/>
  <c r="D172" i="31"/>
  <c r="AA171" i="31"/>
  <c r="Z171" i="31"/>
  <c r="Y171" i="31"/>
  <c r="X171" i="31"/>
  <c r="W171" i="31"/>
  <c r="V171" i="31"/>
  <c r="U171" i="31"/>
  <c r="T171" i="31"/>
  <c r="S171" i="31"/>
  <c r="R171" i="31"/>
  <c r="Q171" i="31"/>
  <c r="P171" i="31"/>
  <c r="O171" i="31"/>
  <c r="N171" i="31"/>
  <c r="M171" i="31"/>
  <c r="L171" i="31"/>
  <c r="K171" i="31"/>
  <c r="J171" i="31"/>
  <c r="I171" i="31"/>
  <c r="H171" i="31"/>
  <c r="G171" i="31"/>
  <c r="F171" i="31"/>
  <c r="E171" i="31"/>
  <c r="D171" i="31"/>
  <c r="U170" i="31"/>
  <c r="I170" i="31"/>
  <c r="E170" i="31"/>
  <c r="D170" i="31"/>
  <c r="AA169" i="31"/>
  <c r="Z169" i="31"/>
  <c r="Y169" i="31"/>
  <c r="X169" i="31"/>
  <c r="W169" i="31"/>
  <c r="V169" i="31"/>
  <c r="U169" i="31"/>
  <c r="T169" i="31"/>
  <c r="S169" i="31"/>
  <c r="R169" i="31"/>
  <c r="Q169" i="31"/>
  <c r="P169" i="31"/>
  <c r="O169" i="31"/>
  <c r="N169" i="31"/>
  <c r="M169" i="31"/>
  <c r="L169" i="31"/>
  <c r="K169" i="31"/>
  <c r="J169" i="31"/>
  <c r="I169" i="31"/>
  <c r="H169" i="31"/>
  <c r="G169" i="31"/>
  <c r="F169" i="31"/>
  <c r="E169" i="31"/>
  <c r="D169" i="31"/>
  <c r="U168" i="31"/>
  <c r="M168" i="31"/>
  <c r="L168" i="31"/>
  <c r="E168" i="31"/>
  <c r="AA167" i="31"/>
  <c r="Z167" i="31"/>
  <c r="Y167" i="31"/>
  <c r="X167" i="31"/>
  <c r="W167" i="31"/>
  <c r="V167" i="31"/>
  <c r="U167" i="31"/>
  <c r="T167" i="31"/>
  <c r="S167" i="31"/>
  <c r="R167" i="31"/>
  <c r="Q167" i="31"/>
  <c r="P167" i="31"/>
  <c r="O167" i="31"/>
  <c r="N167" i="31"/>
  <c r="M167" i="31"/>
  <c r="L167" i="31"/>
  <c r="K167" i="31"/>
  <c r="J167" i="31"/>
  <c r="I167" i="31"/>
  <c r="H167" i="31"/>
  <c r="G167" i="31"/>
  <c r="F167" i="31"/>
  <c r="E167" i="31"/>
  <c r="D167" i="31"/>
  <c r="AF152" i="31"/>
  <c r="AF155" i="31" s="1"/>
  <c r="AF156" i="31" s="1"/>
  <c r="AF157" i="31" s="1"/>
  <c r="AD151" i="31"/>
  <c r="AD150" i="31"/>
  <c r="AA148" i="31"/>
  <c r="AA170" i="31" s="1"/>
  <c r="Z148" i="31"/>
  <c r="Y148" i="31"/>
  <c r="Y193" i="31" s="1"/>
  <c r="X148" i="31"/>
  <c r="X170" i="31" s="1"/>
  <c r="W148" i="31"/>
  <c r="W170" i="31" s="1"/>
  <c r="V148" i="31"/>
  <c r="U148" i="31"/>
  <c r="U193" i="31" s="1"/>
  <c r="T148" i="31"/>
  <c r="T193" i="31" s="1"/>
  <c r="S148" i="31"/>
  <c r="S170" i="31" s="1"/>
  <c r="R148" i="31"/>
  <c r="Q148" i="31"/>
  <c r="Q193" i="31" s="1"/>
  <c r="P148" i="31"/>
  <c r="P170" i="31" s="1"/>
  <c r="O148" i="31"/>
  <c r="O170" i="31" s="1"/>
  <c r="N148" i="31"/>
  <c r="N193" i="31" s="1"/>
  <c r="M148" i="31"/>
  <c r="M193" i="31" s="1"/>
  <c r="L148" i="31"/>
  <c r="L193" i="31" s="1"/>
  <c r="K148" i="31"/>
  <c r="K170" i="31" s="1"/>
  <c r="J148" i="31"/>
  <c r="I148" i="31"/>
  <c r="I193" i="31" s="1"/>
  <c r="H148" i="31"/>
  <c r="H170" i="31" s="1"/>
  <c r="G148" i="31"/>
  <c r="G170" i="31" s="1"/>
  <c r="F148" i="31"/>
  <c r="E148" i="31"/>
  <c r="E193" i="31" s="1"/>
  <c r="D148" i="31"/>
  <c r="AA147" i="31"/>
  <c r="AA168" i="31" s="1"/>
  <c r="Z147" i="31"/>
  <c r="Z168" i="31" s="1"/>
  <c r="Y147" i="31"/>
  <c r="Y168" i="31" s="1"/>
  <c r="X147" i="31"/>
  <c r="X168" i="31" s="1"/>
  <c r="W147" i="31"/>
  <c r="W168" i="31" s="1"/>
  <c r="V147" i="31"/>
  <c r="V168" i="31" s="1"/>
  <c r="U147" i="31"/>
  <c r="T147" i="31"/>
  <c r="T168" i="31" s="1"/>
  <c r="S147" i="31"/>
  <c r="S168" i="31" s="1"/>
  <c r="R147" i="31"/>
  <c r="R168" i="31" s="1"/>
  <c r="Q147" i="31"/>
  <c r="Q168" i="31" s="1"/>
  <c r="P147" i="31"/>
  <c r="P168" i="31" s="1"/>
  <c r="O147" i="31"/>
  <c r="O168" i="31" s="1"/>
  <c r="N147" i="31"/>
  <c r="N168" i="31" s="1"/>
  <c r="M147" i="31"/>
  <c r="L147" i="31"/>
  <c r="K147" i="31"/>
  <c r="K168" i="31" s="1"/>
  <c r="J147" i="31"/>
  <c r="J168" i="31" s="1"/>
  <c r="I147" i="31"/>
  <c r="I168" i="31" s="1"/>
  <c r="H147" i="31"/>
  <c r="H168" i="31" s="1"/>
  <c r="G147" i="31"/>
  <c r="G168" i="31" s="1"/>
  <c r="F147" i="31"/>
  <c r="F168" i="31" s="1"/>
  <c r="E147" i="31"/>
  <c r="D147" i="31"/>
  <c r="D168" i="31" s="1"/>
  <c r="AA128" i="31"/>
  <c r="Z128" i="31"/>
  <c r="Y128" i="31"/>
  <c r="X128" i="31"/>
  <c r="W128" i="31"/>
  <c r="V128" i="31"/>
  <c r="U128" i="31"/>
  <c r="T128" i="31"/>
  <c r="S128" i="31"/>
  <c r="R128" i="31"/>
  <c r="Q128" i="31"/>
  <c r="P128" i="31"/>
  <c r="O128" i="31"/>
  <c r="N128" i="31"/>
  <c r="M128" i="31"/>
  <c r="L128" i="31"/>
  <c r="K128" i="31"/>
  <c r="J128" i="31"/>
  <c r="I128" i="31"/>
  <c r="H128" i="31"/>
  <c r="G128" i="31"/>
  <c r="F128" i="31"/>
  <c r="E128" i="31"/>
  <c r="D128" i="31"/>
  <c r="AA127" i="31"/>
  <c r="Z127" i="31"/>
  <c r="Y127" i="31"/>
  <c r="X127" i="31"/>
  <c r="W127" i="31"/>
  <c r="V127" i="31"/>
  <c r="U127" i="31"/>
  <c r="T127" i="31"/>
  <c r="S127" i="31"/>
  <c r="R127" i="31"/>
  <c r="Q127" i="31"/>
  <c r="P127" i="31"/>
  <c r="O127" i="31"/>
  <c r="N127" i="31"/>
  <c r="M127" i="31"/>
  <c r="L127" i="31"/>
  <c r="K127" i="31"/>
  <c r="J127" i="31"/>
  <c r="I127" i="31"/>
  <c r="H127" i="31"/>
  <c r="G127" i="31"/>
  <c r="F127" i="31"/>
  <c r="E127" i="31"/>
  <c r="D127" i="31"/>
  <c r="AA126" i="31"/>
  <c r="Z126" i="31"/>
  <c r="Y126" i="31"/>
  <c r="X126" i="31"/>
  <c r="W126" i="31"/>
  <c r="V126" i="31"/>
  <c r="U126" i="31"/>
  <c r="T126" i="31"/>
  <c r="S126" i="31"/>
  <c r="R126" i="31"/>
  <c r="Q126" i="31"/>
  <c r="P126" i="31"/>
  <c r="O126" i="31"/>
  <c r="N126" i="31"/>
  <c r="M126" i="31"/>
  <c r="L126" i="31"/>
  <c r="K126" i="31"/>
  <c r="J126" i="31"/>
  <c r="I126" i="31"/>
  <c r="H126" i="31"/>
  <c r="G126" i="31"/>
  <c r="F126" i="31"/>
  <c r="E126" i="31"/>
  <c r="D126" i="31"/>
  <c r="AA125" i="31"/>
  <c r="Z125" i="31"/>
  <c r="Y125" i="31"/>
  <c r="X125" i="31"/>
  <c r="W125" i="31"/>
  <c r="V125" i="31"/>
  <c r="U125" i="31"/>
  <c r="T125" i="31"/>
  <c r="S125" i="31"/>
  <c r="R125" i="31"/>
  <c r="Q125" i="31"/>
  <c r="P125" i="31"/>
  <c r="O125" i="31"/>
  <c r="N125" i="31"/>
  <c r="M125" i="31"/>
  <c r="L125" i="31"/>
  <c r="K125" i="31"/>
  <c r="J125" i="31"/>
  <c r="I125" i="31"/>
  <c r="H125" i="31"/>
  <c r="G125" i="31"/>
  <c r="F125" i="31"/>
  <c r="E125" i="31"/>
  <c r="D125" i="31"/>
  <c r="AA124" i="31"/>
  <c r="O124" i="31"/>
  <c r="K124" i="31"/>
  <c r="K130" i="31" s="1"/>
  <c r="W112" i="31"/>
  <c r="W116" i="31" s="1"/>
  <c r="W118" i="31" s="1"/>
  <c r="S112" i="31"/>
  <c r="S116" i="31" s="1"/>
  <c r="S118" i="31" s="1"/>
  <c r="H112" i="31"/>
  <c r="H116" i="31" s="1"/>
  <c r="H118" i="31" s="1"/>
  <c r="AA111" i="31"/>
  <c r="AA112" i="31" s="1"/>
  <c r="AA116" i="31" s="1"/>
  <c r="AA118" i="31" s="1"/>
  <c r="Z111" i="31"/>
  <c r="Z112" i="31" s="1"/>
  <c r="Y111" i="31"/>
  <c r="Y112" i="31" s="1"/>
  <c r="X111" i="31"/>
  <c r="X112" i="31" s="1"/>
  <c r="X116" i="31" s="1"/>
  <c r="X118" i="31" s="1"/>
  <c r="W111" i="31"/>
  <c r="V111" i="31"/>
  <c r="V112" i="31" s="1"/>
  <c r="U111" i="31"/>
  <c r="U112" i="31" s="1"/>
  <c r="T111" i="31"/>
  <c r="T112" i="31" s="1"/>
  <c r="S111" i="31"/>
  <c r="R111" i="31"/>
  <c r="R112" i="31" s="1"/>
  <c r="Q111" i="31"/>
  <c r="Q112" i="31" s="1"/>
  <c r="P111" i="31"/>
  <c r="P112" i="31" s="1"/>
  <c r="P114" i="31" s="1"/>
  <c r="O111" i="31"/>
  <c r="O112" i="31" s="1"/>
  <c r="O116" i="31" s="1"/>
  <c r="O118" i="31" s="1"/>
  <c r="N111" i="31"/>
  <c r="N112" i="31" s="1"/>
  <c r="M111" i="31"/>
  <c r="M112" i="31" s="1"/>
  <c r="L111" i="31"/>
  <c r="L112" i="31" s="1"/>
  <c r="K111" i="31"/>
  <c r="K112" i="31" s="1"/>
  <c r="K116" i="31" s="1"/>
  <c r="K118" i="31" s="1"/>
  <c r="J111" i="31"/>
  <c r="J112" i="31" s="1"/>
  <c r="I111" i="31"/>
  <c r="I112" i="31" s="1"/>
  <c r="H111" i="31"/>
  <c r="G111" i="31"/>
  <c r="G112" i="31" s="1"/>
  <c r="G116" i="31" s="1"/>
  <c r="G118" i="31" s="1"/>
  <c r="F111" i="31"/>
  <c r="F112" i="31" s="1"/>
  <c r="E111" i="31"/>
  <c r="E112" i="31" s="1"/>
  <c r="D111" i="31"/>
  <c r="D112" i="31" s="1"/>
  <c r="AA109" i="31"/>
  <c r="Z109" i="31"/>
  <c r="Y109" i="31"/>
  <c r="X109" i="31"/>
  <c r="W109" i="31"/>
  <c r="V109" i="31"/>
  <c r="U109" i="31"/>
  <c r="T109" i="31"/>
  <c r="S109" i="31"/>
  <c r="R109" i="31"/>
  <c r="Q109" i="31"/>
  <c r="P109" i="31"/>
  <c r="O109" i="31"/>
  <c r="N109" i="31"/>
  <c r="M109" i="31"/>
  <c r="L109" i="31"/>
  <c r="K109" i="31"/>
  <c r="J109" i="31"/>
  <c r="I109" i="31"/>
  <c r="H109" i="31"/>
  <c r="G109" i="31"/>
  <c r="F109" i="31"/>
  <c r="E109" i="31"/>
  <c r="D109" i="31"/>
  <c r="AA108" i="31"/>
  <c r="Z108" i="31"/>
  <c r="Y108" i="31"/>
  <c r="X108" i="31"/>
  <c r="W108" i="31"/>
  <c r="V108" i="31"/>
  <c r="U108" i="31"/>
  <c r="T108" i="31"/>
  <c r="S108" i="31"/>
  <c r="R108" i="31"/>
  <c r="Q108" i="31"/>
  <c r="P108" i="31"/>
  <c r="O108" i="31"/>
  <c r="N108" i="31"/>
  <c r="M108" i="31"/>
  <c r="L108" i="31"/>
  <c r="K108" i="31"/>
  <c r="J108" i="31"/>
  <c r="I108" i="31"/>
  <c r="H108" i="31"/>
  <c r="G108" i="31"/>
  <c r="F108" i="31"/>
  <c r="E108" i="31"/>
  <c r="D108" i="31"/>
  <c r="AA107" i="31"/>
  <c r="Z107" i="31"/>
  <c r="Y107" i="31"/>
  <c r="X107" i="31"/>
  <c r="W107" i="31"/>
  <c r="V107" i="31"/>
  <c r="U107" i="31"/>
  <c r="T107" i="31"/>
  <c r="S107" i="31"/>
  <c r="R107" i="31"/>
  <c r="Q107" i="31"/>
  <c r="P107" i="31"/>
  <c r="O107" i="31"/>
  <c r="N107" i="31"/>
  <c r="M107" i="31"/>
  <c r="L107" i="31"/>
  <c r="K107" i="31"/>
  <c r="J107" i="31"/>
  <c r="I107" i="31"/>
  <c r="H107" i="31"/>
  <c r="G107" i="31"/>
  <c r="F107" i="31"/>
  <c r="E107" i="31"/>
  <c r="D107" i="31"/>
  <c r="AA103" i="31"/>
  <c r="Z103" i="31"/>
  <c r="Y103" i="31"/>
  <c r="X103" i="31"/>
  <c r="W103" i="31"/>
  <c r="V103" i="31"/>
  <c r="U103" i="31"/>
  <c r="T103" i="31"/>
  <c r="S103" i="31"/>
  <c r="R103" i="31"/>
  <c r="Q103" i="31"/>
  <c r="P103" i="31"/>
  <c r="O103" i="31"/>
  <c r="N103" i="31"/>
  <c r="M103" i="31"/>
  <c r="L103" i="31"/>
  <c r="K103" i="31"/>
  <c r="J103" i="31"/>
  <c r="I103" i="31"/>
  <c r="H103" i="31"/>
  <c r="G103" i="31"/>
  <c r="F103" i="31"/>
  <c r="E103" i="31"/>
  <c r="D103" i="31"/>
  <c r="AA102" i="31"/>
  <c r="Z102" i="31"/>
  <c r="Y102" i="31"/>
  <c r="X102" i="31"/>
  <c r="W102" i="31"/>
  <c r="V102" i="31"/>
  <c r="U102" i="31"/>
  <c r="T102" i="31"/>
  <c r="S102" i="31"/>
  <c r="R102" i="31"/>
  <c r="Q102" i="31"/>
  <c r="P102" i="31"/>
  <c r="O102" i="31"/>
  <c r="N102" i="31"/>
  <c r="M102" i="31"/>
  <c r="L102" i="31"/>
  <c r="K102" i="31"/>
  <c r="J102" i="31"/>
  <c r="I102" i="31"/>
  <c r="H102" i="31"/>
  <c r="G102" i="31"/>
  <c r="F102" i="31"/>
  <c r="E102" i="31"/>
  <c r="D102" i="31"/>
  <c r="T101" i="31"/>
  <c r="D101" i="31"/>
  <c r="AA100" i="31"/>
  <c r="Z100" i="31"/>
  <c r="Y100" i="31"/>
  <c r="X100" i="31"/>
  <c r="W100" i="31"/>
  <c r="V100" i="31"/>
  <c r="U100" i="31"/>
  <c r="T100" i="31"/>
  <c r="S100" i="31"/>
  <c r="R100" i="31"/>
  <c r="Q100" i="31"/>
  <c r="P100" i="31"/>
  <c r="O100" i="31"/>
  <c r="N100" i="31"/>
  <c r="M100" i="31"/>
  <c r="L100" i="31"/>
  <c r="K100" i="31"/>
  <c r="J100" i="31"/>
  <c r="I100" i="31"/>
  <c r="H100" i="31"/>
  <c r="G100" i="31"/>
  <c r="F100" i="31"/>
  <c r="E100" i="31"/>
  <c r="D100" i="31"/>
  <c r="Y99" i="31"/>
  <c r="Q99" i="31"/>
  <c r="L99" i="31"/>
  <c r="AA98" i="31"/>
  <c r="Z98" i="31"/>
  <c r="Y98" i="31"/>
  <c r="X98" i="31"/>
  <c r="W98" i="31"/>
  <c r="V98" i="31"/>
  <c r="U98" i="31"/>
  <c r="T98" i="31"/>
  <c r="S98" i="31"/>
  <c r="R98" i="31"/>
  <c r="Q98" i="31"/>
  <c r="P98" i="31"/>
  <c r="O98" i="31"/>
  <c r="N98" i="31"/>
  <c r="M98" i="31"/>
  <c r="L98" i="31"/>
  <c r="K98" i="31"/>
  <c r="J98" i="31"/>
  <c r="I98" i="31"/>
  <c r="H98" i="31"/>
  <c r="G98" i="31"/>
  <c r="F98" i="31"/>
  <c r="E98" i="31"/>
  <c r="D98" i="31"/>
  <c r="AF83" i="31"/>
  <c r="AF86" i="31" s="1"/>
  <c r="AF87" i="31" s="1"/>
  <c r="AF88" i="31" s="1"/>
  <c r="AD82" i="31"/>
  <c r="AD81" i="31"/>
  <c r="AA79" i="31"/>
  <c r="AA101" i="31" s="1"/>
  <c r="Z79" i="31"/>
  <c r="Z124" i="31" s="1"/>
  <c r="Y79" i="31"/>
  <c r="Y101" i="31" s="1"/>
  <c r="X79" i="31"/>
  <c r="X124" i="31" s="1"/>
  <c r="W79" i="31"/>
  <c r="W101" i="31" s="1"/>
  <c r="V79" i="31"/>
  <c r="V124" i="31" s="1"/>
  <c r="U79" i="31"/>
  <c r="U101" i="31" s="1"/>
  <c r="T79" i="31"/>
  <c r="T124" i="31" s="1"/>
  <c r="S79" i="31"/>
  <c r="S101" i="31" s="1"/>
  <c r="R79" i="31"/>
  <c r="R124" i="31" s="1"/>
  <c r="Q79" i="31"/>
  <c r="Q124" i="31" s="1"/>
  <c r="P79" i="31"/>
  <c r="P124" i="31" s="1"/>
  <c r="O79" i="31"/>
  <c r="O101" i="31" s="1"/>
  <c r="N79" i="31"/>
  <c r="N124" i="31" s="1"/>
  <c r="M79" i="31"/>
  <c r="M101" i="31" s="1"/>
  <c r="L79" i="31"/>
  <c r="L124" i="31" s="1"/>
  <c r="K79" i="31"/>
  <c r="K101" i="31" s="1"/>
  <c r="J79" i="31"/>
  <c r="J124" i="31" s="1"/>
  <c r="I79" i="31"/>
  <c r="I101" i="31" s="1"/>
  <c r="H79" i="31"/>
  <c r="H124" i="31" s="1"/>
  <c r="G79" i="31"/>
  <c r="G101" i="31" s="1"/>
  <c r="F79" i="31"/>
  <c r="F124" i="31" s="1"/>
  <c r="E79" i="31"/>
  <c r="E101" i="31" s="1"/>
  <c r="D79" i="31"/>
  <c r="D124" i="31" s="1"/>
  <c r="AA78" i="31"/>
  <c r="AA99" i="31" s="1"/>
  <c r="Z78" i="31"/>
  <c r="Z99" i="31" s="1"/>
  <c r="Y78" i="31"/>
  <c r="X78" i="31"/>
  <c r="X99" i="31" s="1"/>
  <c r="W78" i="31"/>
  <c r="W99" i="31" s="1"/>
  <c r="V78" i="31"/>
  <c r="V99" i="31" s="1"/>
  <c r="U78" i="31"/>
  <c r="U99" i="31" s="1"/>
  <c r="T78" i="31"/>
  <c r="T99" i="31" s="1"/>
  <c r="S78" i="31"/>
  <c r="S99" i="31" s="1"/>
  <c r="R78" i="31"/>
  <c r="R99" i="31" s="1"/>
  <c r="Q78" i="31"/>
  <c r="P78" i="31"/>
  <c r="P99" i="31" s="1"/>
  <c r="O78" i="31"/>
  <c r="O99" i="31" s="1"/>
  <c r="N78" i="31"/>
  <c r="N99" i="31" s="1"/>
  <c r="M78" i="31"/>
  <c r="M99" i="31" s="1"/>
  <c r="L78" i="31"/>
  <c r="K78" i="31"/>
  <c r="K99" i="31" s="1"/>
  <c r="J78" i="31"/>
  <c r="J99" i="31" s="1"/>
  <c r="I78" i="31"/>
  <c r="I99" i="31" s="1"/>
  <c r="H78" i="31"/>
  <c r="H99" i="31" s="1"/>
  <c r="G78" i="31"/>
  <c r="G99" i="31" s="1"/>
  <c r="F78" i="31"/>
  <c r="F99" i="31" s="1"/>
  <c r="E78" i="31"/>
  <c r="E99" i="31" s="1"/>
  <c r="D78" i="31"/>
  <c r="D99" i="31" s="1"/>
  <c r="K14" i="33"/>
  <c r="I14" i="33"/>
  <c r="G14" i="33"/>
  <c r="F14" i="33"/>
  <c r="E15" i="33"/>
  <c r="D15" i="33"/>
  <c r="AA196" i="32"/>
  <c r="Z196" i="32"/>
  <c r="Y196" i="32"/>
  <c r="X196" i="32"/>
  <c r="W196" i="32"/>
  <c r="V196" i="32"/>
  <c r="U196" i="32"/>
  <c r="T196" i="32"/>
  <c r="S196" i="32"/>
  <c r="R196" i="32"/>
  <c r="Q196" i="32"/>
  <c r="P196" i="32"/>
  <c r="O196" i="32"/>
  <c r="N196" i="32"/>
  <c r="M196" i="32"/>
  <c r="L196" i="32"/>
  <c r="K196" i="32"/>
  <c r="J196" i="32"/>
  <c r="I196" i="32"/>
  <c r="H196" i="32"/>
  <c r="G196" i="32"/>
  <c r="F196" i="32"/>
  <c r="E196" i="32"/>
  <c r="D196" i="32"/>
  <c r="AA195" i="32"/>
  <c r="Z195" i="32"/>
  <c r="Y195" i="32"/>
  <c r="X195" i="32"/>
  <c r="W195" i="32"/>
  <c r="V195" i="32"/>
  <c r="U195" i="32"/>
  <c r="T195" i="32"/>
  <c r="S195" i="32"/>
  <c r="R195" i="32"/>
  <c r="Q195" i="32"/>
  <c r="P195" i="32"/>
  <c r="O195" i="32"/>
  <c r="N195" i="32"/>
  <c r="M195" i="32"/>
  <c r="L195" i="32"/>
  <c r="K195" i="32"/>
  <c r="J195" i="32"/>
  <c r="I195" i="32"/>
  <c r="H195" i="32"/>
  <c r="G195" i="32"/>
  <c r="F195" i="32"/>
  <c r="E195" i="32"/>
  <c r="D195" i="32"/>
  <c r="AA194" i="32"/>
  <c r="Z194" i="32"/>
  <c r="Y194" i="32"/>
  <c r="X194" i="32"/>
  <c r="W194" i="32"/>
  <c r="V194" i="32"/>
  <c r="U194" i="32"/>
  <c r="T194" i="32"/>
  <c r="S194" i="32"/>
  <c r="R194" i="32"/>
  <c r="Q194" i="32"/>
  <c r="P194" i="32"/>
  <c r="O194" i="32"/>
  <c r="N194" i="32"/>
  <c r="M194" i="32"/>
  <c r="L194" i="32"/>
  <c r="K194" i="32"/>
  <c r="J194" i="32"/>
  <c r="I194" i="32"/>
  <c r="H194" i="32"/>
  <c r="G194" i="32"/>
  <c r="F194" i="32"/>
  <c r="E194" i="32"/>
  <c r="D194" i="32"/>
  <c r="AA193" i="32"/>
  <c r="Z193" i="32"/>
  <c r="Y193" i="32"/>
  <c r="X193" i="32"/>
  <c r="W193" i="32"/>
  <c r="V193" i="32"/>
  <c r="U193" i="32"/>
  <c r="T193" i="32"/>
  <c r="S193" i="32"/>
  <c r="R193" i="32"/>
  <c r="Q193" i="32"/>
  <c r="P193" i="32"/>
  <c r="O193" i="32"/>
  <c r="N193" i="32"/>
  <c r="M193" i="32"/>
  <c r="L193" i="32"/>
  <c r="K193" i="32"/>
  <c r="J193" i="32"/>
  <c r="I193" i="32"/>
  <c r="H193" i="32"/>
  <c r="G193" i="32"/>
  <c r="F193" i="32"/>
  <c r="E193" i="32"/>
  <c r="D193" i="32"/>
  <c r="AA179" i="32"/>
  <c r="AA180" i="32" s="1"/>
  <c r="Z179" i="32"/>
  <c r="Z180" i="32" s="1"/>
  <c r="Y179" i="32"/>
  <c r="Y180" i="32" s="1"/>
  <c r="X179" i="32"/>
  <c r="X180" i="32" s="1"/>
  <c r="W179" i="32"/>
  <c r="W180" i="32" s="1"/>
  <c r="V179" i="32"/>
  <c r="V180" i="32" s="1"/>
  <c r="U179" i="32"/>
  <c r="U180" i="32" s="1"/>
  <c r="T179" i="32"/>
  <c r="T180" i="32" s="1"/>
  <c r="S179" i="32"/>
  <c r="S180" i="32" s="1"/>
  <c r="R179" i="32"/>
  <c r="R180" i="32" s="1"/>
  <c r="Q179" i="32"/>
  <c r="Q180" i="32" s="1"/>
  <c r="P179" i="32"/>
  <c r="P180" i="32" s="1"/>
  <c r="P182" i="32" s="1"/>
  <c r="O179" i="32"/>
  <c r="O180" i="32" s="1"/>
  <c r="N179" i="32"/>
  <c r="N180" i="32" s="1"/>
  <c r="M179" i="32"/>
  <c r="M180" i="32" s="1"/>
  <c r="L179" i="32"/>
  <c r="L180" i="32" s="1"/>
  <c r="L182" i="32" s="1"/>
  <c r="K179" i="32"/>
  <c r="K180" i="32" s="1"/>
  <c r="J179" i="32"/>
  <c r="J180" i="32" s="1"/>
  <c r="I179" i="32"/>
  <c r="I180" i="32" s="1"/>
  <c r="H179" i="32"/>
  <c r="H180" i="32" s="1"/>
  <c r="G179" i="32"/>
  <c r="G180" i="32" s="1"/>
  <c r="F179" i="32"/>
  <c r="F180" i="32" s="1"/>
  <c r="E179" i="32"/>
  <c r="E180" i="32" s="1"/>
  <c r="D179" i="32"/>
  <c r="D180" i="32" s="1"/>
  <c r="AA176" i="32"/>
  <c r="Z176" i="32"/>
  <c r="Y176" i="32"/>
  <c r="X176" i="32"/>
  <c r="W176" i="32"/>
  <c r="V176" i="32"/>
  <c r="U176" i="32"/>
  <c r="T176" i="32"/>
  <c r="S176" i="32"/>
  <c r="R176" i="32"/>
  <c r="Q176" i="32"/>
  <c r="P176" i="32"/>
  <c r="O176" i="32"/>
  <c r="N176" i="32"/>
  <c r="M176" i="32"/>
  <c r="L176" i="32"/>
  <c r="K176" i="32"/>
  <c r="J176" i="32"/>
  <c r="I176" i="32"/>
  <c r="H176" i="32"/>
  <c r="G176" i="32"/>
  <c r="F176" i="32"/>
  <c r="E176" i="32"/>
  <c r="D176" i="32"/>
  <c r="AA175" i="32"/>
  <c r="Z175" i="32"/>
  <c r="Y175" i="32"/>
  <c r="X175" i="32"/>
  <c r="W175" i="32"/>
  <c r="V175" i="32"/>
  <c r="U175" i="32"/>
  <c r="T175" i="32"/>
  <c r="S175" i="32"/>
  <c r="R175" i="32"/>
  <c r="Q175" i="32"/>
  <c r="P175" i="32"/>
  <c r="O175" i="32"/>
  <c r="N175" i="32"/>
  <c r="M175" i="32"/>
  <c r="L175" i="32"/>
  <c r="K175" i="32"/>
  <c r="J175" i="32"/>
  <c r="I175" i="32"/>
  <c r="H175" i="32"/>
  <c r="G175" i="32"/>
  <c r="F175" i="32"/>
  <c r="E175" i="32"/>
  <c r="D175" i="32"/>
  <c r="AA171" i="32"/>
  <c r="Z171" i="32"/>
  <c r="Y171" i="32"/>
  <c r="X171" i="32"/>
  <c r="W171" i="32"/>
  <c r="V171" i="32"/>
  <c r="U171" i="32"/>
  <c r="T171" i="32"/>
  <c r="S171" i="32"/>
  <c r="R171" i="32"/>
  <c r="Q171" i="32"/>
  <c r="P171" i="32"/>
  <c r="O171" i="32"/>
  <c r="N171" i="32"/>
  <c r="M171" i="32"/>
  <c r="L171" i="32"/>
  <c r="K171" i="32"/>
  <c r="J171" i="32"/>
  <c r="I171" i="32"/>
  <c r="H171" i="32"/>
  <c r="G171" i="32"/>
  <c r="F171" i="32"/>
  <c r="E171" i="32"/>
  <c r="D171" i="32"/>
  <c r="AA170" i="32"/>
  <c r="Z170" i="32"/>
  <c r="Y170" i="32"/>
  <c r="X170" i="32"/>
  <c r="W170" i="32"/>
  <c r="V170" i="32"/>
  <c r="U170" i="32"/>
  <c r="T170" i="32"/>
  <c r="S170" i="32"/>
  <c r="R170" i="32"/>
  <c r="Q170" i="32"/>
  <c r="P170" i="32"/>
  <c r="O170" i="32"/>
  <c r="N170" i="32"/>
  <c r="M170" i="32"/>
  <c r="L170" i="32"/>
  <c r="K170" i="32"/>
  <c r="J170" i="32"/>
  <c r="I170" i="32"/>
  <c r="H170" i="32"/>
  <c r="G170" i="32"/>
  <c r="F170" i="32"/>
  <c r="E170" i="32"/>
  <c r="D170" i="32"/>
  <c r="AA168" i="32"/>
  <c r="Z168" i="32"/>
  <c r="Y168" i="32"/>
  <c r="X168" i="32"/>
  <c r="W168" i="32"/>
  <c r="V168" i="32"/>
  <c r="U168" i="32"/>
  <c r="T168" i="32"/>
  <c r="S168" i="32"/>
  <c r="R168" i="32"/>
  <c r="Q168" i="32"/>
  <c r="P168" i="32"/>
  <c r="O168" i="32"/>
  <c r="N168" i="32"/>
  <c r="M168" i="32"/>
  <c r="L168" i="32"/>
  <c r="K168" i="32"/>
  <c r="J168" i="32"/>
  <c r="I168" i="32"/>
  <c r="H168" i="32"/>
  <c r="G168" i="32"/>
  <c r="F168" i="32"/>
  <c r="E168" i="32"/>
  <c r="D168" i="32"/>
  <c r="AA166" i="32"/>
  <c r="Z166" i="32"/>
  <c r="Y166" i="32"/>
  <c r="X166" i="32"/>
  <c r="W166" i="32"/>
  <c r="V166" i="32"/>
  <c r="U166" i="32"/>
  <c r="T166" i="32"/>
  <c r="S166" i="32"/>
  <c r="R166" i="32"/>
  <c r="Q166" i="32"/>
  <c r="P166" i="32"/>
  <c r="O166" i="32"/>
  <c r="N166" i="32"/>
  <c r="M166" i="32"/>
  <c r="L166" i="32"/>
  <c r="K166" i="32"/>
  <c r="J166" i="32"/>
  <c r="I166" i="32"/>
  <c r="H166" i="32"/>
  <c r="G166" i="32"/>
  <c r="F166" i="32"/>
  <c r="E166" i="32"/>
  <c r="D166" i="32"/>
  <c r="AF151" i="32"/>
  <c r="AF154" i="32" s="1"/>
  <c r="AF155" i="32" s="1"/>
  <c r="AF156" i="32" s="1"/>
  <c r="AD150" i="32"/>
  <c r="AD149" i="32"/>
  <c r="AA147" i="32"/>
  <c r="AA169" i="32" s="1"/>
  <c r="Z147" i="32"/>
  <c r="Y147" i="32"/>
  <c r="Y192" i="32" s="1"/>
  <c r="X147" i="32"/>
  <c r="X192" i="32" s="1"/>
  <c r="W147" i="32"/>
  <c r="W169" i="32" s="1"/>
  <c r="V147" i="32"/>
  <c r="U147" i="32"/>
  <c r="U192" i="32" s="1"/>
  <c r="T147" i="32"/>
  <c r="T192" i="32" s="1"/>
  <c r="S147" i="32"/>
  <c r="S169" i="32" s="1"/>
  <c r="R147" i="32"/>
  <c r="Q147" i="32"/>
  <c r="Q192" i="32" s="1"/>
  <c r="P147" i="32"/>
  <c r="P192" i="32" s="1"/>
  <c r="O147" i="32"/>
  <c r="O169" i="32" s="1"/>
  <c r="N147" i="32"/>
  <c r="M147" i="32"/>
  <c r="M192" i="32" s="1"/>
  <c r="L147" i="32"/>
  <c r="L192" i="32" s="1"/>
  <c r="K147" i="32"/>
  <c r="K169" i="32" s="1"/>
  <c r="J147" i="32"/>
  <c r="I147" i="32"/>
  <c r="I192" i="32" s="1"/>
  <c r="H147" i="32"/>
  <c r="H192" i="32" s="1"/>
  <c r="G147" i="32"/>
  <c r="G169" i="32" s="1"/>
  <c r="F147" i="32"/>
  <c r="F192" i="32" s="1"/>
  <c r="E147" i="32"/>
  <c r="E192" i="32" s="1"/>
  <c r="D147" i="32"/>
  <c r="D192" i="32" s="1"/>
  <c r="AA146" i="32"/>
  <c r="AA167" i="32" s="1"/>
  <c r="Z146" i="32"/>
  <c r="Z167" i="32" s="1"/>
  <c r="Y146" i="32"/>
  <c r="Y167" i="32" s="1"/>
  <c r="X146" i="32"/>
  <c r="X167" i="32" s="1"/>
  <c r="W146" i="32"/>
  <c r="W167" i="32" s="1"/>
  <c r="V146" i="32"/>
  <c r="V167" i="32" s="1"/>
  <c r="U146" i="32"/>
  <c r="U167" i="32" s="1"/>
  <c r="T146" i="32"/>
  <c r="T167" i="32" s="1"/>
  <c r="S146" i="32"/>
  <c r="S167" i="32" s="1"/>
  <c r="R146" i="32"/>
  <c r="R167" i="32" s="1"/>
  <c r="Q146" i="32"/>
  <c r="Q167" i="32" s="1"/>
  <c r="P146" i="32"/>
  <c r="P167" i="32" s="1"/>
  <c r="O146" i="32"/>
  <c r="O167" i="32" s="1"/>
  <c r="N146" i="32"/>
  <c r="N167" i="32" s="1"/>
  <c r="M146" i="32"/>
  <c r="M167" i="32" s="1"/>
  <c r="L146" i="32"/>
  <c r="L167" i="32" s="1"/>
  <c r="K146" i="32"/>
  <c r="K167" i="32" s="1"/>
  <c r="J146" i="32"/>
  <c r="J167" i="32" s="1"/>
  <c r="I146" i="32"/>
  <c r="I167" i="32" s="1"/>
  <c r="H146" i="32"/>
  <c r="H167" i="32" s="1"/>
  <c r="G146" i="32"/>
  <c r="G167" i="32" s="1"/>
  <c r="F146" i="32"/>
  <c r="F167" i="32" s="1"/>
  <c r="E146" i="32"/>
  <c r="E167" i="32" s="1"/>
  <c r="D146" i="32"/>
  <c r="D167" i="32" s="1"/>
  <c r="Y101" i="24" l="1"/>
  <c r="V172" i="28"/>
  <c r="D172" i="30"/>
  <c r="L130" i="30"/>
  <c r="W104" i="30"/>
  <c r="J116" i="30"/>
  <c r="J118" i="30" s="1"/>
  <c r="E104" i="30"/>
  <c r="H172" i="30"/>
  <c r="P130" i="30"/>
  <c r="Y130" i="30"/>
  <c r="Y132" i="30" s="1"/>
  <c r="W130" i="30"/>
  <c r="W132" i="30" s="1"/>
  <c r="G172" i="30"/>
  <c r="R172" i="30"/>
  <c r="W182" i="30"/>
  <c r="M104" i="30"/>
  <c r="M172" i="30"/>
  <c r="Q198" i="30"/>
  <c r="Q200" i="30" s="1"/>
  <c r="S198" i="30"/>
  <c r="M130" i="30"/>
  <c r="M132" i="30" s="1"/>
  <c r="AA104" i="30"/>
  <c r="J198" i="30"/>
  <c r="J200" i="30" s="1"/>
  <c r="AA172" i="30"/>
  <c r="L198" i="30"/>
  <c r="T198" i="30"/>
  <c r="T200" i="30" s="1"/>
  <c r="AA198" i="30"/>
  <c r="Y104" i="30"/>
  <c r="W198" i="30"/>
  <c r="W200" i="30" s="1"/>
  <c r="S172" i="30"/>
  <c r="N172" i="30"/>
  <c r="K120" i="29"/>
  <c r="K134" i="29" s="1"/>
  <c r="K135" i="29" s="1"/>
  <c r="AA198" i="29"/>
  <c r="AA200" i="29" s="1"/>
  <c r="O172" i="29"/>
  <c r="O188" i="29" s="1"/>
  <c r="O202" i="29" s="1"/>
  <c r="O203" i="29" s="1"/>
  <c r="D172" i="29"/>
  <c r="D188" i="29" s="1"/>
  <c r="D202" i="29" s="1"/>
  <c r="D203" i="29" s="1"/>
  <c r="S104" i="29"/>
  <c r="Y172" i="29"/>
  <c r="V181" i="29"/>
  <c r="H172" i="29"/>
  <c r="H188" i="29" s="1"/>
  <c r="H202" i="29" s="1"/>
  <c r="H203" i="29" s="1"/>
  <c r="G172" i="29"/>
  <c r="Z198" i="29"/>
  <c r="Z200" i="29" s="1"/>
  <c r="J172" i="29"/>
  <c r="O192" i="24"/>
  <c r="Q101" i="24"/>
  <c r="K124" i="24"/>
  <c r="K130" i="24" s="1"/>
  <c r="K132" i="24" s="1"/>
  <c r="D169" i="24"/>
  <c r="W124" i="24"/>
  <c r="T169" i="24"/>
  <c r="T172" i="24" s="1"/>
  <c r="I169" i="32"/>
  <c r="T169" i="32"/>
  <c r="U124" i="31"/>
  <c r="O130" i="30"/>
  <c r="O132" i="30" s="1"/>
  <c r="L169" i="32"/>
  <c r="L172" i="32" s="1"/>
  <c r="P101" i="31"/>
  <c r="P104" i="31" s="1"/>
  <c r="G124" i="31"/>
  <c r="W124" i="31"/>
  <c r="Y170" i="31"/>
  <c r="H193" i="31"/>
  <c r="S101" i="24"/>
  <c r="AA124" i="24"/>
  <c r="U169" i="24"/>
  <c r="U172" i="24" s="1"/>
  <c r="R130" i="29"/>
  <c r="R132" i="29" s="1"/>
  <c r="V198" i="29"/>
  <c r="V200" i="29" s="1"/>
  <c r="S198" i="29"/>
  <c r="I104" i="30"/>
  <c r="H130" i="30"/>
  <c r="H132" i="30" s="1"/>
  <c r="O104" i="28"/>
  <c r="O120" i="28" s="1"/>
  <c r="O134" i="28" s="1"/>
  <c r="O135" i="28" s="1"/>
  <c r="H104" i="29"/>
  <c r="Y172" i="30"/>
  <c r="Q169" i="32"/>
  <c r="Q172" i="32" s="1"/>
  <c r="Q101" i="31"/>
  <c r="I124" i="31"/>
  <c r="Y124" i="31"/>
  <c r="O193" i="31"/>
  <c r="X169" i="24"/>
  <c r="G192" i="24"/>
  <c r="Q104" i="29"/>
  <c r="Q200" i="29"/>
  <c r="K104" i="28"/>
  <c r="Z104" i="28"/>
  <c r="V172" i="29"/>
  <c r="L132" i="30"/>
  <c r="Q130" i="30"/>
  <c r="Q132" i="30" s="1"/>
  <c r="X130" i="30"/>
  <c r="X132" i="30" s="1"/>
  <c r="F198" i="30"/>
  <c r="F200" i="30" s="1"/>
  <c r="X104" i="29"/>
  <c r="R104" i="28"/>
  <c r="O104" i="29"/>
  <c r="O120" i="29" s="1"/>
  <c r="O134" i="29" s="1"/>
  <c r="O135" i="29" s="1"/>
  <c r="M124" i="31"/>
  <c r="G124" i="24"/>
  <c r="G130" i="24" s="1"/>
  <c r="G132" i="24" s="1"/>
  <c r="E169" i="24"/>
  <c r="E172" i="24" s="1"/>
  <c r="V130" i="29"/>
  <c r="V132" i="29" s="1"/>
  <c r="Y198" i="29"/>
  <c r="Y200" i="29" s="1"/>
  <c r="P132" i="30"/>
  <c r="V198" i="30"/>
  <c r="V200" i="30" s="1"/>
  <c r="T172" i="28"/>
  <c r="H192" i="24"/>
  <c r="H198" i="24" s="1"/>
  <c r="P192" i="24"/>
  <c r="P198" i="24" s="1"/>
  <c r="P200" i="24" s="1"/>
  <c r="Z104" i="30"/>
  <c r="N198" i="30"/>
  <c r="E124" i="31"/>
  <c r="P193" i="31"/>
  <c r="P199" i="31" s="1"/>
  <c r="P201" i="31" s="1"/>
  <c r="D169" i="32"/>
  <c r="D172" i="32" s="1"/>
  <c r="H101" i="31"/>
  <c r="O124" i="24"/>
  <c r="O130" i="24" s="1"/>
  <c r="O132" i="24" s="1"/>
  <c r="I169" i="24"/>
  <c r="I172" i="24" s="1"/>
  <c r="I188" i="24" s="1"/>
  <c r="W192" i="24"/>
  <c r="D188" i="28"/>
  <c r="S132" i="29"/>
  <c r="T198" i="29"/>
  <c r="T200" i="29" s="1"/>
  <c r="W198" i="29"/>
  <c r="U104" i="30"/>
  <c r="S104" i="28"/>
  <c r="D104" i="29"/>
  <c r="W130" i="29"/>
  <c r="W132" i="29" s="1"/>
  <c r="Y169" i="32"/>
  <c r="Y172" i="32" s="1"/>
  <c r="X101" i="31"/>
  <c r="X104" i="31" s="1"/>
  <c r="X193" i="31"/>
  <c r="E169" i="32"/>
  <c r="E172" i="32" s="1"/>
  <c r="O192" i="32"/>
  <c r="S124" i="31"/>
  <c r="O130" i="31"/>
  <c r="T170" i="31"/>
  <c r="U132" i="29"/>
  <c r="R198" i="29"/>
  <c r="R200" i="29" s="1"/>
  <c r="P198" i="29"/>
  <c r="P200" i="29" s="1"/>
  <c r="S130" i="30"/>
  <c r="S132" i="30" s="1"/>
  <c r="I130" i="30"/>
  <c r="I132" i="30" s="1"/>
  <c r="L200" i="30"/>
  <c r="K198" i="30"/>
  <c r="K200" i="30" s="1"/>
  <c r="V172" i="30"/>
  <c r="W104" i="29"/>
  <c r="L104" i="30"/>
  <c r="F104" i="28"/>
  <c r="L104" i="28"/>
  <c r="I172" i="30"/>
  <c r="X172" i="28"/>
  <c r="W172" i="30"/>
  <c r="P172" i="30"/>
  <c r="Y172" i="24"/>
  <c r="J120" i="28"/>
  <c r="V104" i="28"/>
  <c r="J120" i="29"/>
  <c r="J134" i="29" s="1"/>
  <c r="J135" i="29" s="1"/>
  <c r="V104" i="30"/>
  <c r="R104" i="29"/>
  <c r="P104" i="28"/>
  <c r="T104" i="28"/>
  <c r="H104" i="30"/>
  <c r="G120" i="29"/>
  <c r="G134" i="29" s="1"/>
  <c r="G135" i="29" s="1"/>
  <c r="Q104" i="30"/>
  <c r="X172" i="30"/>
  <c r="T172" i="30"/>
  <c r="N104" i="30"/>
  <c r="X104" i="30"/>
  <c r="F104" i="30"/>
  <c r="R104" i="30"/>
  <c r="T104" i="30"/>
  <c r="J104" i="30"/>
  <c r="J120" i="30" s="1"/>
  <c r="D104" i="30"/>
  <c r="T104" i="31"/>
  <c r="W104" i="28"/>
  <c r="G104" i="28"/>
  <c r="G120" i="28" s="1"/>
  <c r="G134" i="28" s="1"/>
  <c r="G135" i="28" s="1"/>
  <c r="L104" i="29"/>
  <c r="L120" i="29" s="1"/>
  <c r="D104" i="28"/>
  <c r="N172" i="28"/>
  <c r="N188" i="28" s="1"/>
  <c r="N202" i="28" s="1"/>
  <c r="N203" i="28" s="1"/>
  <c r="P172" i="29"/>
  <c r="J188" i="28"/>
  <c r="L172" i="28"/>
  <c r="R172" i="28"/>
  <c r="F172" i="28"/>
  <c r="F188" i="28" s="1"/>
  <c r="F202" i="28" s="1"/>
  <c r="F203" i="28" s="1"/>
  <c r="AA172" i="29"/>
  <c r="X172" i="29"/>
  <c r="I188" i="29"/>
  <c r="I202" i="29" s="1"/>
  <c r="I203" i="29" s="1"/>
  <c r="Y104" i="29"/>
  <c r="D120" i="28"/>
  <c r="D134" i="28" s="1"/>
  <c r="D135" i="28" s="1"/>
  <c r="Z104" i="29"/>
  <c r="W172" i="29"/>
  <c r="L188" i="29"/>
  <c r="L202" i="29" s="1"/>
  <c r="L203" i="29" s="1"/>
  <c r="T104" i="29"/>
  <c r="N120" i="29"/>
  <c r="N134" i="29" s="1"/>
  <c r="N135" i="29" s="1"/>
  <c r="F120" i="29"/>
  <c r="F134" i="29" s="1"/>
  <c r="F135" i="29" s="1"/>
  <c r="P104" i="29"/>
  <c r="E188" i="28"/>
  <c r="E202" i="28" s="1"/>
  <c r="E203" i="28" s="1"/>
  <c r="AA104" i="28"/>
  <c r="I134" i="28"/>
  <c r="I135" i="28" s="1"/>
  <c r="H134" i="28"/>
  <c r="H135" i="28" s="1"/>
  <c r="G104" i="24"/>
  <c r="K104" i="24"/>
  <c r="S104" i="24"/>
  <c r="H104" i="31"/>
  <c r="H120" i="31" s="1"/>
  <c r="E104" i="31"/>
  <c r="I104" i="31"/>
  <c r="M104" i="31"/>
  <c r="Q104" i="31"/>
  <c r="U104" i="31"/>
  <c r="Y104" i="31"/>
  <c r="D104" i="31"/>
  <c r="K172" i="30"/>
  <c r="Q172" i="30"/>
  <c r="S200" i="30"/>
  <c r="N200" i="30"/>
  <c r="S182" i="30"/>
  <c r="S181" i="30"/>
  <c r="S184" i="30"/>
  <c r="S186" i="30" s="1"/>
  <c r="X198" i="30"/>
  <c r="X200" i="30" s="1"/>
  <c r="P198" i="30"/>
  <c r="P200" i="30" s="1"/>
  <c r="H198" i="30"/>
  <c r="H200" i="30" s="1"/>
  <c r="Q184" i="30"/>
  <c r="Q186" i="30" s="1"/>
  <c r="Q182" i="30"/>
  <c r="Q181" i="30"/>
  <c r="AA200" i="30"/>
  <c r="O182" i="30"/>
  <c r="O184" i="30"/>
  <c r="O186" i="30" s="1"/>
  <c r="O188" i="30" s="1"/>
  <c r="O181" i="30"/>
  <c r="U198" i="30"/>
  <c r="U200" i="30" s="1"/>
  <c r="E184" i="30"/>
  <c r="E186" i="30" s="1"/>
  <c r="E188" i="30" s="1"/>
  <c r="E182" i="30"/>
  <c r="E181" i="30"/>
  <c r="Y198" i="30"/>
  <c r="Y200" i="30" s="1"/>
  <c r="I198" i="30"/>
  <c r="I200" i="30" s="1"/>
  <c r="O198" i="30"/>
  <c r="O200" i="30" s="1"/>
  <c r="G200" i="30"/>
  <c r="K181" i="30"/>
  <c r="K184" i="30"/>
  <c r="K186" i="30" s="1"/>
  <c r="K182" i="30"/>
  <c r="D182" i="30"/>
  <c r="D184" i="30"/>
  <c r="D186" i="30" s="1"/>
  <c r="D181" i="30"/>
  <c r="X182" i="30"/>
  <c r="X181" i="30"/>
  <c r="X184" i="30"/>
  <c r="X186" i="30" s="1"/>
  <c r="P184" i="30"/>
  <c r="P186" i="30" s="1"/>
  <c r="P182" i="30"/>
  <c r="P181" i="30"/>
  <c r="H182" i="30"/>
  <c r="H184" i="30"/>
  <c r="H186" i="30" s="1"/>
  <c r="H188" i="30" s="1"/>
  <c r="H181" i="30"/>
  <c r="G184" i="30"/>
  <c r="G186" i="30" s="1"/>
  <c r="G188" i="30" s="1"/>
  <c r="G181" i="30"/>
  <c r="G182" i="30"/>
  <c r="F184" i="30"/>
  <c r="F186" i="30" s="1"/>
  <c r="F188" i="30" s="1"/>
  <c r="F181" i="30"/>
  <c r="F182" i="30"/>
  <c r="AA184" i="30"/>
  <c r="AA186" i="30" s="1"/>
  <c r="AA181" i="30"/>
  <c r="AA182" i="30"/>
  <c r="V181" i="30"/>
  <c r="V184" i="30"/>
  <c r="V186" i="30" s="1"/>
  <c r="V182" i="30"/>
  <c r="R184" i="30"/>
  <c r="R186" i="30" s="1"/>
  <c r="R181" i="30"/>
  <c r="R182" i="30"/>
  <c r="N184" i="30"/>
  <c r="N186" i="30" s="1"/>
  <c r="N182" i="30"/>
  <c r="N181" i="30"/>
  <c r="I184" i="30"/>
  <c r="I186" i="30" s="1"/>
  <c r="I188" i="30" s="1"/>
  <c r="I182" i="30"/>
  <c r="I181" i="30"/>
  <c r="E198" i="30"/>
  <c r="E200" i="30" s="1"/>
  <c r="D198" i="30"/>
  <c r="D200" i="30" s="1"/>
  <c r="U184" i="30"/>
  <c r="U186" i="30" s="1"/>
  <c r="U182" i="30"/>
  <c r="U181" i="30"/>
  <c r="T182" i="30"/>
  <c r="T184" i="30"/>
  <c r="T186" i="30" s="1"/>
  <c r="T181" i="30"/>
  <c r="L184" i="30"/>
  <c r="L186" i="30" s="1"/>
  <c r="L188" i="30" s="1"/>
  <c r="L181" i="30"/>
  <c r="L182" i="30"/>
  <c r="M198" i="30"/>
  <c r="M200" i="30" s="1"/>
  <c r="R198" i="30"/>
  <c r="R200" i="30" s="1"/>
  <c r="M184" i="30"/>
  <c r="M186" i="30" s="1"/>
  <c r="M182" i="30"/>
  <c r="M181" i="30"/>
  <c r="J182" i="30"/>
  <c r="J184" i="30"/>
  <c r="J186" i="30" s="1"/>
  <c r="J188" i="30" s="1"/>
  <c r="J181" i="30"/>
  <c r="K132" i="30"/>
  <c r="N116" i="30"/>
  <c r="N118" i="30" s="1"/>
  <c r="N120" i="30" s="1"/>
  <c r="N114" i="30"/>
  <c r="N113" i="30"/>
  <c r="E130" i="30"/>
  <c r="E132" i="30" s="1"/>
  <c r="P116" i="30"/>
  <c r="P118" i="30" s="1"/>
  <c r="P113" i="30"/>
  <c r="P114" i="30"/>
  <c r="T116" i="30"/>
  <c r="T118" i="30" s="1"/>
  <c r="T113" i="30"/>
  <c r="T114" i="30"/>
  <c r="N130" i="30"/>
  <c r="N132" i="30" s="1"/>
  <c r="G113" i="30"/>
  <c r="G114" i="30"/>
  <c r="G116" i="30"/>
  <c r="G118" i="30" s="1"/>
  <c r="G120" i="30" s="1"/>
  <c r="U116" i="30"/>
  <c r="U118" i="30" s="1"/>
  <c r="U113" i="30"/>
  <c r="U114" i="30"/>
  <c r="M114" i="30"/>
  <c r="M116" i="30"/>
  <c r="M118" i="30" s="1"/>
  <c r="M120" i="30" s="1"/>
  <c r="M113" i="30"/>
  <c r="K130" i="30"/>
  <c r="G130" i="30"/>
  <c r="T130" i="30"/>
  <c r="T132" i="30" s="1"/>
  <c r="D130" i="30"/>
  <c r="D132" i="30" s="1"/>
  <c r="AA130" i="30"/>
  <c r="AA132" i="30" s="1"/>
  <c r="H114" i="30"/>
  <c r="H116" i="30"/>
  <c r="H118" i="30" s="1"/>
  <c r="H113" i="30"/>
  <c r="O114" i="30"/>
  <c r="O113" i="30"/>
  <c r="O116" i="30"/>
  <c r="O118" i="30" s="1"/>
  <c r="O120" i="30" s="1"/>
  <c r="Z130" i="30"/>
  <c r="Z132" i="30" s="1"/>
  <c r="R130" i="30"/>
  <c r="R132" i="30" s="1"/>
  <c r="J130" i="30"/>
  <c r="J132" i="30" s="1"/>
  <c r="D114" i="30"/>
  <c r="D113" i="30"/>
  <c r="D116" i="30"/>
  <c r="D118" i="30" s="1"/>
  <c r="D120" i="30" s="1"/>
  <c r="X114" i="30"/>
  <c r="X116" i="30"/>
  <c r="X118" i="30" s="1"/>
  <c r="X113" i="30"/>
  <c r="AA116" i="30"/>
  <c r="AA118" i="30" s="1"/>
  <c r="AA113" i="30"/>
  <c r="AA114" i="30"/>
  <c r="Y114" i="30"/>
  <c r="Y113" i="30"/>
  <c r="Y116" i="30"/>
  <c r="Y118" i="30" s="1"/>
  <c r="Q113" i="30"/>
  <c r="Q114" i="30"/>
  <c r="Q116" i="30"/>
  <c r="Q118" i="30" s="1"/>
  <c r="I116" i="30"/>
  <c r="I118" i="30" s="1"/>
  <c r="I120" i="30" s="1"/>
  <c r="I113" i="30"/>
  <c r="I114" i="30"/>
  <c r="V116" i="30"/>
  <c r="V118" i="30" s="1"/>
  <c r="V114" i="30"/>
  <c r="V113" i="30"/>
  <c r="E116" i="30"/>
  <c r="E118" i="30" s="1"/>
  <c r="E120" i="30" s="1"/>
  <c r="E113" i="30"/>
  <c r="E114" i="30"/>
  <c r="L116" i="30"/>
  <c r="L118" i="30" s="1"/>
  <c r="L114" i="30"/>
  <c r="L113" i="30"/>
  <c r="W116" i="30"/>
  <c r="W118" i="30" s="1"/>
  <c r="W114" i="30"/>
  <c r="W113" i="30"/>
  <c r="S114" i="30"/>
  <c r="S116" i="30"/>
  <c r="S118" i="30" s="1"/>
  <c r="S113" i="30"/>
  <c r="K116" i="30"/>
  <c r="K118" i="30" s="1"/>
  <c r="K120" i="30" s="1"/>
  <c r="K113" i="30"/>
  <c r="K114" i="30"/>
  <c r="F116" i="30"/>
  <c r="F118" i="30" s="1"/>
  <c r="F114" i="30"/>
  <c r="F113" i="30"/>
  <c r="V130" i="30"/>
  <c r="V132" i="30" s="1"/>
  <c r="F130" i="30"/>
  <c r="F132" i="30" s="1"/>
  <c r="G132" i="30"/>
  <c r="G188" i="29"/>
  <c r="G202" i="29" s="1"/>
  <c r="G203" i="29" s="1"/>
  <c r="K188" i="29"/>
  <c r="K202" i="29" s="1"/>
  <c r="K203" i="29" s="1"/>
  <c r="J188" i="29"/>
  <c r="J202" i="29" s="1"/>
  <c r="J203" i="29" s="1"/>
  <c r="X200" i="29"/>
  <c r="S200" i="29"/>
  <c r="Z184" i="29"/>
  <c r="Z186" i="29" s="1"/>
  <c r="Z182" i="29"/>
  <c r="Z181" i="29"/>
  <c r="U184" i="29"/>
  <c r="U186" i="29" s="1"/>
  <c r="U182" i="29"/>
  <c r="U181" i="29"/>
  <c r="E188" i="29"/>
  <c r="E202" i="29" s="1"/>
  <c r="E203" i="29" s="1"/>
  <c r="U198" i="29"/>
  <c r="U200" i="29" s="1"/>
  <c r="S184" i="29"/>
  <c r="S186" i="29" s="1"/>
  <c r="S182" i="29"/>
  <c r="S181" i="29"/>
  <c r="Y184" i="29"/>
  <c r="Y186" i="29" s="1"/>
  <c r="Y182" i="29"/>
  <c r="Y181" i="29"/>
  <c r="W200" i="29"/>
  <c r="Q184" i="29"/>
  <c r="Q186" i="29" s="1"/>
  <c r="Q182" i="29"/>
  <c r="Q181" i="29"/>
  <c r="W184" i="29"/>
  <c r="W186" i="29" s="1"/>
  <c r="W182" i="29"/>
  <c r="W181" i="29"/>
  <c r="F188" i="29"/>
  <c r="F202" i="29" s="1"/>
  <c r="F203" i="29" s="1"/>
  <c r="M188" i="29"/>
  <c r="M202" i="29" s="1"/>
  <c r="M203" i="29" s="1"/>
  <c r="AA184" i="29"/>
  <c r="AA186" i="29" s="1"/>
  <c r="AA182" i="29"/>
  <c r="AA181" i="29"/>
  <c r="R184" i="29"/>
  <c r="R186" i="29" s="1"/>
  <c r="R182" i="29"/>
  <c r="R181" i="29"/>
  <c r="T184" i="29"/>
  <c r="T186" i="29" s="1"/>
  <c r="T182" i="29"/>
  <c r="T181" i="29"/>
  <c r="N188" i="29"/>
  <c r="N202" i="29" s="1"/>
  <c r="N203" i="29" s="1"/>
  <c r="U116" i="29"/>
  <c r="U118" i="29" s="1"/>
  <c r="U114" i="29"/>
  <c r="U113" i="29"/>
  <c r="T116" i="29"/>
  <c r="T118" i="29" s="1"/>
  <c r="T114" i="29"/>
  <c r="T113" i="29"/>
  <c r="R116" i="29"/>
  <c r="R118" i="29" s="1"/>
  <c r="R114" i="29"/>
  <c r="R113" i="29"/>
  <c r="V116" i="29"/>
  <c r="V118" i="29" s="1"/>
  <c r="V114" i="29"/>
  <c r="V113" i="29"/>
  <c r="Z132" i="29"/>
  <c r="P116" i="29"/>
  <c r="P118" i="29" s="1"/>
  <c r="P113" i="29"/>
  <c r="P114" i="29"/>
  <c r="X130" i="29"/>
  <c r="X132" i="29" s="1"/>
  <c r="H130" i="29"/>
  <c r="H132" i="29" s="1"/>
  <c r="H120" i="29"/>
  <c r="Y130" i="29"/>
  <c r="Y132" i="29" s="1"/>
  <c r="D120" i="29"/>
  <c r="AA130" i="29"/>
  <c r="AA132" i="29" s="1"/>
  <c r="I120" i="29"/>
  <c r="Y116" i="29"/>
  <c r="Y118" i="29" s="1"/>
  <c r="Y113" i="29"/>
  <c r="Y114" i="29"/>
  <c r="Z116" i="29"/>
  <c r="Z118" i="29" s="1"/>
  <c r="Z114" i="29"/>
  <c r="Z113" i="29"/>
  <c r="Q130" i="29"/>
  <c r="Q132" i="29" s="1"/>
  <c r="I130" i="29"/>
  <c r="I132" i="29" s="1"/>
  <c r="P130" i="29"/>
  <c r="P132" i="29" s="1"/>
  <c r="M120" i="29"/>
  <c r="L130" i="29"/>
  <c r="L132" i="29" s="1"/>
  <c r="M130" i="29"/>
  <c r="M132" i="29" s="1"/>
  <c r="E130" i="29"/>
  <c r="E132" i="29" s="1"/>
  <c r="E120" i="29"/>
  <c r="T130" i="29"/>
  <c r="T132" i="29" s="1"/>
  <c r="D130" i="29"/>
  <c r="D132" i="29" s="1"/>
  <c r="O188" i="28"/>
  <c r="O198" i="28"/>
  <c r="O200" i="28" s="1"/>
  <c r="L188" i="28"/>
  <c r="L202" i="28" s="1"/>
  <c r="L203" i="28" s="1"/>
  <c r="K200" i="28"/>
  <c r="K198" i="28"/>
  <c r="J202" i="28"/>
  <c r="J203" i="28" s="1"/>
  <c r="W198" i="28"/>
  <c r="W200" i="28" s="1"/>
  <c r="G188" i="28"/>
  <c r="K188" i="28"/>
  <c r="AA198" i="28"/>
  <c r="AA200" i="28" s="1"/>
  <c r="M188" i="28"/>
  <c r="M202" i="28" s="1"/>
  <c r="M203" i="28" s="1"/>
  <c r="G198" i="28"/>
  <c r="G200" i="28" s="1"/>
  <c r="I188" i="28"/>
  <c r="I202" i="28" s="1"/>
  <c r="I203" i="28" s="1"/>
  <c r="S198" i="28"/>
  <c r="S200" i="28" s="1"/>
  <c r="H188" i="28"/>
  <c r="H202" i="28" s="1"/>
  <c r="H203" i="28" s="1"/>
  <c r="J130" i="28"/>
  <c r="J132" i="28" s="1"/>
  <c r="N120" i="28"/>
  <c r="AI74" i="28"/>
  <c r="E120" i="28"/>
  <c r="E134" i="28" s="1"/>
  <c r="E135" i="28" s="1"/>
  <c r="S130" i="28"/>
  <c r="S132" i="28" s="1"/>
  <c r="K120" i="28"/>
  <c r="K134" i="28" s="1"/>
  <c r="K135" i="28" s="1"/>
  <c r="Z130" i="28"/>
  <c r="Z132" i="28" s="1"/>
  <c r="R130" i="28"/>
  <c r="R132" i="28" s="1"/>
  <c r="F130" i="28"/>
  <c r="F132" i="28" s="1"/>
  <c r="M120" i="28"/>
  <c r="M134" i="28" s="1"/>
  <c r="M135" i="28" s="1"/>
  <c r="L120" i="28"/>
  <c r="L134" i="28" s="1"/>
  <c r="L135" i="28" s="1"/>
  <c r="F120" i="28"/>
  <c r="V130" i="28"/>
  <c r="V132" i="28" s="1"/>
  <c r="N130" i="28"/>
  <c r="N132" i="28" s="1"/>
  <c r="P186" i="24"/>
  <c r="H172" i="24"/>
  <c r="H188" i="24" s="1"/>
  <c r="P172" i="24"/>
  <c r="X172" i="24"/>
  <c r="D172" i="24"/>
  <c r="D198" i="24"/>
  <c r="D200" i="24" s="1"/>
  <c r="L198" i="24"/>
  <c r="L200" i="24" s="1"/>
  <c r="D184" i="24"/>
  <c r="D186" i="24" s="1"/>
  <c r="D182" i="24"/>
  <c r="D181" i="24"/>
  <c r="L184" i="24"/>
  <c r="L186" i="24" s="1"/>
  <c r="L182" i="24"/>
  <c r="L181" i="24"/>
  <c r="T184" i="24"/>
  <c r="T186" i="24" s="1"/>
  <c r="T182" i="24"/>
  <c r="T181" i="24"/>
  <c r="E184" i="24"/>
  <c r="E186" i="24" s="1"/>
  <c r="E182" i="24"/>
  <c r="E181" i="24"/>
  <c r="M184" i="24"/>
  <c r="M186" i="24" s="1"/>
  <c r="M182" i="24"/>
  <c r="M181" i="24"/>
  <c r="U184" i="24"/>
  <c r="U186" i="24" s="1"/>
  <c r="U182" i="24"/>
  <c r="U181" i="24"/>
  <c r="T198" i="24"/>
  <c r="T200" i="24" s="1"/>
  <c r="J200" i="24"/>
  <c r="J198" i="24"/>
  <c r="R198" i="24"/>
  <c r="R200" i="24" s="1"/>
  <c r="Z198" i="24"/>
  <c r="Z200" i="24" s="1"/>
  <c r="F184" i="24"/>
  <c r="F186" i="24" s="1"/>
  <c r="F182" i="24"/>
  <c r="F181" i="24"/>
  <c r="R184" i="24"/>
  <c r="R186" i="24" s="1"/>
  <c r="R182" i="24"/>
  <c r="R181" i="24"/>
  <c r="Z184" i="24"/>
  <c r="Z186" i="24" s="1"/>
  <c r="Z182" i="24"/>
  <c r="Z181" i="24"/>
  <c r="X181" i="24"/>
  <c r="P182" i="24"/>
  <c r="X184" i="24"/>
  <c r="X186" i="24" s="1"/>
  <c r="G198" i="24"/>
  <c r="G200" i="24" s="1"/>
  <c r="F169" i="24"/>
  <c r="F172" i="24" s="1"/>
  <c r="L169" i="24"/>
  <c r="L172" i="24" s="1"/>
  <c r="Q169" i="24"/>
  <c r="Q172" i="24" s="1"/>
  <c r="V169" i="24"/>
  <c r="V172" i="24" s="1"/>
  <c r="K192" i="24"/>
  <c r="S192" i="24"/>
  <c r="AA192" i="24"/>
  <c r="F198" i="24"/>
  <c r="F200" i="24" s="1"/>
  <c r="N198" i="24"/>
  <c r="N200" i="24" s="1"/>
  <c r="V198" i="24"/>
  <c r="V200" i="24" s="1"/>
  <c r="N169" i="24"/>
  <c r="N172" i="24" s="1"/>
  <c r="J184" i="24"/>
  <c r="J186" i="24" s="1"/>
  <c r="J182" i="24"/>
  <c r="J181" i="24"/>
  <c r="N184" i="24"/>
  <c r="N186" i="24" s="1"/>
  <c r="N182" i="24"/>
  <c r="N181" i="24"/>
  <c r="V184" i="24"/>
  <c r="V186" i="24" s="1"/>
  <c r="V182" i="24"/>
  <c r="V181" i="24"/>
  <c r="H181" i="24"/>
  <c r="P181" i="24"/>
  <c r="H182" i="24"/>
  <c r="O198" i="24"/>
  <c r="O200" i="24" s="1"/>
  <c r="W198" i="24"/>
  <c r="W200" i="24" s="1"/>
  <c r="J169" i="24"/>
  <c r="J172" i="24" s="1"/>
  <c r="Z169" i="24"/>
  <c r="Z172" i="24" s="1"/>
  <c r="G184" i="24"/>
  <c r="G186" i="24" s="1"/>
  <c r="G182" i="24"/>
  <c r="G181" i="24"/>
  <c r="K184" i="24"/>
  <c r="K186" i="24" s="1"/>
  <c r="K182" i="24"/>
  <c r="K181" i="24"/>
  <c r="O184" i="24"/>
  <c r="O186" i="24" s="1"/>
  <c r="O182" i="24"/>
  <c r="O181" i="24"/>
  <c r="S184" i="24"/>
  <c r="S186" i="24" s="1"/>
  <c r="S182" i="24"/>
  <c r="S181" i="24"/>
  <c r="W184" i="24"/>
  <c r="W186" i="24" s="1"/>
  <c r="W182" i="24"/>
  <c r="W181" i="24"/>
  <c r="AA184" i="24"/>
  <c r="AA186" i="24" s="1"/>
  <c r="AA182" i="24"/>
  <c r="AA181" i="24"/>
  <c r="I181" i="24"/>
  <c r="Q181" i="24"/>
  <c r="Y181" i="24"/>
  <c r="I182" i="24"/>
  <c r="Q182" i="24"/>
  <c r="Y182" i="24"/>
  <c r="X198" i="24"/>
  <c r="X200" i="24" s="1"/>
  <c r="E200" i="24"/>
  <c r="E198" i="24"/>
  <c r="I198" i="24"/>
  <c r="I200" i="24" s="1"/>
  <c r="M198" i="24"/>
  <c r="M200" i="24" s="1"/>
  <c r="Q198" i="24"/>
  <c r="Q200" i="24" s="1"/>
  <c r="U198" i="24"/>
  <c r="U200" i="24" s="1"/>
  <c r="Y198" i="24"/>
  <c r="Y200" i="24" s="1"/>
  <c r="G172" i="24"/>
  <c r="K172" i="24"/>
  <c r="O172" i="24"/>
  <c r="S172" i="24"/>
  <c r="W172" i="24"/>
  <c r="AA172" i="24"/>
  <c r="M169" i="24"/>
  <c r="M172" i="24" s="1"/>
  <c r="R169" i="24"/>
  <c r="R172" i="24" s="1"/>
  <c r="D114" i="24"/>
  <c r="D116" i="24"/>
  <c r="D118" i="24" s="1"/>
  <c r="D113" i="24"/>
  <c r="L113" i="24"/>
  <c r="L114" i="24"/>
  <c r="L116" i="24"/>
  <c r="L118" i="24" s="1"/>
  <c r="T114" i="24"/>
  <c r="T113" i="24"/>
  <c r="T116" i="24"/>
  <c r="T118" i="24" s="1"/>
  <c r="D130" i="24"/>
  <c r="D132" i="24" s="1"/>
  <c r="L130" i="24"/>
  <c r="L132" i="24" s="1"/>
  <c r="T130" i="24"/>
  <c r="T132" i="24" s="1"/>
  <c r="X101" i="24"/>
  <c r="X104" i="24" s="1"/>
  <c r="X124" i="24"/>
  <c r="I130" i="24"/>
  <c r="I132" i="24" s="1"/>
  <c r="Q130" i="24"/>
  <c r="Q132" i="24" s="1"/>
  <c r="Y130" i="24"/>
  <c r="Y132" i="24" s="1"/>
  <c r="F124" i="24"/>
  <c r="F101" i="24"/>
  <c r="J124" i="24"/>
  <c r="J101" i="24"/>
  <c r="J104" i="24" s="1"/>
  <c r="N124" i="24"/>
  <c r="N101" i="24"/>
  <c r="R124" i="24"/>
  <c r="R101" i="24"/>
  <c r="R104" i="24" s="1"/>
  <c r="V124" i="24"/>
  <c r="V101" i="24"/>
  <c r="Z124" i="24"/>
  <c r="Z101" i="24"/>
  <c r="Z104" i="24" s="1"/>
  <c r="Q104" i="24"/>
  <c r="Y104" i="24"/>
  <c r="L101" i="24"/>
  <c r="L104" i="24" s="1"/>
  <c r="T101" i="24"/>
  <c r="T104" i="24" s="1"/>
  <c r="E116" i="24"/>
  <c r="E118" i="24" s="1"/>
  <c r="E114" i="24"/>
  <c r="E113" i="24"/>
  <c r="I116" i="24"/>
  <c r="I118" i="24" s="1"/>
  <c r="I114" i="24"/>
  <c r="I113" i="24"/>
  <c r="M116" i="24"/>
  <c r="M118" i="24" s="1"/>
  <c r="M114" i="24"/>
  <c r="M113" i="24"/>
  <c r="Q116" i="24"/>
  <c r="Q118" i="24" s="1"/>
  <c r="Q114" i="24"/>
  <c r="Q113" i="24"/>
  <c r="U116" i="24"/>
  <c r="U118" i="24" s="1"/>
  <c r="U114" i="24"/>
  <c r="U113" i="24"/>
  <c r="Y116" i="24"/>
  <c r="Y118" i="24" s="1"/>
  <c r="Y114" i="24"/>
  <c r="Y113" i="24"/>
  <c r="F104" i="24"/>
  <c r="N104" i="24"/>
  <c r="V104" i="24"/>
  <c r="D101" i="24"/>
  <c r="D104" i="24" s="1"/>
  <c r="F116" i="24"/>
  <c r="F118" i="24" s="1"/>
  <c r="F114" i="24"/>
  <c r="F113" i="24"/>
  <c r="H101" i="24"/>
  <c r="H104" i="24" s="1"/>
  <c r="H124" i="24"/>
  <c r="P124" i="24"/>
  <c r="P101" i="24"/>
  <c r="P104" i="24" s="1"/>
  <c r="E124" i="24"/>
  <c r="E101" i="24"/>
  <c r="E104" i="24" s="1"/>
  <c r="M124" i="24"/>
  <c r="M101" i="24"/>
  <c r="M104" i="24" s="1"/>
  <c r="U124" i="24"/>
  <c r="U101" i="24"/>
  <c r="U104" i="24" s="1"/>
  <c r="I101" i="24"/>
  <c r="I104" i="24" s="1"/>
  <c r="H116" i="24"/>
  <c r="H118" i="24" s="1"/>
  <c r="H114" i="24"/>
  <c r="H113" i="24"/>
  <c r="P116" i="24"/>
  <c r="P118" i="24" s="1"/>
  <c r="P114" i="24"/>
  <c r="P113" i="24"/>
  <c r="X116" i="24"/>
  <c r="X118" i="24" s="1"/>
  <c r="X114" i="24"/>
  <c r="X113" i="24"/>
  <c r="J116" i="24"/>
  <c r="J118" i="24" s="1"/>
  <c r="J114" i="24"/>
  <c r="J113" i="24"/>
  <c r="N116" i="24"/>
  <c r="N118" i="24" s="1"/>
  <c r="N114" i="24"/>
  <c r="N113" i="24"/>
  <c r="R116" i="24"/>
  <c r="R118" i="24" s="1"/>
  <c r="R114" i="24"/>
  <c r="R113" i="24"/>
  <c r="V116" i="24"/>
  <c r="V118" i="24" s="1"/>
  <c r="V114" i="24"/>
  <c r="V113" i="24"/>
  <c r="Z116" i="24"/>
  <c r="Z118" i="24" s="1"/>
  <c r="Z114" i="24"/>
  <c r="Z113" i="24"/>
  <c r="W130" i="24"/>
  <c r="W132" i="24" s="1"/>
  <c r="G116" i="24"/>
  <c r="G118" i="24" s="1"/>
  <c r="G114" i="24"/>
  <c r="G113" i="24"/>
  <c r="K116" i="24"/>
  <c r="K118" i="24" s="1"/>
  <c r="K114" i="24"/>
  <c r="K113" i="24"/>
  <c r="O116" i="24"/>
  <c r="O118" i="24" s="1"/>
  <c r="O114" i="24"/>
  <c r="O113" i="24"/>
  <c r="S116" i="24"/>
  <c r="S118" i="24" s="1"/>
  <c r="S114" i="24"/>
  <c r="S113" i="24"/>
  <c r="W116" i="24"/>
  <c r="W118" i="24" s="1"/>
  <c r="W114" i="24"/>
  <c r="W113" i="24"/>
  <c r="AA116" i="24"/>
  <c r="AA118" i="24" s="1"/>
  <c r="AA114" i="24"/>
  <c r="AA113" i="24"/>
  <c r="O104" i="24"/>
  <c r="W104" i="24"/>
  <c r="AA104" i="24"/>
  <c r="H173" i="31"/>
  <c r="H189" i="31" s="1"/>
  <c r="P173" i="31"/>
  <c r="X173" i="31"/>
  <c r="E173" i="31"/>
  <c r="U173" i="31"/>
  <c r="Y173" i="31"/>
  <c r="T173" i="31"/>
  <c r="D173" i="31"/>
  <c r="D185" i="31"/>
  <c r="D187" i="31" s="1"/>
  <c r="D183" i="31"/>
  <c r="D182" i="31"/>
  <c r="L185" i="31"/>
  <c r="L187" i="31" s="1"/>
  <c r="L183" i="31"/>
  <c r="L182" i="31"/>
  <c r="T185" i="31"/>
  <c r="T187" i="31" s="1"/>
  <c r="T183" i="31"/>
  <c r="T182" i="31"/>
  <c r="D199" i="31"/>
  <c r="D201" i="31" s="1"/>
  <c r="L199" i="31"/>
  <c r="L201" i="31" s="1"/>
  <c r="T199" i="31"/>
  <c r="T201" i="31" s="1"/>
  <c r="I173" i="31"/>
  <c r="E185" i="31"/>
  <c r="E187" i="31" s="1"/>
  <c r="E183" i="31"/>
  <c r="E182" i="31"/>
  <c r="M185" i="31"/>
  <c r="M187" i="31" s="1"/>
  <c r="M183" i="31"/>
  <c r="M182" i="31"/>
  <c r="U185" i="31"/>
  <c r="U187" i="31" s="1"/>
  <c r="U183" i="31"/>
  <c r="U182" i="31"/>
  <c r="F193" i="31"/>
  <c r="F170" i="31"/>
  <c r="F173" i="31" s="1"/>
  <c r="J193" i="31"/>
  <c r="J170" i="31"/>
  <c r="J173" i="31" s="1"/>
  <c r="N199" i="31"/>
  <c r="N201" i="31" s="1"/>
  <c r="R193" i="31"/>
  <c r="R170" i="31"/>
  <c r="R173" i="31" s="1"/>
  <c r="V193" i="31"/>
  <c r="V170" i="31"/>
  <c r="Z193" i="31"/>
  <c r="Z170" i="31"/>
  <c r="Z173" i="31" s="1"/>
  <c r="N170" i="31"/>
  <c r="F185" i="31"/>
  <c r="F187" i="31" s="1"/>
  <c r="F183" i="31"/>
  <c r="F182" i="31"/>
  <c r="N185" i="31"/>
  <c r="N187" i="31" s="1"/>
  <c r="N183" i="31"/>
  <c r="N182" i="31"/>
  <c r="V185" i="31"/>
  <c r="V187" i="31" s="1"/>
  <c r="V183" i="31"/>
  <c r="V182" i="31"/>
  <c r="P182" i="31"/>
  <c r="H183" i="31"/>
  <c r="X183" i="31"/>
  <c r="P185" i="31"/>
  <c r="P187" i="31" s="1"/>
  <c r="O199" i="31"/>
  <c r="O201" i="31" s="1"/>
  <c r="K185" i="31"/>
  <c r="K187" i="31" s="1"/>
  <c r="K183" i="31"/>
  <c r="K182" i="31"/>
  <c r="S185" i="31"/>
  <c r="S187" i="31" s="1"/>
  <c r="S183" i="31"/>
  <c r="S182" i="31"/>
  <c r="AA185" i="31"/>
  <c r="AA187" i="31" s="1"/>
  <c r="AA183" i="31"/>
  <c r="AA182" i="31"/>
  <c r="I182" i="31"/>
  <c r="Y182" i="31"/>
  <c r="Q183" i="31"/>
  <c r="I185" i="31"/>
  <c r="I187" i="31" s="1"/>
  <c r="Y185" i="31"/>
  <c r="Y187" i="31" s="1"/>
  <c r="H199" i="31"/>
  <c r="H201" i="31" s="1"/>
  <c r="N173" i="31"/>
  <c r="V173" i="31"/>
  <c r="L170" i="31"/>
  <c r="L173" i="31" s="1"/>
  <c r="Q170" i="31"/>
  <c r="Q173" i="31" s="1"/>
  <c r="K193" i="31"/>
  <c r="S193" i="31"/>
  <c r="AA193" i="31"/>
  <c r="J185" i="31"/>
  <c r="J187" i="31" s="1"/>
  <c r="J183" i="31"/>
  <c r="J182" i="31"/>
  <c r="R185" i="31"/>
  <c r="R187" i="31" s="1"/>
  <c r="R183" i="31"/>
  <c r="R182" i="31"/>
  <c r="Z185" i="31"/>
  <c r="Z187" i="31" s="1"/>
  <c r="Z183" i="31"/>
  <c r="Z182" i="31"/>
  <c r="H182" i="31"/>
  <c r="X182" i="31"/>
  <c r="G199" i="31"/>
  <c r="G201" i="31" s="1"/>
  <c r="W199" i="31"/>
  <c r="W201" i="31" s="1"/>
  <c r="G185" i="31"/>
  <c r="G187" i="31" s="1"/>
  <c r="G183" i="31"/>
  <c r="G182" i="31"/>
  <c r="O185" i="31"/>
  <c r="O187" i="31" s="1"/>
  <c r="O183" i="31"/>
  <c r="O182" i="31"/>
  <c r="W185" i="31"/>
  <c r="W187" i="31" s="1"/>
  <c r="W183" i="31"/>
  <c r="W182" i="31"/>
  <c r="Q182" i="31"/>
  <c r="E199" i="31"/>
  <c r="E201" i="31" s="1"/>
  <c r="I201" i="31"/>
  <c r="I199" i="31"/>
  <c r="M199" i="31"/>
  <c r="M201" i="31" s="1"/>
  <c r="Q201" i="31"/>
  <c r="Q199" i="31"/>
  <c r="U199" i="31"/>
  <c r="U201" i="31" s="1"/>
  <c r="Y201" i="31"/>
  <c r="Y199" i="31"/>
  <c r="G173" i="31"/>
  <c r="K173" i="31"/>
  <c r="O173" i="31"/>
  <c r="S173" i="31"/>
  <c r="W173" i="31"/>
  <c r="AA173" i="31"/>
  <c r="M170" i="31"/>
  <c r="M173" i="31" s="1"/>
  <c r="D114" i="31"/>
  <c r="D116" i="31"/>
  <c r="D118" i="31" s="1"/>
  <c r="D113" i="31"/>
  <c r="L116" i="31"/>
  <c r="L118" i="31" s="1"/>
  <c r="L114" i="31"/>
  <c r="L113" i="31"/>
  <c r="T116" i="31"/>
  <c r="T118" i="31" s="1"/>
  <c r="T113" i="31"/>
  <c r="T114" i="31"/>
  <c r="Z104" i="31"/>
  <c r="F130" i="31"/>
  <c r="F132" i="31" s="1"/>
  <c r="N130" i="31"/>
  <c r="N132" i="31" s="1"/>
  <c r="R130" i="31"/>
  <c r="R132" i="31" s="1"/>
  <c r="Z130" i="31"/>
  <c r="Z132" i="31" s="1"/>
  <c r="F116" i="31"/>
  <c r="F118" i="31" s="1"/>
  <c r="F114" i="31"/>
  <c r="F113" i="31"/>
  <c r="N116" i="31"/>
  <c r="N118" i="31" s="1"/>
  <c r="N114" i="31"/>
  <c r="N113" i="31"/>
  <c r="R116" i="31"/>
  <c r="R118" i="31" s="1"/>
  <c r="R114" i="31"/>
  <c r="R113" i="31"/>
  <c r="Z116" i="31"/>
  <c r="Z118" i="31" s="1"/>
  <c r="Z114" i="31"/>
  <c r="Z113" i="31"/>
  <c r="S130" i="31"/>
  <c r="S132" i="31" s="1"/>
  <c r="K132" i="31"/>
  <c r="G104" i="31"/>
  <c r="G120" i="31" s="1"/>
  <c r="K104" i="31"/>
  <c r="K120" i="31" s="1"/>
  <c r="O104" i="31"/>
  <c r="O120" i="31" s="1"/>
  <c r="S104" i="31"/>
  <c r="W104" i="31"/>
  <c r="AA104" i="31"/>
  <c r="J101" i="31"/>
  <c r="J104" i="31" s="1"/>
  <c r="Z101" i="31"/>
  <c r="P113" i="31"/>
  <c r="H114" i="31"/>
  <c r="X114" i="31"/>
  <c r="P116" i="31"/>
  <c r="P118" i="31" s="1"/>
  <c r="G130" i="31"/>
  <c r="G132" i="31" s="1"/>
  <c r="W130" i="31"/>
  <c r="W132" i="31" s="1"/>
  <c r="O132" i="31"/>
  <c r="D130" i="31"/>
  <c r="D132" i="31" s="1"/>
  <c r="H130" i="31"/>
  <c r="H132" i="31" s="1"/>
  <c r="L130" i="31"/>
  <c r="L132" i="31" s="1"/>
  <c r="P130" i="31"/>
  <c r="P132" i="31" s="1"/>
  <c r="T132" i="31"/>
  <c r="T130" i="31"/>
  <c r="X130" i="31"/>
  <c r="X132" i="31" s="1"/>
  <c r="F101" i="31"/>
  <c r="F104" i="31" s="1"/>
  <c r="L101" i="31"/>
  <c r="L104" i="31" s="1"/>
  <c r="V101" i="31"/>
  <c r="V104" i="31" s="1"/>
  <c r="AA130" i="31"/>
  <c r="AA132" i="31" s="1"/>
  <c r="J130" i="31"/>
  <c r="J132" i="31" s="1"/>
  <c r="V130" i="31"/>
  <c r="V132" i="31" s="1"/>
  <c r="N101" i="31"/>
  <c r="N104" i="31" s="1"/>
  <c r="J116" i="31"/>
  <c r="J118" i="31" s="1"/>
  <c r="J114" i="31"/>
  <c r="J113" i="31"/>
  <c r="V116" i="31"/>
  <c r="V118" i="31" s="1"/>
  <c r="V114" i="31"/>
  <c r="V113" i="31"/>
  <c r="R101" i="31"/>
  <c r="R104" i="31" s="1"/>
  <c r="E116" i="31"/>
  <c r="E118" i="31" s="1"/>
  <c r="E114" i="31"/>
  <c r="E113" i="31"/>
  <c r="I116" i="31"/>
  <c r="I118" i="31" s="1"/>
  <c r="I114" i="31"/>
  <c r="I113" i="31"/>
  <c r="M116" i="31"/>
  <c r="M118" i="31" s="1"/>
  <c r="M114" i="31"/>
  <c r="M113" i="31"/>
  <c r="Q116" i="31"/>
  <c r="Q118" i="31" s="1"/>
  <c r="Q114" i="31"/>
  <c r="Q113" i="31"/>
  <c r="U116" i="31"/>
  <c r="U118" i="31" s="1"/>
  <c r="U114" i="31"/>
  <c r="U113" i="31"/>
  <c r="Y116" i="31"/>
  <c r="Y118" i="31" s="1"/>
  <c r="Y114" i="31"/>
  <c r="Y113" i="31"/>
  <c r="H113" i="31"/>
  <c r="X113" i="31"/>
  <c r="Q132" i="31"/>
  <c r="E130" i="31"/>
  <c r="E132" i="31" s="1"/>
  <c r="I130" i="31"/>
  <c r="I132" i="31" s="1"/>
  <c r="M130" i="31"/>
  <c r="M132" i="31" s="1"/>
  <c r="Q130" i="31"/>
  <c r="U130" i="31"/>
  <c r="U132" i="31" s="1"/>
  <c r="Y130" i="31"/>
  <c r="Y132" i="31" s="1"/>
  <c r="G113" i="31"/>
  <c r="K113" i="31"/>
  <c r="O113" i="31"/>
  <c r="S113" i="31"/>
  <c r="W113" i="31"/>
  <c r="AA113" i="31"/>
  <c r="G114" i="31"/>
  <c r="K114" i="31"/>
  <c r="O114" i="31"/>
  <c r="S114" i="31"/>
  <c r="W114" i="31"/>
  <c r="AA114" i="31"/>
  <c r="T172" i="32"/>
  <c r="D184" i="32"/>
  <c r="D186" i="32" s="1"/>
  <c r="D181" i="32"/>
  <c r="D182" i="32"/>
  <c r="H182" i="32"/>
  <c r="H184" i="32"/>
  <c r="H186" i="32" s="1"/>
  <c r="H181" i="32"/>
  <c r="T184" i="32"/>
  <c r="T186" i="32" s="1"/>
  <c r="T181" i="32"/>
  <c r="T182" i="32"/>
  <c r="X184" i="32"/>
  <c r="X186" i="32" s="1"/>
  <c r="X182" i="32"/>
  <c r="X181" i="32"/>
  <c r="N192" i="32"/>
  <c r="N169" i="32"/>
  <c r="N172" i="32" s="1"/>
  <c r="Z192" i="32"/>
  <c r="Z169" i="32"/>
  <c r="K184" i="32"/>
  <c r="K186" i="32" s="1"/>
  <c r="K182" i="32"/>
  <c r="K181" i="32"/>
  <c r="AA184" i="32"/>
  <c r="AA186" i="32" s="1"/>
  <c r="AA182" i="32"/>
  <c r="AA181" i="32"/>
  <c r="I172" i="32"/>
  <c r="L181" i="32"/>
  <c r="L184" i="32"/>
  <c r="L186" i="32" s="1"/>
  <c r="S192" i="32"/>
  <c r="J192" i="32"/>
  <c r="J169" i="32"/>
  <c r="J172" i="32" s="1"/>
  <c r="R192" i="32"/>
  <c r="R169" i="32"/>
  <c r="R172" i="32" s="1"/>
  <c r="O184" i="32"/>
  <c r="O186" i="32" s="1"/>
  <c r="O182" i="32"/>
  <c r="O181" i="32"/>
  <c r="W184" i="32"/>
  <c r="W186" i="32" s="1"/>
  <c r="W182" i="32"/>
  <c r="W181" i="32"/>
  <c r="D198" i="32"/>
  <c r="D200" i="32" s="1"/>
  <c r="H198" i="32"/>
  <c r="H200" i="32" s="1"/>
  <c r="L198" i="32"/>
  <c r="L200" i="32" s="1"/>
  <c r="P198" i="32"/>
  <c r="P200" i="32" s="1"/>
  <c r="T198" i="32"/>
  <c r="T200" i="32" s="1"/>
  <c r="X198" i="32"/>
  <c r="X200" i="32" s="1"/>
  <c r="Z172" i="32"/>
  <c r="F169" i="32"/>
  <c r="F172" i="32" s="1"/>
  <c r="M169" i="32"/>
  <c r="M172" i="32" s="1"/>
  <c r="U169" i="32"/>
  <c r="U172" i="32" s="1"/>
  <c r="E184" i="32"/>
  <c r="E186" i="32" s="1"/>
  <c r="E182" i="32"/>
  <c r="E181" i="32"/>
  <c r="I184" i="32"/>
  <c r="I186" i="32" s="1"/>
  <c r="I182" i="32"/>
  <c r="I181" i="32"/>
  <c r="M184" i="32"/>
  <c r="M186" i="32" s="1"/>
  <c r="M182" i="32"/>
  <c r="M181" i="32"/>
  <c r="Q184" i="32"/>
  <c r="Q186" i="32" s="1"/>
  <c r="Q182" i="32"/>
  <c r="Q181" i="32"/>
  <c r="U184" i="32"/>
  <c r="U186" i="32" s="1"/>
  <c r="U182" i="32"/>
  <c r="U181" i="32"/>
  <c r="Y184" i="32"/>
  <c r="Y186" i="32" s="1"/>
  <c r="Y182" i="32"/>
  <c r="Y181" i="32"/>
  <c r="P181" i="32"/>
  <c r="P184" i="32"/>
  <c r="P186" i="32" s="1"/>
  <c r="G192" i="32"/>
  <c r="W192" i="32"/>
  <c r="O198" i="32"/>
  <c r="O200" i="32" s="1"/>
  <c r="F198" i="32"/>
  <c r="F200" i="32" s="1"/>
  <c r="V192" i="32"/>
  <c r="V169" i="32"/>
  <c r="V172" i="32" s="1"/>
  <c r="G184" i="32"/>
  <c r="G186" i="32" s="1"/>
  <c r="G182" i="32"/>
  <c r="G181" i="32"/>
  <c r="S184" i="32"/>
  <c r="S186" i="32" s="1"/>
  <c r="S182" i="32"/>
  <c r="S181" i="32"/>
  <c r="E198" i="32"/>
  <c r="E200" i="32" s="1"/>
  <c r="I198" i="32"/>
  <c r="I200" i="32" s="1"/>
  <c r="M198" i="32"/>
  <c r="M200" i="32" s="1"/>
  <c r="Q198" i="32"/>
  <c r="Q200" i="32" s="1"/>
  <c r="U198" i="32"/>
  <c r="U200" i="32" s="1"/>
  <c r="Y198" i="32"/>
  <c r="Y200" i="32" s="1"/>
  <c r="G172" i="32"/>
  <c r="K172" i="32"/>
  <c r="O172" i="32"/>
  <c r="S172" i="32"/>
  <c r="W172" i="32"/>
  <c r="AA172" i="32"/>
  <c r="H169" i="32"/>
  <c r="H172" i="32" s="1"/>
  <c r="P169" i="32"/>
  <c r="P172" i="32" s="1"/>
  <c r="X169" i="32"/>
  <c r="X172" i="32" s="1"/>
  <c r="F184" i="32"/>
  <c r="F186" i="32" s="1"/>
  <c r="F182" i="32"/>
  <c r="F181" i="32"/>
  <c r="J184" i="32"/>
  <c r="J186" i="32" s="1"/>
  <c r="J182" i="32"/>
  <c r="J181" i="32"/>
  <c r="N184" i="32"/>
  <c r="N186" i="32" s="1"/>
  <c r="N182" i="32"/>
  <c r="N181" i="32"/>
  <c r="R184" i="32"/>
  <c r="R186" i="32" s="1"/>
  <c r="R182" i="32"/>
  <c r="R181" i="32"/>
  <c r="V184" i="32"/>
  <c r="V186" i="32" s="1"/>
  <c r="V182" i="32"/>
  <c r="V181" i="32"/>
  <c r="Z184" i="32"/>
  <c r="Z186" i="32" s="1"/>
  <c r="Z182" i="32"/>
  <c r="Z181" i="32"/>
  <c r="K192" i="32"/>
  <c r="AA192" i="32"/>
  <c r="AA128" i="32"/>
  <c r="Z128" i="32"/>
  <c r="Y128" i="32"/>
  <c r="X128" i="32"/>
  <c r="W128" i="32"/>
  <c r="V128" i="32"/>
  <c r="U128" i="32"/>
  <c r="T128" i="32"/>
  <c r="S128" i="32"/>
  <c r="R128" i="32"/>
  <c r="Q128" i="32"/>
  <c r="P128" i="32"/>
  <c r="O128" i="32"/>
  <c r="N128" i="32"/>
  <c r="M128" i="32"/>
  <c r="L128" i="32"/>
  <c r="K128" i="32"/>
  <c r="J128" i="32"/>
  <c r="I128" i="32"/>
  <c r="H128" i="32"/>
  <c r="G128" i="32"/>
  <c r="F128" i="32"/>
  <c r="E128" i="32"/>
  <c r="D128" i="32"/>
  <c r="AA127" i="32"/>
  <c r="Z127" i="32"/>
  <c r="Y127" i="32"/>
  <c r="X127" i="32"/>
  <c r="W127" i="32"/>
  <c r="V127" i="32"/>
  <c r="U127" i="32"/>
  <c r="T127" i="32"/>
  <c r="S127" i="32"/>
  <c r="R127" i="32"/>
  <c r="Q127" i="32"/>
  <c r="P127" i="32"/>
  <c r="O127" i="32"/>
  <c r="N127" i="32"/>
  <c r="M127" i="32"/>
  <c r="L127" i="32"/>
  <c r="K127" i="32"/>
  <c r="J127" i="32"/>
  <c r="I127" i="32"/>
  <c r="H127" i="32"/>
  <c r="G127" i="32"/>
  <c r="F127" i="32"/>
  <c r="E127" i="32"/>
  <c r="D127" i="32"/>
  <c r="AA126" i="32"/>
  <c r="Z126" i="32"/>
  <c r="Y126" i="32"/>
  <c r="X126" i="32"/>
  <c r="W126" i="32"/>
  <c r="V126" i="32"/>
  <c r="U126" i="32"/>
  <c r="T126" i="32"/>
  <c r="S126" i="32"/>
  <c r="R126" i="32"/>
  <c r="Q126" i="32"/>
  <c r="P126" i="32"/>
  <c r="O126" i="32"/>
  <c r="N126" i="32"/>
  <c r="M126" i="32"/>
  <c r="L126" i="32"/>
  <c r="K126" i="32"/>
  <c r="J126" i="32"/>
  <c r="I126" i="32"/>
  <c r="H126" i="32"/>
  <c r="G126" i="32"/>
  <c r="F126" i="32"/>
  <c r="E126" i="32"/>
  <c r="D126" i="32"/>
  <c r="AA125" i="32"/>
  <c r="Z125" i="32"/>
  <c r="Y125" i="32"/>
  <c r="X125" i="32"/>
  <c r="W125" i="32"/>
  <c r="V125" i="32"/>
  <c r="U125" i="32"/>
  <c r="T125" i="32"/>
  <c r="S125" i="32"/>
  <c r="R125" i="32"/>
  <c r="Q125" i="32"/>
  <c r="P125" i="32"/>
  <c r="O125" i="32"/>
  <c r="N125" i="32"/>
  <c r="M125" i="32"/>
  <c r="L125" i="32"/>
  <c r="K125" i="32"/>
  <c r="J125" i="32"/>
  <c r="I125" i="32"/>
  <c r="H125" i="32"/>
  <c r="G125" i="32"/>
  <c r="F125" i="32"/>
  <c r="E125" i="32"/>
  <c r="D125" i="32"/>
  <c r="AA111" i="32"/>
  <c r="AA112" i="32" s="1"/>
  <c r="Z111" i="32"/>
  <c r="Z112" i="32" s="1"/>
  <c r="Y111" i="32"/>
  <c r="Y112" i="32" s="1"/>
  <c r="Y116" i="32" s="1"/>
  <c r="X111" i="32"/>
  <c r="X112" i="32" s="1"/>
  <c r="X114" i="32" s="1"/>
  <c r="W111" i="32"/>
  <c r="W112" i="32" s="1"/>
  <c r="V111" i="32"/>
  <c r="V112" i="32" s="1"/>
  <c r="U111" i="32"/>
  <c r="U112" i="32" s="1"/>
  <c r="T111" i="32"/>
  <c r="T112" i="32" s="1"/>
  <c r="S111" i="32"/>
  <c r="S112" i="32" s="1"/>
  <c r="R111" i="32"/>
  <c r="R112" i="32" s="1"/>
  <c r="Q111" i="32"/>
  <c r="Q112" i="32" s="1"/>
  <c r="Q116" i="32" s="1"/>
  <c r="P111" i="32"/>
  <c r="P112" i="32" s="1"/>
  <c r="P116" i="32" s="1"/>
  <c r="O111" i="32"/>
  <c r="O112" i="32" s="1"/>
  <c r="N111" i="32"/>
  <c r="N112" i="32" s="1"/>
  <c r="M111" i="32"/>
  <c r="M112" i="32" s="1"/>
  <c r="L111" i="32"/>
  <c r="L112" i="32" s="1"/>
  <c r="K111" i="32"/>
  <c r="K112" i="32" s="1"/>
  <c r="J111" i="32"/>
  <c r="J112" i="32" s="1"/>
  <c r="I111" i="32"/>
  <c r="I112" i="32" s="1"/>
  <c r="I116" i="32" s="1"/>
  <c r="H111" i="32"/>
  <c r="H112" i="32" s="1"/>
  <c r="H114" i="32" s="1"/>
  <c r="G111" i="32"/>
  <c r="G112" i="32" s="1"/>
  <c r="F111" i="32"/>
  <c r="F112" i="32" s="1"/>
  <c r="E111" i="32"/>
  <c r="E112" i="32" s="1"/>
  <c r="D111" i="32"/>
  <c r="D112" i="32" s="1"/>
  <c r="AA108" i="32"/>
  <c r="Z108" i="32"/>
  <c r="Y108" i="32"/>
  <c r="X108" i="32"/>
  <c r="W108" i="32"/>
  <c r="V108" i="32"/>
  <c r="U108" i="32"/>
  <c r="T108" i="32"/>
  <c r="S108" i="32"/>
  <c r="R108" i="32"/>
  <c r="Q108" i="32"/>
  <c r="P108" i="32"/>
  <c r="O108" i="32"/>
  <c r="N108" i="32"/>
  <c r="M108" i="32"/>
  <c r="L108" i="32"/>
  <c r="K108" i="32"/>
  <c r="J108" i="32"/>
  <c r="I108" i="32"/>
  <c r="H108" i="32"/>
  <c r="G108" i="32"/>
  <c r="F108" i="32"/>
  <c r="E108" i="32"/>
  <c r="D108" i="32"/>
  <c r="AA107" i="32"/>
  <c r="Z107" i="32"/>
  <c r="Y107" i="32"/>
  <c r="X107" i="32"/>
  <c r="W107" i="32"/>
  <c r="V107" i="32"/>
  <c r="U107" i="32"/>
  <c r="T107" i="32"/>
  <c r="S107" i="32"/>
  <c r="R107" i="32"/>
  <c r="Q107" i="32"/>
  <c r="P107" i="32"/>
  <c r="O107" i="32"/>
  <c r="N107" i="32"/>
  <c r="M107" i="32"/>
  <c r="L107" i="32"/>
  <c r="K107" i="32"/>
  <c r="J107" i="32"/>
  <c r="I107" i="32"/>
  <c r="H107" i="32"/>
  <c r="G107" i="32"/>
  <c r="F107" i="32"/>
  <c r="E107" i="32"/>
  <c r="D107" i="32"/>
  <c r="AA103" i="32"/>
  <c r="Z103" i="32"/>
  <c r="Y103" i="32"/>
  <c r="X103" i="32"/>
  <c r="W103" i="32"/>
  <c r="V103" i="32"/>
  <c r="U103" i="32"/>
  <c r="T103" i="32"/>
  <c r="S103" i="32"/>
  <c r="R103" i="32"/>
  <c r="Q103" i="32"/>
  <c r="P103" i="32"/>
  <c r="O103" i="32"/>
  <c r="N103" i="32"/>
  <c r="M103" i="32"/>
  <c r="L103" i="32"/>
  <c r="K103" i="32"/>
  <c r="J103" i="32"/>
  <c r="I103" i="32"/>
  <c r="H103" i="32"/>
  <c r="G103" i="32"/>
  <c r="F103" i="32"/>
  <c r="E103" i="32"/>
  <c r="D103" i="32"/>
  <c r="AA102" i="32"/>
  <c r="Z102" i="32"/>
  <c r="Y102" i="32"/>
  <c r="X102" i="32"/>
  <c r="W102" i="32"/>
  <c r="V102" i="32"/>
  <c r="U102" i="32"/>
  <c r="T102" i="32"/>
  <c r="S102" i="32"/>
  <c r="R102" i="32"/>
  <c r="Q102" i="32"/>
  <c r="P102" i="32"/>
  <c r="O102" i="32"/>
  <c r="N102" i="32"/>
  <c r="M102" i="32"/>
  <c r="L102" i="32"/>
  <c r="K102" i="32"/>
  <c r="J102" i="32"/>
  <c r="I102" i="32"/>
  <c r="H102" i="32"/>
  <c r="G102" i="32"/>
  <c r="F102" i="32"/>
  <c r="E102" i="32"/>
  <c r="D102" i="32"/>
  <c r="AA100" i="32"/>
  <c r="Z100" i="32"/>
  <c r="Y100" i="32"/>
  <c r="X100" i="32"/>
  <c r="W100" i="32"/>
  <c r="V100" i="32"/>
  <c r="U100" i="32"/>
  <c r="T100" i="32"/>
  <c r="S100" i="32"/>
  <c r="R100" i="32"/>
  <c r="Q100" i="32"/>
  <c r="P100" i="32"/>
  <c r="O100" i="32"/>
  <c r="N100" i="32"/>
  <c r="M100" i="32"/>
  <c r="L100" i="32"/>
  <c r="K100" i="32"/>
  <c r="J100" i="32"/>
  <c r="I100" i="32"/>
  <c r="H100" i="32"/>
  <c r="G100" i="32"/>
  <c r="F100" i="32"/>
  <c r="E100" i="32"/>
  <c r="D100" i="32"/>
  <c r="AA98" i="32"/>
  <c r="Z98" i="32"/>
  <c r="Y98" i="32"/>
  <c r="X98" i="32"/>
  <c r="W98" i="32"/>
  <c r="V98" i="32"/>
  <c r="U98" i="32"/>
  <c r="T98" i="32"/>
  <c r="S98" i="32"/>
  <c r="R98" i="32"/>
  <c r="Q98" i="32"/>
  <c r="P98" i="32"/>
  <c r="O98" i="32"/>
  <c r="N98" i="32"/>
  <c r="M98" i="32"/>
  <c r="L98" i="32"/>
  <c r="K98" i="32"/>
  <c r="J98" i="32"/>
  <c r="I98" i="32"/>
  <c r="H98" i="32"/>
  <c r="G98" i="32"/>
  <c r="F98" i="32"/>
  <c r="E98" i="32"/>
  <c r="D98" i="32"/>
  <c r="AF83" i="32"/>
  <c r="AF86" i="32" s="1"/>
  <c r="AF87" i="32" s="1"/>
  <c r="AF88" i="32" s="1"/>
  <c r="AD82" i="32"/>
  <c r="AD81" i="32"/>
  <c r="AA79" i="32"/>
  <c r="AA101" i="32" s="1"/>
  <c r="Z79" i="32"/>
  <c r="Y79" i="32"/>
  <c r="Y124" i="32" s="1"/>
  <c r="X79" i="32"/>
  <c r="X101" i="32" s="1"/>
  <c r="W79" i="32"/>
  <c r="W101" i="32" s="1"/>
  <c r="V79" i="32"/>
  <c r="U79" i="32"/>
  <c r="U124" i="32" s="1"/>
  <c r="T79" i="32"/>
  <c r="T124" i="32" s="1"/>
  <c r="S79" i="32"/>
  <c r="S101" i="32" s="1"/>
  <c r="R79" i="32"/>
  <c r="Q79" i="32"/>
  <c r="Q124" i="32" s="1"/>
  <c r="P79" i="32"/>
  <c r="P124" i="32" s="1"/>
  <c r="O79" i="32"/>
  <c r="O101" i="32" s="1"/>
  <c r="N79" i="32"/>
  <c r="M79" i="32"/>
  <c r="M124" i="32" s="1"/>
  <c r="L79" i="32"/>
  <c r="L124" i="32" s="1"/>
  <c r="K79" i="32"/>
  <c r="K101" i="32" s="1"/>
  <c r="J79" i="32"/>
  <c r="I79" i="32"/>
  <c r="I124" i="32" s="1"/>
  <c r="H79" i="32"/>
  <c r="H101" i="32" s="1"/>
  <c r="G79" i="32"/>
  <c r="G101" i="32" s="1"/>
  <c r="F79" i="32"/>
  <c r="E79" i="32"/>
  <c r="E124" i="32" s="1"/>
  <c r="D79" i="32"/>
  <c r="D124" i="32" s="1"/>
  <c r="AA78" i="32"/>
  <c r="AA99" i="32" s="1"/>
  <c r="Z78" i="32"/>
  <c r="Z99" i="32" s="1"/>
  <c r="Y78" i="32"/>
  <c r="Y99" i="32" s="1"/>
  <c r="X78" i="32"/>
  <c r="X99" i="32" s="1"/>
  <c r="W78" i="32"/>
  <c r="W99" i="32" s="1"/>
  <c r="V78" i="32"/>
  <c r="V99" i="32" s="1"/>
  <c r="U78" i="32"/>
  <c r="U99" i="32" s="1"/>
  <c r="T78" i="32"/>
  <c r="T99" i="32" s="1"/>
  <c r="S78" i="32"/>
  <c r="S99" i="32" s="1"/>
  <c r="R78" i="32"/>
  <c r="R99" i="32" s="1"/>
  <c r="Q78" i="32"/>
  <c r="Q99" i="32" s="1"/>
  <c r="P78" i="32"/>
  <c r="P99" i="32" s="1"/>
  <c r="O78" i="32"/>
  <c r="O99" i="32" s="1"/>
  <c r="N78" i="32"/>
  <c r="N99" i="32" s="1"/>
  <c r="M78" i="32"/>
  <c r="M99" i="32" s="1"/>
  <c r="L78" i="32"/>
  <c r="L99" i="32" s="1"/>
  <c r="K78" i="32"/>
  <c r="K99" i="32" s="1"/>
  <c r="J78" i="32"/>
  <c r="J99" i="32" s="1"/>
  <c r="I78" i="32"/>
  <c r="I99" i="32" s="1"/>
  <c r="H78" i="32"/>
  <c r="H99" i="32" s="1"/>
  <c r="G78" i="32"/>
  <c r="G99" i="32" s="1"/>
  <c r="F78" i="32"/>
  <c r="F99" i="32" s="1"/>
  <c r="E78" i="32"/>
  <c r="E99" i="32" s="1"/>
  <c r="D78" i="32"/>
  <c r="D99" i="32" s="1"/>
  <c r="G134" i="30" l="1"/>
  <c r="G135" i="30" s="1"/>
  <c r="N188" i="30"/>
  <c r="N202" i="30" s="1"/>
  <c r="N203" i="30" s="1"/>
  <c r="H120" i="30"/>
  <c r="H134" i="30" s="1"/>
  <c r="H135" i="30" s="1"/>
  <c r="M134" i="30"/>
  <c r="M135" i="30" s="1"/>
  <c r="D188" i="30"/>
  <c r="D202" i="30" s="1"/>
  <c r="D203" i="30" s="1"/>
  <c r="K188" i="30"/>
  <c r="K202" i="30" s="1"/>
  <c r="K203" i="30" s="1"/>
  <c r="L202" i="30"/>
  <c r="L203" i="30" s="1"/>
  <c r="E202" i="30"/>
  <c r="E203" i="30" s="1"/>
  <c r="M188" i="30"/>
  <c r="M202" i="30" s="1"/>
  <c r="M203" i="30" s="1"/>
  <c r="J188" i="32"/>
  <c r="E188" i="32"/>
  <c r="N134" i="28"/>
  <c r="N135" i="28" s="1"/>
  <c r="K120" i="24"/>
  <c r="K134" i="24" s="1"/>
  <c r="K135" i="24" s="1"/>
  <c r="H200" i="24"/>
  <c r="H202" i="24" s="1"/>
  <c r="H203" i="24" s="1"/>
  <c r="L188" i="32"/>
  <c r="L202" i="32" s="1"/>
  <c r="L203" i="32" s="1"/>
  <c r="AA130" i="24"/>
  <c r="AA132" i="24" s="1"/>
  <c r="X199" i="31"/>
  <c r="X201" i="31" s="1"/>
  <c r="E188" i="24"/>
  <c r="L120" i="30"/>
  <c r="L134" i="30" s="1"/>
  <c r="L135" i="30" s="1"/>
  <c r="I134" i="30"/>
  <c r="I135" i="30" s="1"/>
  <c r="E202" i="24"/>
  <c r="E203" i="24" s="1"/>
  <c r="J134" i="28"/>
  <c r="J135" i="28" s="1"/>
  <c r="D188" i="24"/>
  <c r="D202" i="24" s="1"/>
  <c r="D203" i="24" s="1"/>
  <c r="E134" i="30"/>
  <c r="E135" i="30" s="1"/>
  <c r="F120" i="30"/>
  <c r="F134" i="30" s="1"/>
  <c r="F135" i="30" s="1"/>
  <c r="J134" i="30"/>
  <c r="J135" i="30" s="1"/>
  <c r="N134" i="30"/>
  <c r="N135" i="30" s="1"/>
  <c r="I188" i="32"/>
  <c r="I202" i="32" s="1"/>
  <c r="I203" i="32" s="1"/>
  <c r="D120" i="31"/>
  <c r="D134" i="31" s="1"/>
  <c r="D135" i="31" s="1"/>
  <c r="G120" i="24"/>
  <c r="G134" i="24" s="1"/>
  <c r="G135" i="24" s="1"/>
  <c r="M134" i="29"/>
  <c r="M135" i="29" s="1"/>
  <c r="L134" i="29"/>
  <c r="L135" i="29" s="1"/>
  <c r="I134" i="29"/>
  <c r="I135" i="29" s="1"/>
  <c r="H134" i="29"/>
  <c r="H135" i="29" s="1"/>
  <c r="E134" i="29"/>
  <c r="E135" i="29" s="1"/>
  <c r="G202" i="28"/>
  <c r="G203" i="28" s="1"/>
  <c r="G134" i="31"/>
  <c r="G135" i="31" s="1"/>
  <c r="E120" i="31"/>
  <c r="E134" i="31" s="1"/>
  <c r="E135" i="31" s="1"/>
  <c r="I120" i="31"/>
  <c r="I134" i="31" s="1"/>
  <c r="I135" i="31" s="1"/>
  <c r="E202" i="32"/>
  <c r="E203" i="32" s="1"/>
  <c r="I189" i="31"/>
  <c r="I203" i="31" s="1"/>
  <c r="I204" i="31" s="1"/>
  <c r="D189" i="31"/>
  <c r="D203" i="31" s="1"/>
  <c r="D204" i="31" s="1"/>
  <c r="M120" i="31"/>
  <c r="M134" i="31" s="1"/>
  <c r="M135" i="31" s="1"/>
  <c r="H134" i="31"/>
  <c r="H135" i="31" s="1"/>
  <c r="D188" i="32"/>
  <c r="D202" i="32" s="1"/>
  <c r="D203" i="32" s="1"/>
  <c r="G202" i="30"/>
  <c r="G203" i="30" s="1"/>
  <c r="O202" i="30"/>
  <c r="O203" i="30" s="1"/>
  <c r="H202" i="30"/>
  <c r="H203" i="30" s="1"/>
  <c r="I202" i="30"/>
  <c r="I203" i="30" s="1"/>
  <c r="J202" i="30"/>
  <c r="J203" i="30" s="1"/>
  <c r="AC200" i="30"/>
  <c r="F202" i="30"/>
  <c r="F203" i="30" s="1"/>
  <c r="D134" i="30"/>
  <c r="D135" i="30" s="1"/>
  <c r="AC132" i="30"/>
  <c r="O134" i="30"/>
  <c r="O135" i="30" s="1"/>
  <c r="K134" i="30"/>
  <c r="K135" i="30" s="1"/>
  <c r="AC200" i="29"/>
  <c r="D134" i="29"/>
  <c r="D135" i="29" s="1"/>
  <c r="AC132" i="29"/>
  <c r="K202" i="28"/>
  <c r="K203" i="28" s="1"/>
  <c r="O202" i="28"/>
  <c r="O203" i="28" s="1"/>
  <c r="AC200" i="28"/>
  <c r="D202" i="28"/>
  <c r="D203" i="28" s="1"/>
  <c r="AI142" i="28"/>
  <c r="F134" i="28"/>
  <c r="F135" i="28" s="1"/>
  <c r="AI83" i="28"/>
  <c r="AC132" i="28"/>
  <c r="I202" i="24"/>
  <c r="I203" i="24" s="1"/>
  <c r="F188" i="24"/>
  <c r="F202" i="24" s="1"/>
  <c r="F203" i="24" s="1"/>
  <c r="K188" i="24"/>
  <c r="O188" i="24"/>
  <c r="O202" i="24" s="1"/>
  <c r="O203" i="24" s="1"/>
  <c r="K198" i="24"/>
  <c r="K200" i="24" s="1"/>
  <c r="N188" i="24"/>
  <c r="N202" i="24" s="1"/>
  <c r="N203" i="24" s="1"/>
  <c r="S198" i="24"/>
  <c r="S200" i="24" s="1"/>
  <c r="M188" i="24"/>
  <c r="M202" i="24" s="1"/>
  <c r="M203" i="24" s="1"/>
  <c r="G188" i="24"/>
  <c r="J188" i="24"/>
  <c r="J202" i="24" s="1"/>
  <c r="J203" i="24" s="1"/>
  <c r="AA198" i="24"/>
  <c r="AA200" i="24" s="1"/>
  <c r="L188" i="24"/>
  <c r="L202" i="24" s="1"/>
  <c r="L203" i="24" s="1"/>
  <c r="M130" i="24"/>
  <c r="M132" i="24" s="1"/>
  <c r="P130" i="24"/>
  <c r="P132" i="24" s="1"/>
  <c r="I120" i="24"/>
  <c r="I134" i="24" s="1"/>
  <c r="I135" i="24" s="1"/>
  <c r="V130" i="24"/>
  <c r="V132" i="24" s="1"/>
  <c r="N130" i="24"/>
  <c r="N132" i="24" s="1"/>
  <c r="F130" i="24"/>
  <c r="F132" i="24" s="1"/>
  <c r="X130" i="24"/>
  <c r="X132" i="24" s="1"/>
  <c r="F120" i="24"/>
  <c r="M120" i="24"/>
  <c r="O120" i="24"/>
  <c r="O134" i="24" s="1"/>
  <c r="O135" i="24" s="1"/>
  <c r="J120" i="24"/>
  <c r="U130" i="24"/>
  <c r="U132" i="24" s="1"/>
  <c r="E130" i="24"/>
  <c r="E132" i="24" s="1"/>
  <c r="Z130" i="24"/>
  <c r="Z132" i="24" s="1"/>
  <c r="R130" i="24"/>
  <c r="R132" i="24" s="1"/>
  <c r="J130" i="24"/>
  <c r="J132" i="24" s="1"/>
  <c r="N120" i="24"/>
  <c r="H120" i="24"/>
  <c r="E120" i="24"/>
  <c r="L120" i="24"/>
  <c r="L134" i="24" s="1"/>
  <c r="L135" i="24" s="1"/>
  <c r="D120" i="24"/>
  <c r="H130" i="24"/>
  <c r="H132" i="24" s="1"/>
  <c r="E189" i="31"/>
  <c r="E203" i="31" s="1"/>
  <c r="E204" i="31" s="1"/>
  <c r="G189" i="31"/>
  <c r="G203" i="31" s="1"/>
  <c r="G204" i="31" s="1"/>
  <c r="K199" i="31"/>
  <c r="K201" i="31" s="1"/>
  <c r="O189" i="31"/>
  <c r="O203" i="31" s="1"/>
  <c r="O204" i="31" s="1"/>
  <c r="J189" i="31"/>
  <c r="F189" i="31"/>
  <c r="V199" i="31"/>
  <c r="V201" i="31" s="1"/>
  <c r="F199" i="31"/>
  <c r="F201" i="31" s="1"/>
  <c r="AA199" i="31"/>
  <c r="AA201" i="31" s="1"/>
  <c r="N189" i="31"/>
  <c r="N203" i="31" s="1"/>
  <c r="N204" i="31" s="1"/>
  <c r="S201" i="31"/>
  <c r="S199" i="31"/>
  <c r="K189" i="31"/>
  <c r="H203" i="31"/>
  <c r="H204" i="31" s="1"/>
  <c r="Z199" i="31"/>
  <c r="Z201" i="31" s="1"/>
  <c r="R199" i="31"/>
  <c r="R201" i="31" s="1"/>
  <c r="J199" i="31"/>
  <c r="J201" i="31" s="1"/>
  <c r="M189" i="31"/>
  <c r="M203" i="31" s="1"/>
  <c r="M204" i="31" s="1"/>
  <c r="L189" i="31"/>
  <c r="L203" i="31" s="1"/>
  <c r="L204" i="31" s="1"/>
  <c r="O134" i="31"/>
  <c r="O135" i="31" s="1"/>
  <c r="J120" i="31"/>
  <c r="J134" i="31" s="1"/>
  <c r="J135" i="31" s="1"/>
  <c r="F120" i="31"/>
  <c r="F134" i="31" s="1"/>
  <c r="F135" i="31" s="1"/>
  <c r="K134" i="31"/>
  <c r="K135" i="31" s="1"/>
  <c r="AC132" i="31"/>
  <c r="N120" i="31"/>
  <c r="N134" i="31" s="1"/>
  <c r="N135" i="31" s="1"/>
  <c r="L120" i="31"/>
  <c r="L134" i="31" s="1"/>
  <c r="L135" i="31" s="1"/>
  <c r="F188" i="32"/>
  <c r="F202" i="32" s="1"/>
  <c r="F203" i="32" s="1"/>
  <c r="G198" i="32"/>
  <c r="G200" i="32" s="1"/>
  <c r="O188" i="32"/>
  <c r="O202" i="32" s="1"/>
  <c r="O203" i="32" s="1"/>
  <c r="J198" i="32"/>
  <c r="J200" i="32" s="1"/>
  <c r="J202" i="32" s="1"/>
  <c r="J203" i="32" s="1"/>
  <c r="AA198" i="32"/>
  <c r="AA200" i="32" s="1"/>
  <c r="G188" i="32"/>
  <c r="S198" i="32"/>
  <c r="S200" i="32" s="1"/>
  <c r="Z198" i="32"/>
  <c r="Z200" i="32" s="1"/>
  <c r="K198" i="32"/>
  <c r="K200" i="32" s="1"/>
  <c r="N188" i="32"/>
  <c r="M188" i="32"/>
  <c r="M202" i="32" s="1"/>
  <c r="M203" i="32" s="1"/>
  <c r="R198" i="32"/>
  <c r="R200" i="32" s="1"/>
  <c r="V198" i="32"/>
  <c r="V200" i="32" s="1"/>
  <c r="W198" i="32"/>
  <c r="W200" i="32" s="1"/>
  <c r="K188" i="32"/>
  <c r="N198" i="32"/>
  <c r="N200" i="32" s="1"/>
  <c r="H188" i="32"/>
  <c r="H202" i="32" s="1"/>
  <c r="H203" i="32" s="1"/>
  <c r="I118" i="32"/>
  <c r="Q118" i="32"/>
  <c r="Y118" i="32"/>
  <c r="G124" i="32"/>
  <c r="G130" i="32" s="1"/>
  <c r="G132" i="32" s="1"/>
  <c r="W124" i="32"/>
  <c r="W130" i="32" s="1"/>
  <c r="W132" i="32" s="1"/>
  <c r="O124" i="32"/>
  <c r="O130" i="32" s="1"/>
  <c r="P118" i="32"/>
  <c r="H104" i="32"/>
  <c r="X104" i="32"/>
  <c r="L130" i="32"/>
  <c r="L132" i="32" s="1"/>
  <c r="P130" i="32"/>
  <c r="P132" i="32" s="1"/>
  <c r="E116" i="32"/>
  <c r="E118" i="32" s="1"/>
  <c r="E114" i="32"/>
  <c r="E113" i="32"/>
  <c r="M116" i="32"/>
  <c r="M118" i="32" s="1"/>
  <c r="M114" i="32"/>
  <c r="M113" i="32"/>
  <c r="U116" i="32"/>
  <c r="U118" i="32" s="1"/>
  <c r="U114" i="32"/>
  <c r="U113" i="32"/>
  <c r="D130" i="32"/>
  <c r="D132" i="32" s="1"/>
  <c r="T130" i="32"/>
  <c r="T132" i="32" s="1"/>
  <c r="D116" i="32"/>
  <c r="D118" i="32" s="1"/>
  <c r="D114" i="32"/>
  <c r="D113" i="32"/>
  <c r="L116" i="32"/>
  <c r="L118" i="32" s="1"/>
  <c r="L114" i="32"/>
  <c r="L113" i="32"/>
  <c r="T116" i="32"/>
  <c r="T118" i="32" s="1"/>
  <c r="T114" i="32"/>
  <c r="T113" i="32"/>
  <c r="P101" i="32"/>
  <c r="P104" i="32" s="1"/>
  <c r="F116" i="32"/>
  <c r="F118" i="32" s="1"/>
  <c r="F114" i="32"/>
  <c r="F113" i="32"/>
  <c r="N116" i="32"/>
  <c r="N118" i="32" s="1"/>
  <c r="N114" i="32"/>
  <c r="N113" i="32"/>
  <c r="V116" i="32"/>
  <c r="V118" i="32" s="1"/>
  <c r="V114" i="32"/>
  <c r="V113" i="32"/>
  <c r="H113" i="32"/>
  <c r="X113" i="32"/>
  <c r="P114" i="32"/>
  <c r="H116" i="32"/>
  <c r="H118" i="32" s="1"/>
  <c r="X116" i="32"/>
  <c r="I130" i="32"/>
  <c r="I132" i="32" s="1"/>
  <c r="Q130" i="32"/>
  <c r="Q132" i="32" s="1"/>
  <c r="G104" i="32"/>
  <c r="K104" i="32"/>
  <c r="O104" i="32"/>
  <c r="S104" i="32"/>
  <c r="W104" i="32"/>
  <c r="AA104" i="32"/>
  <c r="I101" i="32"/>
  <c r="I104" i="32" s="1"/>
  <c r="Q101" i="32"/>
  <c r="Q104" i="32" s="1"/>
  <c r="Y101" i="32"/>
  <c r="Y104" i="32" s="1"/>
  <c r="G116" i="32"/>
  <c r="G118" i="32" s="1"/>
  <c r="G114" i="32"/>
  <c r="G113" i="32"/>
  <c r="K116" i="32"/>
  <c r="K118" i="32" s="1"/>
  <c r="K114" i="32"/>
  <c r="K113" i="32"/>
  <c r="O116" i="32"/>
  <c r="O118" i="32" s="1"/>
  <c r="O114" i="32"/>
  <c r="O113" i="32"/>
  <c r="S116" i="32"/>
  <c r="S118" i="32" s="1"/>
  <c r="S114" i="32"/>
  <c r="S113" i="32"/>
  <c r="W116" i="32"/>
  <c r="W118" i="32" s="1"/>
  <c r="W114" i="32"/>
  <c r="W113" i="32"/>
  <c r="AA116" i="32"/>
  <c r="AA118" i="32" s="1"/>
  <c r="AA114" i="32"/>
  <c r="AA113" i="32"/>
  <c r="I113" i="32"/>
  <c r="Q113" i="32"/>
  <c r="Y113" i="32"/>
  <c r="I114" i="32"/>
  <c r="Q114" i="32"/>
  <c r="Y114" i="32"/>
  <c r="H124" i="32"/>
  <c r="X124" i="32"/>
  <c r="F124" i="32"/>
  <c r="F101" i="32"/>
  <c r="F104" i="32" s="1"/>
  <c r="J124" i="32"/>
  <c r="J101" i="32"/>
  <c r="J104" i="32" s="1"/>
  <c r="N124" i="32"/>
  <c r="N101" i="32"/>
  <c r="N104" i="32" s="1"/>
  <c r="R124" i="32"/>
  <c r="R101" i="32"/>
  <c r="R104" i="32" s="1"/>
  <c r="V124" i="32"/>
  <c r="V101" i="32"/>
  <c r="V104" i="32" s="1"/>
  <c r="Z124" i="32"/>
  <c r="Z101" i="32"/>
  <c r="Z104" i="32" s="1"/>
  <c r="D101" i="32"/>
  <c r="D104" i="32" s="1"/>
  <c r="L101" i="32"/>
  <c r="L104" i="32" s="1"/>
  <c r="T101" i="32"/>
  <c r="T104" i="32" s="1"/>
  <c r="K124" i="32"/>
  <c r="S124" i="32"/>
  <c r="AA124" i="32"/>
  <c r="J116" i="32"/>
  <c r="J118" i="32" s="1"/>
  <c r="J114" i="32"/>
  <c r="J113" i="32"/>
  <c r="R116" i="32"/>
  <c r="R118" i="32" s="1"/>
  <c r="R114" i="32"/>
  <c r="R113" i="32"/>
  <c r="Z116" i="32"/>
  <c r="Z118" i="32" s="1"/>
  <c r="Z114" i="32"/>
  <c r="Z113" i="32"/>
  <c r="P113" i="32"/>
  <c r="E130" i="32"/>
  <c r="E132" i="32" s="1"/>
  <c r="M130" i="32"/>
  <c r="M132" i="32" s="1"/>
  <c r="U130" i="32"/>
  <c r="U132" i="32" s="1"/>
  <c r="Y130" i="32"/>
  <c r="Y132" i="32" s="1"/>
  <c r="E101" i="32"/>
  <c r="E104" i="32" s="1"/>
  <c r="M101" i="32"/>
  <c r="M104" i="32" s="1"/>
  <c r="U101" i="32"/>
  <c r="U104" i="32" s="1"/>
  <c r="AA60" i="32"/>
  <c r="Z60" i="32"/>
  <c r="Y60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K60" i="32"/>
  <c r="J60" i="32"/>
  <c r="I60" i="32"/>
  <c r="H60" i="32"/>
  <c r="G60" i="32"/>
  <c r="F60" i="32"/>
  <c r="E60" i="32"/>
  <c r="D60" i="32"/>
  <c r="AA59" i="32"/>
  <c r="Z59" i="32"/>
  <c r="Y59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K59" i="32"/>
  <c r="J59" i="32"/>
  <c r="I59" i="32"/>
  <c r="H59" i="32"/>
  <c r="G59" i="32"/>
  <c r="F59" i="32"/>
  <c r="E59" i="32"/>
  <c r="D59" i="32"/>
  <c r="AA58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K58" i="32"/>
  <c r="J58" i="32"/>
  <c r="I58" i="32"/>
  <c r="H58" i="32"/>
  <c r="G58" i="32"/>
  <c r="F58" i="32"/>
  <c r="E58" i="32"/>
  <c r="D58" i="32"/>
  <c r="AA57" i="32"/>
  <c r="Z57" i="32"/>
  <c r="Y57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K57" i="32"/>
  <c r="J57" i="32"/>
  <c r="I57" i="32"/>
  <c r="H57" i="32"/>
  <c r="G57" i="32"/>
  <c r="F57" i="32"/>
  <c r="E57" i="32"/>
  <c r="D57" i="32"/>
  <c r="AA43" i="32"/>
  <c r="AA44" i="32" s="1"/>
  <c r="Z43" i="32"/>
  <c r="Z44" i="32" s="1"/>
  <c r="Y43" i="32"/>
  <c r="Y44" i="32" s="1"/>
  <c r="Y46" i="32" s="1"/>
  <c r="X43" i="32"/>
  <c r="X44" i="32" s="1"/>
  <c r="X46" i="32" s="1"/>
  <c r="W43" i="32"/>
  <c r="W44" i="32" s="1"/>
  <c r="V43" i="32"/>
  <c r="V44" i="32" s="1"/>
  <c r="U43" i="32"/>
  <c r="U44" i="32" s="1"/>
  <c r="T43" i="32"/>
  <c r="T44" i="32" s="1"/>
  <c r="S43" i="32"/>
  <c r="S44" i="32" s="1"/>
  <c r="R43" i="32"/>
  <c r="R44" i="32" s="1"/>
  <c r="Q43" i="32"/>
  <c r="Q44" i="32" s="1"/>
  <c r="Q48" i="32" s="1"/>
  <c r="Q50" i="32" s="1"/>
  <c r="P43" i="32"/>
  <c r="P44" i="32" s="1"/>
  <c r="O43" i="32"/>
  <c r="O44" i="32" s="1"/>
  <c r="N43" i="32"/>
  <c r="N44" i="32" s="1"/>
  <c r="M43" i="32"/>
  <c r="M44" i="32" s="1"/>
  <c r="L43" i="32"/>
  <c r="L44" i="32" s="1"/>
  <c r="L48" i="32" s="1"/>
  <c r="K43" i="32"/>
  <c r="K44" i="32" s="1"/>
  <c r="J43" i="32"/>
  <c r="J44" i="32" s="1"/>
  <c r="I43" i="32"/>
  <c r="I44" i="32" s="1"/>
  <c r="I48" i="32" s="1"/>
  <c r="I50" i="32" s="1"/>
  <c r="H43" i="32"/>
  <c r="H44" i="32" s="1"/>
  <c r="G43" i="32"/>
  <c r="G44" i="32" s="1"/>
  <c r="F43" i="32"/>
  <c r="F44" i="32" s="1"/>
  <c r="E43" i="32"/>
  <c r="E44" i="32" s="1"/>
  <c r="D43" i="32"/>
  <c r="D44" i="32" s="1"/>
  <c r="D40" i="32"/>
  <c r="AA188" i="32"/>
  <c r="D39" i="32"/>
  <c r="AA35" i="32"/>
  <c r="Z35" i="32"/>
  <c r="Y35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K35" i="32"/>
  <c r="J35" i="32"/>
  <c r="I35" i="32"/>
  <c r="H35" i="32"/>
  <c r="G35" i="32"/>
  <c r="F35" i="32"/>
  <c r="E35" i="32"/>
  <c r="D35" i="32"/>
  <c r="AA34" i="32"/>
  <c r="Z34" i="32"/>
  <c r="Y34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K34" i="32"/>
  <c r="J34" i="32"/>
  <c r="I34" i="32"/>
  <c r="H34" i="32"/>
  <c r="G34" i="32"/>
  <c r="F34" i="32"/>
  <c r="E34" i="32"/>
  <c r="D34" i="32"/>
  <c r="AA32" i="32"/>
  <c r="Z32" i="32"/>
  <c r="Y32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K32" i="32"/>
  <c r="J32" i="32"/>
  <c r="I32" i="32"/>
  <c r="H32" i="32"/>
  <c r="G32" i="32"/>
  <c r="F32" i="32"/>
  <c r="E32" i="32"/>
  <c r="D32" i="32"/>
  <c r="AA30" i="32"/>
  <c r="Z30" i="32"/>
  <c r="Y30" i="32"/>
  <c r="X30" i="32"/>
  <c r="W30" i="32"/>
  <c r="V30" i="32"/>
  <c r="U30" i="32"/>
  <c r="T30" i="32"/>
  <c r="S30" i="32"/>
  <c r="R30" i="32"/>
  <c r="Q30" i="32"/>
  <c r="P30" i="32"/>
  <c r="O30" i="32"/>
  <c r="N30" i="32"/>
  <c r="M30" i="32"/>
  <c r="L30" i="32"/>
  <c r="K30" i="32"/>
  <c r="J30" i="32"/>
  <c r="I30" i="32"/>
  <c r="H30" i="32"/>
  <c r="G30" i="32"/>
  <c r="F30" i="32"/>
  <c r="E30" i="32"/>
  <c r="D30" i="32"/>
  <c r="XCN16" i="32"/>
  <c r="XCN15" i="32"/>
  <c r="AF15" i="32"/>
  <c r="AF18" i="32" s="1"/>
  <c r="AF19" i="32" s="1"/>
  <c r="AF20" i="32" s="1"/>
  <c r="AD14" i="32"/>
  <c r="XCN13" i="32"/>
  <c r="AD13" i="32"/>
  <c r="XCN12" i="32"/>
  <c r="XCN11" i="32"/>
  <c r="AA11" i="32"/>
  <c r="Z11" i="32"/>
  <c r="Y11" i="32"/>
  <c r="Y56" i="32" s="1"/>
  <c r="X11" i="32"/>
  <c r="X56" i="32" s="1"/>
  <c r="W11" i="32"/>
  <c r="W33" i="32" s="1"/>
  <c r="V11" i="32"/>
  <c r="U11" i="32"/>
  <c r="U56" i="32" s="1"/>
  <c r="T11" i="32"/>
  <c r="T56" i="32" s="1"/>
  <c r="S11" i="32"/>
  <c r="S56" i="32" s="1"/>
  <c r="R11" i="32"/>
  <c r="Q11" i="32"/>
  <c r="Q56" i="32" s="1"/>
  <c r="P11" i="32"/>
  <c r="P56" i="32" s="1"/>
  <c r="O11" i="32"/>
  <c r="O56" i="32" s="1"/>
  <c r="O62" i="32" s="1"/>
  <c r="N11" i="32"/>
  <c r="M11" i="32"/>
  <c r="M56" i="32" s="1"/>
  <c r="L11" i="32"/>
  <c r="K11" i="32"/>
  <c r="K56" i="32" s="1"/>
  <c r="J11" i="32"/>
  <c r="I11" i="32"/>
  <c r="I56" i="32" s="1"/>
  <c r="H11" i="32"/>
  <c r="H56" i="32" s="1"/>
  <c r="G11" i="32"/>
  <c r="G33" i="32" s="1"/>
  <c r="F11" i="32"/>
  <c r="E11" i="32"/>
  <c r="E56" i="32" s="1"/>
  <c r="D11" i="32"/>
  <c r="D56" i="32" s="1"/>
  <c r="XCN10" i="32"/>
  <c r="AA10" i="32"/>
  <c r="AA31" i="32" s="1"/>
  <c r="Z10" i="32"/>
  <c r="Z31" i="32" s="1"/>
  <c r="Y10" i="32"/>
  <c r="Y31" i="32" s="1"/>
  <c r="X10" i="32"/>
  <c r="X31" i="32" s="1"/>
  <c r="W10" i="32"/>
  <c r="W31" i="32" s="1"/>
  <c r="V10" i="32"/>
  <c r="V31" i="32" s="1"/>
  <c r="U10" i="32"/>
  <c r="U31" i="32" s="1"/>
  <c r="T10" i="32"/>
  <c r="T31" i="32" s="1"/>
  <c r="S10" i="32"/>
  <c r="S31" i="32" s="1"/>
  <c r="R10" i="32"/>
  <c r="R31" i="32" s="1"/>
  <c r="Q10" i="32"/>
  <c r="Q31" i="32" s="1"/>
  <c r="P10" i="32"/>
  <c r="P31" i="32" s="1"/>
  <c r="O10" i="32"/>
  <c r="O31" i="32" s="1"/>
  <c r="N10" i="32"/>
  <c r="N31" i="32" s="1"/>
  <c r="M10" i="32"/>
  <c r="M31" i="32" s="1"/>
  <c r="L10" i="32"/>
  <c r="L31" i="32" s="1"/>
  <c r="K10" i="32"/>
  <c r="K31" i="32" s="1"/>
  <c r="J10" i="32"/>
  <c r="J31" i="32" s="1"/>
  <c r="I10" i="32"/>
  <c r="I31" i="32" s="1"/>
  <c r="H10" i="32"/>
  <c r="H31" i="32" s="1"/>
  <c r="G10" i="32"/>
  <c r="G31" i="32" s="1"/>
  <c r="F10" i="32"/>
  <c r="F31" i="32" s="1"/>
  <c r="E10" i="32"/>
  <c r="E31" i="32" s="1"/>
  <c r="D10" i="32"/>
  <c r="D31" i="32" s="1"/>
  <c r="XCN9" i="32"/>
  <c r="XCN8" i="32"/>
  <c r="XCN7" i="32"/>
  <c r="XCN6" i="32"/>
  <c r="XCN3" i="32"/>
  <c r="I1" i="32"/>
  <c r="H1" i="32"/>
  <c r="G1" i="32"/>
  <c r="F1" i="32"/>
  <c r="E1" i="32"/>
  <c r="D1" i="32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AA43" i="31"/>
  <c r="AA44" i="31" s="1"/>
  <c r="Z43" i="31"/>
  <c r="Z44" i="31" s="1"/>
  <c r="Y43" i="31"/>
  <c r="Y44" i="31" s="1"/>
  <c r="X43" i="31"/>
  <c r="X44" i="31" s="1"/>
  <c r="W43" i="31"/>
  <c r="W44" i="31" s="1"/>
  <c r="V43" i="31"/>
  <c r="V44" i="31" s="1"/>
  <c r="U43" i="31"/>
  <c r="U44" i="31" s="1"/>
  <c r="T43" i="31"/>
  <c r="T44" i="31" s="1"/>
  <c r="S43" i="31"/>
  <c r="S44" i="31" s="1"/>
  <c r="R43" i="31"/>
  <c r="R44" i="31" s="1"/>
  <c r="Q43" i="31"/>
  <c r="Q44" i="31" s="1"/>
  <c r="P43" i="31"/>
  <c r="P44" i="31" s="1"/>
  <c r="P46" i="31" s="1"/>
  <c r="O43" i="31"/>
  <c r="O44" i="31" s="1"/>
  <c r="N43" i="31"/>
  <c r="N44" i="31" s="1"/>
  <c r="M43" i="31"/>
  <c r="M44" i="31" s="1"/>
  <c r="L43" i="31"/>
  <c r="L44" i="31" s="1"/>
  <c r="K43" i="31"/>
  <c r="K44" i="31" s="1"/>
  <c r="J43" i="31"/>
  <c r="J44" i="31" s="1"/>
  <c r="I43" i="31"/>
  <c r="I44" i="31" s="1"/>
  <c r="H43" i="31"/>
  <c r="H44" i="31" s="1"/>
  <c r="G43" i="31"/>
  <c r="G44" i="31" s="1"/>
  <c r="F43" i="31"/>
  <c r="F44" i="31" s="1"/>
  <c r="E43" i="31"/>
  <c r="E44" i="31" s="1"/>
  <c r="D43" i="31"/>
  <c r="D44" i="31" s="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AA189" i="31" s="1"/>
  <c r="O39" i="31"/>
  <c r="N39" i="31"/>
  <c r="M39" i="31"/>
  <c r="L39" i="31"/>
  <c r="K39" i="31"/>
  <c r="J39" i="31"/>
  <c r="I39" i="31"/>
  <c r="H39" i="31"/>
  <c r="G39" i="31"/>
  <c r="F39" i="31"/>
  <c r="E39" i="31"/>
  <c r="D39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XCN16" i="31"/>
  <c r="XCN15" i="31"/>
  <c r="AF15" i="31"/>
  <c r="AF18" i="31" s="1"/>
  <c r="AF19" i="31" s="1"/>
  <c r="AF20" i="31" s="1"/>
  <c r="AD14" i="31"/>
  <c r="XCN13" i="31"/>
  <c r="AD13" i="31"/>
  <c r="XCN12" i="31"/>
  <c r="XCN11" i="31"/>
  <c r="AA11" i="31"/>
  <c r="AA33" i="31" s="1"/>
  <c r="Z11" i="31"/>
  <c r="Y11" i="31"/>
  <c r="X11" i="31"/>
  <c r="X56" i="31" s="1"/>
  <c r="W11" i="31"/>
  <c r="W33" i="31" s="1"/>
  <c r="V11" i="31"/>
  <c r="V56" i="31" s="1"/>
  <c r="U11" i="31"/>
  <c r="T11" i="31"/>
  <c r="T56" i="31" s="1"/>
  <c r="S11" i="31"/>
  <c r="S56" i="31" s="1"/>
  <c r="R11" i="31"/>
  <c r="R56" i="31" s="1"/>
  <c r="Q11" i="31"/>
  <c r="P11" i="31"/>
  <c r="P56" i="31" s="1"/>
  <c r="O11" i="31"/>
  <c r="O33" i="31" s="1"/>
  <c r="N11" i="31"/>
  <c r="N56" i="31" s="1"/>
  <c r="M11" i="31"/>
  <c r="L11" i="31"/>
  <c r="L56" i="31" s="1"/>
  <c r="K11" i="31"/>
  <c r="K56" i="31" s="1"/>
  <c r="J11" i="31"/>
  <c r="J56" i="31" s="1"/>
  <c r="I11" i="31"/>
  <c r="H11" i="31"/>
  <c r="H56" i="31" s="1"/>
  <c r="G11" i="31"/>
  <c r="G33" i="31" s="1"/>
  <c r="F11" i="31"/>
  <c r="F56" i="31" s="1"/>
  <c r="E11" i="31"/>
  <c r="D11" i="31"/>
  <c r="D56" i="31" s="1"/>
  <c r="XCN10" i="31"/>
  <c r="AA10" i="31"/>
  <c r="AA31" i="31" s="1"/>
  <c r="Z10" i="31"/>
  <c r="Z31" i="31" s="1"/>
  <c r="Y10" i="31"/>
  <c r="Y31" i="31" s="1"/>
  <c r="X10" i="31"/>
  <c r="X31" i="31" s="1"/>
  <c r="W10" i="31"/>
  <c r="W31" i="31" s="1"/>
  <c r="V10" i="31"/>
  <c r="V31" i="31" s="1"/>
  <c r="U10" i="31"/>
  <c r="U31" i="31" s="1"/>
  <c r="T10" i="31"/>
  <c r="T31" i="31" s="1"/>
  <c r="S10" i="31"/>
  <c r="S31" i="31" s="1"/>
  <c r="R10" i="31"/>
  <c r="R31" i="31" s="1"/>
  <c r="Q10" i="31"/>
  <c r="Q31" i="31" s="1"/>
  <c r="P10" i="31"/>
  <c r="P31" i="31" s="1"/>
  <c r="O10" i="31"/>
  <c r="O31" i="31" s="1"/>
  <c r="N10" i="31"/>
  <c r="N31" i="31" s="1"/>
  <c r="M10" i="31"/>
  <c r="M31" i="31" s="1"/>
  <c r="L10" i="31"/>
  <c r="L31" i="31" s="1"/>
  <c r="K10" i="31"/>
  <c r="K31" i="31" s="1"/>
  <c r="J10" i="31"/>
  <c r="J31" i="31" s="1"/>
  <c r="I10" i="31"/>
  <c r="I31" i="31" s="1"/>
  <c r="H10" i="31"/>
  <c r="H31" i="31" s="1"/>
  <c r="G10" i="31"/>
  <c r="G31" i="31" s="1"/>
  <c r="F10" i="31"/>
  <c r="F31" i="31" s="1"/>
  <c r="E10" i="31"/>
  <c r="E31" i="31" s="1"/>
  <c r="D10" i="31"/>
  <c r="D31" i="31" s="1"/>
  <c r="XCN9" i="31"/>
  <c r="XCN8" i="31"/>
  <c r="XCN7" i="31"/>
  <c r="XCN6" i="31"/>
  <c r="XCN3" i="31"/>
  <c r="I1" i="31"/>
  <c r="H1" i="31"/>
  <c r="G1" i="31"/>
  <c r="F1" i="31"/>
  <c r="E1" i="31"/>
  <c r="D1" i="31"/>
  <c r="H134" i="24" l="1"/>
  <c r="H135" i="24" s="1"/>
  <c r="H33" i="31"/>
  <c r="V120" i="31"/>
  <c r="V134" i="31" s="1"/>
  <c r="V135" i="31" s="1"/>
  <c r="V189" i="31"/>
  <c r="V203" i="31" s="1"/>
  <c r="V204" i="31" s="1"/>
  <c r="Z120" i="31"/>
  <c r="Z134" i="31" s="1"/>
  <c r="Z135" i="31" s="1"/>
  <c r="S188" i="32"/>
  <c r="S202" i="32" s="1"/>
  <c r="S203" i="32" s="1"/>
  <c r="V188" i="32"/>
  <c r="V202" i="32" s="1"/>
  <c r="V203" i="32" s="1"/>
  <c r="T188" i="32"/>
  <c r="T202" i="32" s="1"/>
  <c r="T203" i="32" s="1"/>
  <c r="U188" i="32"/>
  <c r="U202" i="32" s="1"/>
  <c r="U203" i="32" s="1"/>
  <c r="R188" i="32"/>
  <c r="R202" i="32" s="1"/>
  <c r="R203" i="32" s="1"/>
  <c r="W188" i="32"/>
  <c r="W202" i="32" s="1"/>
  <c r="W203" i="32" s="1"/>
  <c r="F134" i="24"/>
  <c r="F135" i="24" s="1"/>
  <c r="K202" i="24"/>
  <c r="K203" i="24" s="1"/>
  <c r="J134" i="24"/>
  <c r="J135" i="24" s="1"/>
  <c r="M134" i="24"/>
  <c r="M135" i="24" s="1"/>
  <c r="N134" i="24"/>
  <c r="N135" i="24" s="1"/>
  <c r="W189" i="31"/>
  <c r="W203" i="31" s="1"/>
  <c r="W204" i="31" s="1"/>
  <c r="R189" i="31"/>
  <c r="R203" i="31" s="1"/>
  <c r="R204" i="31" s="1"/>
  <c r="AA202" i="32"/>
  <c r="AA203" i="32" s="1"/>
  <c r="Q188" i="32"/>
  <c r="Q202" i="32" s="1"/>
  <c r="Q203" i="32" s="1"/>
  <c r="X188" i="32"/>
  <c r="X202" i="32" s="1"/>
  <c r="X203" i="32" s="1"/>
  <c r="Z188" i="32"/>
  <c r="Z202" i="32" s="1"/>
  <c r="Z203" i="32" s="1"/>
  <c r="P188" i="32"/>
  <c r="P202" i="32" s="1"/>
  <c r="P203" i="32" s="1"/>
  <c r="Y188" i="32"/>
  <c r="Y202" i="32" s="1"/>
  <c r="Y203" i="32" s="1"/>
  <c r="AI151" i="28"/>
  <c r="AI148" i="28"/>
  <c r="AC200" i="24"/>
  <c r="G202" i="24"/>
  <c r="G203" i="24" s="1"/>
  <c r="E134" i="24"/>
  <c r="E135" i="24" s="1"/>
  <c r="AC132" i="24"/>
  <c r="D134" i="24"/>
  <c r="D135" i="24" s="1"/>
  <c r="K203" i="31"/>
  <c r="K204" i="31" s="1"/>
  <c r="J203" i="31"/>
  <c r="J204" i="31" s="1"/>
  <c r="T120" i="31"/>
  <c r="T134" i="31" s="1"/>
  <c r="T135" i="31" s="1"/>
  <c r="Y120" i="31"/>
  <c r="Y134" i="31" s="1"/>
  <c r="Y135" i="31" s="1"/>
  <c r="P120" i="31"/>
  <c r="P134" i="31" s="1"/>
  <c r="P135" i="31" s="1"/>
  <c r="P189" i="31"/>
  <c r="P203" i="31" s="1"/>
  <c r="P204" i="31" s="1"/>
  <c r="X120" i="31"/>
  <c r="X134" i="31" s="1"/>
  <c r="X135" i="31" s="1"/>
  <c r="Q120" i="31"/>
  <c r="Q134" i="31" s="1"/>
  <c r="Q135" i="31" s="1"/>
  <c r="T189" i="31"/>
  <c r="T203" i="31" s="1"/>
  <c r="T204" i="31" s="1"/>
  <c r="U189" i="31"/>
  <c r="U203" i="31" s="1"/>
  <c r="U204" i="31" s="1"/>
  <c r="U120" i="31"/>
  <c r="U134" i="31" s="1"/>
  <c r="U135" i="31" s="1"/>
  <c r="X189" i="31"/>
  <c r="X203" i="31" s="1"/>
  <c r="X204" i="31" s="1"/>
  <c r="Y189" i="31"/>
  <c r="Y203" i="31" s="1"/>
  <c r="Y204" i="31" s="1"/>
  <c r="S120" i="31"/>
  <c r="S134" i="31" s="1"/>
  <c r="S135" i="31" s="1"/>
  <c r="R120" i="31"/>
  <c r="R134" i="31" s="1"/>
  <c r="R135" i="31" s="1"/>
  <c r="Z189" i="31"/>
  <c r="Z203" i="31" s="1"/>
  <c r="Z204" i="31" s="1"/>
  <c r="AA120" i="31"/>
  <c r="AA134" i="31" s="1"/>
  <c r="AA135" i="31" s="1"/>
  <c r="AA203" i="31"/>
  <c r="AA204" i="31" s="1"/>
  <c r="Q189" i="31"/>
  <c r="Q203" i="31" s="1"/>
  <c r="Q204" i="31" s="1"/>
  <c r="W120" i="31"/>
  <c r="W134" i="31" s="1"/>
  <c r="W135" i="31" s="1"/>
  <c r="S189" i="31"/>
  <c r="S203" i="31" s="1"/>
  <c r="S204" i="31" s="1"/>
  <c r="F203" i="31"/>
  <c r="F204" i="31" s="1"/>
  <c r="AC201" i="31"/>
  <c r="N202" i="32"/>
  <c r="N203" i="32" s="1"/>
  <c r="K202" i="32"/>
  <c r="K203" i="32" s="1"/>
  <c r="G202" i="32"/>
  <c r="G203" i="32" s="1"/>
  <c r="AC200" i="32"/>
  <c r="I120" i="32"/>
  <c r="O132" i="32"/>
  <c r="P62" i="32"/>
  <c r="P64" i="32" s="1"/>
  <c r="E33" i="32"/>
  <c r="E36" i="32" s="1"/>
  <c r="L50" i="32"/>
  <c r="Z120" i="32"/>
  <c r="V120" i="32"/>
  <c r="Y120" i="32"/>
  <c r="Y134" i="32" s="1"/>
  <c r="Y135" i="32" s="1"/>
  <c r="W120" i="32"/>
  <c r="W134" i="32" s="1"/>
  <c r="W135" i="32" s="1"/>
  <c r="I45" i="32"/>
  <c r="Q120" i="32"/>
  <c r="Q134" i="32" s="1"/>
  <c r="Q135" i="32" s="1"/>
  <c r="S120" i="32"/>
  <c r="U120" i="32"/>
  <c r="U134" i="32" s="1"/>
  <c r="U135" i="32" s="1"/>
  <c r="R120" i="32"/>
  <c r="P120" i="32"/>
  <c r="P134" i="32" s="1"/>
  <c r="P135" i="32" s="1"/>
  <c r="Y33" i="32"/>
  <c r="Y36" i="32" s="1"/>
  <c r="T120" i="32"/>
  <c r="T134" i="32" s="1"/>
  <c r="T135" i="32" s="1"/>
  <c r="AA120" i="32"/>
  <c r="X118" i="32"/>
  <c r="J120" i="32"/>
  <c r="K120" i="32"/>
  <c r="H120" i="32"/>
  <c r="O120" i="32"/>
  <c r="I134" i="32"/>
  <c r="I135" i="32" s="1"/>
  <c r="L120" i="32"/>
  <c r="L134" i="32" s="1"/>
  <c r="L135" i="32" s="1"/>
  <c r="M120" i="32"/>
  <c r="M134" i="32" s="1"/>
  <c r="M135" i="32" s="1"/>
  <c r="S130" i="32"/>
  <c r="S132" i="32" s="1"/>
  <c r="V130" i="32"/>
  <c r="V132" i="32" s="1"/>
  <c r="N130" i="32"/>
  <c r="N132" i="32" s="1"/>
  <c r="F130" i="32"/>
  <c r="F132" i="32" s="1"/>
  <c r="F120" i="32"/>
  <c r="K130" i="32"/>
  <c r="K132" i="32" s="1"/>
  <c r="X130" i="32"/>
  <c r="X132" i="32" s="1"/>
  <c r="N120" i="32"/>
  <c r="AA130" i="32"/>
  <c r="AA132" i="32" s="1"/>
  <c r="Z130" i="32"/>
  <c r="Z132" i="32" s="1"/>
  <c r="R130" i="32"/>
  <c r="R132" i="32" s="1"/>
  <c r="J130" i="32"/>
  <c r="J132" i="32" s="1"/>
  <c r="H130" i="32"/>
  <c r="H132" i="32" s="1"/>
  <c r="G120" i="32"/>
  <c r="G134" i="32" s="1"/>
  <c r="G135" i="32" s="1"/>
  <c r="D120" i="32"/>
  <c r="D134" i="32" s="1"/>
  <c r="D135" i="32" s="1"/>
  <c r="E120" i="32"/>
  <c r="E134" i="32" s="1"/>
  <c r="E135" i="32" s="1"/>
  <c r="S33" i="31"/>
  <c r="O56" i="31"/>
  <c r="O62" i="31" s="1"/>
  <c r="O64" i="31" s="1"/>
  <c r="T33" i="31"/>
  <c r="D33" i="31"/>
  <c r="D36" i="31" s="1"/>
  <c r="X33" i="31"/>
  <c r="I46" i="32"/>
  <c r="Q46" i="32"/>
  <c r="O33" i="32"/>
  <c r="O36" i="32" s="1"/>
  <c r="H33" i="32"/>
  <c r="H36" i="32" s="1"/>
  <c r="P33" i="32"/>
  <c r="P36" i="32" s="1"/>
  <c r="I33" i="32"/>
  <c r="I36" i="32" s="1"/>
  <c r="I52" i="32" s="1"/>
  <c r="U33" i="32"/>
  <c r="U36" i="32" s="1"/>
  <c r="M33" i="32"/>
  <c r="M36" i="32" s="1"/>
  <c r="X33" i="32"/>
  <c r="X36" i="32" s="1"/>
  <c r="H62" i="32"/>
  <c r="H64" i="32" s="1"/>
  <c r="X62" i="32"/>
  <c r="X64" i="32" s="1"/>
  <c r="D48" i="32"/>
  <c r="D50" i="32" s="1"/>
  <c r="D46" i="32"/>
  <c r="D45" i="32"/>
  <c r="H45" i="32"/>
  <c r="H48" i="32"/>
  <c r="H50" i="32" s="1"/>
  <c r="H46" i="32"/>
  <c r="P46" i="32"/>
  <c r="P48" i="32"/>
  <c r="P50" i="32" s="1"/>
  <c r="P45" i="32"/>
  <c r="T48" i="32"/>
  <c r="T50" i="32" s="1"/>
  <c r="T46" i="32"/>
  <c r="T45" i="32"/>
  <c r="F56" i="32"/>
  <c r="F33" i="32"/>
  <c r="F36" i="32" s="1"/>
  <c r="J56" i="32"/>
  <c r="J33" i="32"/>
  <c r="J36" i="32" s="1"/>
  <c r="N56" i="32"/>
  <c r="N33" i="32"/>
  <c r="N36" i="32" s="1"/>
  <c r="R56" i="32"/>
  <c r="R33" i="32"/>
  <c r="R36" i="32" s="1"/>
  <c r="V56" i="32"/>
  <c r="V33" i="32"/>
  <c r="V36" i="32" s="1"/>
  <c r="Z56" i="32"/>
  <c r="Z33" i="32"/>
  <c r="Z36" i="32" s="1"/>
  <c r="G48" i="32"/>
  <c r="G50" i="32" s="1"/>
  <c r="G46" i="32"/>
  <c r="G45" i="32"/>
  <c r="K48" i="32"/>
  <c r="K50" i="32" s="1"/>
  <c r="K46" i="32"/>
  <c r="K45" i="32"/>
  <c r="O48" i="32"/>
  <c r="O50" i="32" s="1"/>
  <c r="O46" i="32"/>
  <c r="O45" i="32"/>
  <c r="S48" i="32"/>
  <c r="S50" i="32" s="1"/>
  <c r="S46" i="32"/>
  <c r="S45" i="32"/>
  <c r="W48" i="32"/>
  <c r="W50" i="32" s="1"/>
  <c r="W46" i="32"/>
  <c r="W45" i="32"/>
  <c r="AA48" i="32"/>
  <c r="AA50" i="32" s="1"/>
  <c r="AA46" i="32"/>
  <c r="AA45" i="32"/>
  <c r="X48" i="32"/>
  <c r="X50" i="32" s="1"/>
  <c r="O64" i="32"/>
  <c r="K62" i="32"/>
  <c r="K64" i="32" s="1"/>
  <c r="S62" i="32"/>
  <c r="S64" i="32" s="1"/>
  <c r="AA33" i="32"/>
  <c r="AA36" i="32" s="1"/>
  <c r="AA56" i="32"/>
  <c r="L45" i="32"/>
  <c r="X45" i="32"/>
  <c r="Y48" i="32"/>
  <c r="D62" i="32"/>
  <c r="D64" i="32" s="1"/>
  <c r="L56" i="32"/>
  <c r="L33" i="32"/>
  <c r="L36" i="32" s="1"/>
  <c r="T62" i="32"/>
  <c r="T64" i="32" s="1"/>
  <c r="D33" i="32"/>
  <c r="D36" i="32" s="1"/>
  <c r="K33" i="32"/>
  <c r="S33" i="32"/>
  <c r="S36" i="32" s="1"/>
  <c r="E48" i="32"/>
  <c r="E50" i="32" s="1"/>
  <c r="E46" i="32"/>
  <c r="E45" i="32"/>
  <c r="M48" i="32"/>
  <c r="M50" i="32" s="1"/>
  <c r="M46" i="32"/>
  <c r="M45" i="32"/>
  <c r="U48" i="32"/>
  <c r="U50" i="32" s="1"/>
  <c r="U46" i="32"/>
  <c r="U45" i="32"/>
  <c r="Y45" i="32"/>
  <c r="L46" i="32"/>
  <c r="G56" i="32"/>
  <c r="W56" i="32"/>
  <c r="G36" i="32"/>
  <c r="K36" i="32"/>
  <c r="W36" i="32"/>
  <c r="T33" i="32"/>
  <c r="T36" i="32" s="1"/>
  <c r="F48" i="32"/>
  <c r="F50" i="32" s="1"/>
  <c r="F46" i="32"/>
  <c r="F45" i="32"/>
  <c r="J48" i="32"/>
  <c r="J50" i="32" s="1"/>
  <c r="J46" i="32"/>
  <c r="J45" i="32"/>
  <c r="N48" i="32"/>
  <c r="N50" i="32" s="1"/>
  <c r="N46" i="32"/>
  <c r="N45" i="32"/>
  <c r="R48" i="32"/>
  <c r="R50" i="32" s="1"/>
  <c r="R46" i="32"/>
  <c r="R45" i="32"/>
  <c r="V48" i="32"/>
  <c r="V50" i="32" s="1"/>
  <c r="V46" i="32"/>
  <c r="V45" i="32"/>
  <c r="Z48" i="32"/>
  <c r="Z50" i="32" s="1"/>
  <c r="Z46" i="32"/>
  <c r="Z45" i="32"/>
  <c r="Q45" i="32"/>
  <c r="E62" i="32"/>
  <c r="E64" i="32" s="1"/>
  <c r="I62" i="32"/>
  <c r="I64" i="32" s="1"/>
  <c r="M62" i="32"/>
  <c r="M64" i="32" s="1"/>
  <c r="Q62" i="32"/>
  <c r="Q64" i="32" s="1"/>
  <c r="U62" i="32"/>
  <c r="U64" i="32" s="1"/>
  <c r="Y62" i="32"/>
  <c r="Y64" i="32" s="1"/>
  <c r="Q33" i="32"/>
  <c r="Q36" i="32" s="1"/>
  <c r="Q52" i="32" s="1"/>
  <c r="K62" i="31"/>
  <c r="K64" i="31" s="1"/>
  <c r="H36" i="31"/>
  <c r="X36" i="31"/>
  <c r="D48" i="31"/>
  <c r="D45" i="31"/>
  <c r="D46" i="31"/>
  <c r="H45" i="31"/>
  <c r="H46" i="31"/>
  <c r="H48" i="31"/>
  <c r="H50" i="31" s="1"/>
  <c r="L46" i="31"/>
  <c r="L45" i="31"/>
  <c r="L48" i="31"/>
  <c r="L50" i="31" s="1"/>
  <c r="T48" i="31"/>
  <c r="T50" i="31" s="1"/>
  <c r="T45" i="31"/>
  <c r="T46" i="31"/>
  <c r="X48" i="31"/>
  <c r="X50" i="31" s="1"/>
  <c r="X46" i="31"/>
  <c r="X45" i="31"/>
  <c r="S62" i="31"/>
  <c r="S64" i="31" s="1"/>
  <c r="T36" i="31"/>
  <c r="F62" i="31"/>
  <c r="F64" i="31" s="1"/>
  <c r="N62" i="31"/>
  <c r="N64" i="31" s="1"/>
  <c r="R62" i="31"/>
  <c r="R64" i="31" s="1"/>
  <c r="G36" i="31"/>
  <c r="S36" i="31"/>
  <c r="AA36" i="31"/>
  <c r="N33" i="31"/>
  <c r="K48" i="31"/>
  <c r="K50" i="31" s="1"/>
  <c r="K46" i="31"/>
  <c r="K45" i="31"/>
  <c r="O48" i="31"/>
  <c r="O50" i="31" s="1"/>
  <c r="O46" i="31"/>
  <c r="O45" i="31"/>
  <c r="W48" i="31"/>
  <c r="W50" i="31" s="1"/>
  <c r="W46" i="31"/>
  <c r="W45" i="31"/>
  <c r="J33" i="31"/>
  <c r="D62" i="31"/>
  <c r="D64" i="31" s="1"/>
  <c r="H62" i="31"/>
  <c r="H64" i="31" s="1"/>
  <c r="L62" i="31"/>
  <c r="L64" i="31" s="1"/>
  <c r="P62" i="31"/>
  <c r="P64" i="31" s="1"/>
  <c r="T62" i="31"/>
  <c r="T64" i="31" s="1"/>
  <c r="X62" i="31"/>
  <c r="X64" i="31" s="1"/>
  <c r="F33" i="31"/>
  <c r="K33" i="31"/>
  <c r="K36" i="31" s="1"/>
  <c r="P33" i="31"/>
  <c r="P36" i="31" s="1"/>
  <c r="V33" i="31"/>
  <c r="E48" i="31"/>
  <c r="E50" i="31" s="1"/>
  <c r="E46" i="31"/>
  <c r="E45" i="31"/>
  <c r="I48" i="31"/>
  <c r="I50" i="31" s="1"/>
  <c r="I46" i="31"/>
  <c r="I45" i="31"/>
  <c r="M48" i="31"/>
  <c r="M50" i="31" s="1"/>
  <c r="M46" i="31"/>
  <c r="M45" i="31"/>
  <c r="Q48" i="31"/>
  <c r="Q50" i="31" s="1"/>
  <c r="Q46" i="31"/>
  <c r="Q45" i="31"/>
  <c r="U48" i="31"/>
  <c r="U50" i="31" s="1"/>
  <c r="U46" i="31"/>
  <c r="U45" i="31"/>
  <c r="Y48" i="31"/>
  <c r="Y50" i="31" s="1"/>
  <c r="Y46" i="31"/>
  <c r="Y45" i="31"/>
  <c r="P45" i="31"/>
  <c r="P48" i="31"/>
  <c r="P50" i="31" s="1"/>
  <c r="G56" i="31"/>
  <c r="W56" i="31"/>
  <c r="J62" i="31"/>
  <c r="J64" i="31" s="1"/>
  <c r="V62" i="31"/>
  <c r="V64" i="31" s="1"/>
  <c r="Z56" i="31"/>
  <c r="Z33" i="31"/>
  <c r="O36" i="31"/>
  <c r="W36" i="31"/>
  <c r="G48" i="31"/>
  <c r="G50" i="31" s="1"/>
  <c r="G46" i="31"/>
  <c r="G45" i="31"/>
  <c r="S48" i="31"/>
  <c r="S50" i="31" s="1"/>
  <c r="S52" i="31" s="1"/>
  <c r="S46" i="31"/>
  <c r="S45" i="31"/>
  <c r="AA48" i="31"/>
  <c r="AA50" i="31" s="1"/>
  <c r="AA46" i="31"/>
  <c r="AA45" i="31"/>
  <c r="E56" i="31"/>
  <c r="E33" i="31"/>
  <c r="E36" i="31" s="1"/>
  <c r="I56" i="31"/>
  <c r="I33" i="31"/>
  <c r="I36" i="31" s="1"/>
  <c r="M56" i="31"/>
  <c r="M33" i="31"/>
  <c r="M36" i="31" s="1"/>
  <c r="Q56" i="31"/>
  <c r="Q33" i="31"/>
  <c r="Q36" i="31" s="1"/>
  <c r="U56" i="31"/>
  <c r="U33" i="31"/>
  <c r="U36" i="31" s="1"/>
  <c r="Y56" i="31"/>
  <c r="Y33" i="31"/>
  <c r="Y36" i="31" s="1"/>
  <c r="F36" i="31"/>
  <c r="J36" i="31"/>
  <c r="N36" i="31"/>
  <c r="V36" i="31"/>
  <c r="Z36" i="31"/>
  <c r="L33" i="31"/>
  <c r="L36" i="31" s="1"/>
  <c r="R33" i="31"/>
  <c r="R36" i="31" s="1"/>
  <c r="F48" i="31"/>
  <c r="F50" i="31" s="1"/>
  <c r="F46" i="31"/>
  <c r="F45" i="31"/>
  <c r="J48" i="31"/>
  <c r="J50" i="31" s="1"/>
  <c r="J46" i="31"/>
  <c r="J45" i="31"/>
  <c r="N48" i="31"/>
  <c r="N50" i="31" s="1"/>
  <c r="N46" i="31"/>
  <c r="N45" i="31"/>
  <c r="R48" i="31"/>
  <c r="R50" i="31" s="1"/>
  <c r="R46" i="31"/>
  <c r="R45" i="31"/>
  <c r="V48" i="31"/>
  <c r="V50" i="31" s="1"/>
  <c r="V52" i="31" s="1"/>
  <c r="V46" i="31"/>
  <c r="V45" i="31"/>
  <c r="Z48" i="31"/>
  <c r="Z50" i="31" s="1"/>
  <c r="Z46" i="31"/>
  <c r="Z45" i="31"/>
  <c r="AA56" i="31"/>
  <c r="AC188" i="32" l="1"/>
  <c r="AJ8" i="32" s="1"/>
  <c r="AC120" i="31"/>
  <c r="AC189" i="31"/>
  <c r="G52" i="31"/>
  <c r="O134" i="32"/>
  <c r="O135" i="32" s="1"/>
  <c r="X120" i="32"/>
  <c r="AC120" i="32" s="1"/>
  <c r="AJ14" i="32" s="1"/>
  <c r="K15" i="33" s="1"/>
  <c r="L52" i="32"/>
  <c r="Z134" i="32"/>
  <c r="Z135" i="32" s="1"/>
  <c r="Y50" i="32"/>
  <c r="Y52" i="32" s="1"/>
  <c r="Y66" i="32" s="1"/>
  <c r="Y67" i="32" s="1"/>
  <c r="AA134" i="32"/>
  <c r="AA135" i="32" s="1"/>
  <c r="S134" i="32"/>
  <c r="S135" i="32" s="1"/>
  <c r="K134" i="32"/>
  <c r="K135" i="32" s="1"/>
  <c r="N134" i="32"/>
  <c r="N135" i="32" s="1"/>
  <c r="R134" i="32"/>
  <c r="R135" i="32" s="1"/>
  <c r="H134" i="32"/>
  <c r="H135" i="32" s="1"/>
  <c r="V134" i="32"/>
  <c r="V135" i="32" s="1"/>
  <c r="J134" i="32"/>
  <c r="J135" i="32" s="1"/>
  <c r="F134" i="32"/>
  <c r="F135" i="32" s="1"/>
  <c r="AC132" i="32"/>
  <c r="N52" i="31"/>
  <c r="N66" i="31" s="1"/>
  <c r="N67" i="31" s="1"/>
  <c r="F52" i="31"/>
  <c r="F66" i="31" s="1"/>
  <c r="F67" i="31" s="1"/>
  <c r="V66" i="31"/>
  <c r="V67" i="31" s="1"/>
  <c r="Q52" i="31"/>
  <c r="T52" i="31"/>
  <c r="T66" i="31" s="1"/>
  <c r="T67" i="31" s="1"/>
  <c r="X52" i="31"/>
  <c r="X66" i="31" s="1"/>
  <c r="X67" i="31" s="1"/>
  <c r="AE1" i="32"/>
  <c r="X52" i="32"/>
  <c r="X66" i="32" s="1"/>
  <c r="X67" i="32" s="1"/>
  <c r="I66" i="32"/>
  <c r="I67" i="32" s="1"/>
  <c r="V52" i="32"/>
  <c r="E52" i="32"/>
  <c r="E66" i="32" s="1"/>
  <c r="E67" i="32" s="1"/>
  <c r="P52" i="32"/>
  <c r="P66" i="32" s="1"/>
  <c r="P67" i="32" s="1"/>
  <c r="W52" i="32"/>
  <c r="G52" i="32"/>
  <c r="Q66" i="32"/>
  <c r="Q67" i="32" s="1"/>
  <c r="N52" i="32"/>
  <c r="U52" i="32"/>
  <c r="U66" i="32" s="1"/>
  <c r="U67" i="32" s="1"/>
  <c r="O52" i="32"/>
  <c r="O66" i="32" s="1"/>
  <c r="O67" i="32" s="1"/>
  <c r="H52" i="32"/>
  <c r="H66" i="32" s="1"/>
  <c r="H67" i="32" s="1"/>
  <c r="F52" i="32"/>
  <c r="V62" i="32"/>
  <c r="V64" i="32" s="1"/>
  <c r="N62" i="32"/>
  <c r="N64" i="32" s="1"/>
  <c r="F62" i="32"/>
  <c r="F64" i="32" s="1"/>
  <c r="D52" i="32"/>
  <c r="R52" i="32"/>
  <c r="L62" i="32"/>
  <c r="L64" i="32" s="1"/>
  <c r="AA52" i="32"/>
  <c r="K52" i="32"/>
  <c r="K66" i="32" s="1"/>
  <c r="K67" i="32" s="1"/>
  <c r="W62" i="32"/>
  <c r="W64" i="32" s="1"/>
  <c r="AA62" i="32"/>
  <c r="AA64" i="32" s="1"/>
  <c r="Z62" i="32"/>
  <c r="Z64" i="32" s="1"/>
  <c r="R62" i="32"/>
  <c r="R64" i="32" s="1"/>
  <c r="J62" i="32"/>
  <c r="J64" i="32" s="1"/>
  <c r="Z52" i="32"/>
  <c r="J52" i="32"/>
  <c r="G62" i="32"/>
  <c r="G64" i="32" s="1"/>
  <c r="M52" i="32"/>
  <c r="M66" i="32" s="1"/>
  <c r="M67" i="32" s="1"/>
  <c r="S52" i="32"/>
  <c r="S66" i="32" s="1"/>
  <c r="S67" i="32" s="1"/>
  <c r="T52" i="32"/>
  <c r="T66" i="32" s="1"/>
  <c r="T67" i="32" s="1"/>
  <c r="Q62" i="31"/>
  <c r="Q64" i="31" s="1"/>
  <c r="M52" i="31"/>
  <c r="R52" i="31"/>
  <c r="R66" i="31" s="1"/>
  <c r="R67" i="31" s="1"/>
  <c r="AA52" i="31"/>
  <c r="W62" i="31"/>
  <c r="W64" i="31" s="1"/>
  <c r="H52" i="31"/>
  <c r="H66" i="31" s="1"/>
  <c r="H67" i="31" s="1"/>
  <c r="AE1" i="31"/>
  <c r="U62" i="31"/>
  <c r="U64" i="31" s="1"/>
  <c r="M62" i="31"/>
  <c r="M64" i="31" s="1"/>
  <c r="E62" i="31"/>
  <c r="E64" i="31" s="1"/>
  <c r="G62" i="31"/>
  <c r="G64" i="31" s="1"/>
  <c r="U52" i="31"/>
  <c r="E52" i="31"/>
  <c r="K52" i="31"/>
  <c r="K66" i="31" s="1"/>
  <c r="K67" i="31" s="1"/>
  <c r="S66" i="31"/>
  <c r="S67" i="31" s="1"/>
  <c r="L52" i="31"/>
  <c r="L66" i="31" s="1"/>
  <c r="L67" i="31" s="1"/>
  <c r="D52" i="31"/>
  <c r="AA62" i="31"/>
  <c r="AA64" i="31" s="1"/>
  <c r="Y62" i="31"/>
  <c r="Y64" i="31" s="1"/>
  <c r="I62" i="31"/>
  <c r="I64" i="31" s="1"/>
  <c r="W52" i="31"/>
  <c r="Z52" i="31"/>
  <c r="J52" i="31"/>
  <c r="J66" i="31" s="1"/>
  <c r="J67" i="31" s="1"/>
  <c r="Z62" i="31"/>
  <c r="Z64" i="31" s="1"/>
  <c r="P52" i="31"/>
  <c r="P66" i="31" s="1"/>
  <c r="P67" i="31" s="1"/>
  <c r="Y52" i="31"/>
  <c r="I52" i="31"/>
  <c r="O52" i="31"/>
  <c r="O66" i="31" s="1"/>
  <c r="O67" i="31" s="1"/>
  <c r="W66" i="32" l="1"/>
  <c r="W67" i="32" s="1"/>
  <c r="X134" i="32"/>
  <c r="X135" i="32" s="1"/>
  <c r="G66" i="31"/>
  <c r="G67" i="31" s="1"/>
  <c r="AC203" i="31"/>
  <c r="AC204" i="31" s="1"/>
  <c r="AL14" i="31"/>
  <c r="AC134" i="31"/>
  <c r="AC135" i="31" s="1"/>
  <c r="AL11" i="31"/>
  <c r="AC202" i="32"/>
  <c r="AC203" i="32" s="1"/>
  <c r="G15" i="33"/>
  <c r="AA66" i="31"/>
  <c r="AA67" i="31" s="1"/>
  <c r="Q66" i="31"/>
  <c r="Q67" i="31" s="1"/>
  <c r="L66" i="32"/>
  <c r="L67" i="32" s="1"/>
  <c r="G66" i="32"/>
  <c r="G67" i="32" s="1"/>
  <c r="R66" i="32"/>
  <c r="R67" i="32" s="1"/>
  <c r="V66" i="32"/>
  <c r="V67" i="32" s="1"/>
  <c r="AC134" i="32"/>
  <c r="AC135" i="32" s="1"/>
  <c r="M66" i="31"/>
  <c r="M67" i="31" s="1"/>
  <c r="W66" i="31"/>
  <c r="W67" i="31" s="1"/>
  <c r="I66" i="31"/>
  <c r="I67" i="31" s="1"/>
  <c r="U66" i="31"/>
  <c r="U67" i="31" s="1"/>
  <c r="Z66" i="31"/>
  <c r="Z67" i="31" s="1"/>
  <c r="Y66" i="31"/>
  <c r="Y67" i="31" s="1"/>
  <c r="AA66" i="32"/>
  <c r="AA67" i="32" s="1"/>
  <c r="N66" i="32"/>
  <c r="N67" i="32" s="1"/>
  <c r="Z66" i="32"/>
  <c r="Z67" i="32" s="1"/>
  <c r="J66" i="32"/>
  <c r="J67" i="32" s="1"/>
  <c r="F66" i="32"/>
  <c r="F67" i="32" s="1"/>
  <c r="AC64" i="32"/>
  <c r="AJ6" i="32" s="1"/>
  <c r="F15" i="33" s="1"/>
  <c r="AC52" i="32"/>
  <c r="AJ11" i="32" s="1"/>
  <c r="I15" i="33" s="1"/>
  <c r="D66" i="32"/>
  <c r="D67" i="32" s="1"/>
  <c r="E66" i="31"/>
  <c r="E67" i="31" s="1"/>
  <c r="AC64" i="31"/>
  <c r="AL6" i="31" s="1"/>
  <c r="F16" i="33" s="1"/>
  <c r="AC52" i="31"/>
  <c r="AL8" i="31" s="1"/>
  <c r="D66" i="31"/>
  <c r="D67" i="31" s="1"/>
  <c r="AJ9" i="32" l="1"/>
  <c r="H15" i="33" s="1"/>
  <c r="K16" i="33"/>
  <c r="AL15" i="31"/>
  <c r="L16" i="33" s="1"/>
  <c r="I16" i="33"/>
  <c r="AL12" i="31"/>
  <c r="J16" i="33" s="1"/>
  <c r="G16" i="33"/>
  <c r="AL9" i="31"/>
  <c r="H16" i="33" s="1"/>
  <c r="AJ15" i="32"/>
  <c r="L15" i="33" s="1"/>
  <c r="AJ12" i="32"/>
  <c r="J15" i="33" s="1"/>
  <c r="AC66" i="32"/>
  <c r="AC67" i="32" s="1"/>
  <c r="AC66" i="31"/>
  <c r="AC67" i="31" s="1"/>
  <c r="AA13" i="30" l="1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A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F12" i="30"/>
  <c r="E12" i="30"/>
  <c r="D12" i="30"/>
  <c r="AA13" i="29"/>
  <c r="Z13" i="29"/>
  <c r="Y13" i="29"/>
  <c r="X13" i="29"/>
  <c r="W13" i="29"/>
  <c r="V13" i="29"/>
  <c r="U13" i="29"/>
  <c r="T13" i="29"/>
  <c r="S13" i="29"/>
  <c r="R13" i="29"/>
  <c r="Q13" i="29"/>
  <c r="P13" i="29"/>
  <c r="Y12" i="29"/>
  <c r="V12" i="29"/>
  <c r="T12" i="29"/>
  <c r="P12" i="29"/>
  <c r="AA60" i="30" l="1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AA43" i="30"/>
  <c r="AA44" i="30" s="1"/>
  <c r="Z43" i="30"/>
  <c r="Z44" i="30" s="1"/>
  <c r="Y43" i="30"/>
  <c r="Y44" i="30" s="1"/>
  <c r="X43" i="30"/>
  <c r="X44" i="30" s="1"/>
  <c r="W43" i="30"/>
  <c r="W44" i="30" s="1"/>
  <c r="V43" i="30"/>
  <c r="V44" i="30" s="1"/>
  <c r="U43" i="30"/>
  <c r="U44" i="30" s="1"/>
  <c r="T43" i="30"/>
  <c r="T44" i="30" s="1"/>
  <c r="S43" i="30"/>
  <c r="S44" i="30" s="1"/>
  <c r="R43" i="30"/>
  <c r="R44" i="30" s="1"/>
  <c r="Q43" i="30"/>
  <c r="Q44" i="30" s="1"/>
  <c r="P43" i="30"/>
  <c r="P44" i="30" s="1"/>
  <c r="P46" i="30" s="1"/>
  <c r="O43" i="30"/>
  <c r="O44" i="30" s="1"/>
  <c r="N43" i="30"/>
  <c r="N44" i="30" s="1"/>
  <c r="M43" i="30"/>
  <c r="M44" i="30" s="1"/>
  <c r="L43" i="30"/>
  <c r="L44" i="30" s="1"/>
  <c r="K43" i="30"/>
  <c r="K44" i="30" s="1"/>
  <c r="J43" i="30"/>
  <c r="J44" i="30" s="1"/>
  <c r="I43" i="30"/>
  <c r="I44" i="30" s="1"/>
  <c r="H43" i="30"/>
  <c r="H44" i="30" s="1"/>
  <c r="G43" i="30"/>
  <c r="G44" i="30" s="1"/>
  <c r="F43" i="30"/>
  <c r="F44" i="30" s="1"/>
  <c r="E43" i="30"/>
  <c r="E44" i="30" s="1"/>
  <c r="D43" i="30"/>
  <c r="D44" i="30" s="1"/>
  <c r="D40" i="30"/>
  <c r="D39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XCN16" i="30"/>
  <c r="XCN15" i="30"/>
  <c r="AF15" i="30"/>
  <c r="AF18" i="30" s="1"/>
  <c r="AF19" i="30" s="1"/>
  <c r="AF20" i="30" s="1"/>
  <c r="AD14" i="30"/>
  <c r="XCN13" i="30"/>
  <c r="AD13" i="30"/>
  <c r="XCN12" i="30"/>
  <c r="XCN11" i="30"/>
  <c r="AA11" i="30"/>
  <c r="AA33" i="30" s="1"/>
  <c r="Z11" i="30"/>
  <c r="Y11" i="30"/>
  <c r="X11" i="30"/>
  <c r="X56" i="30" s="1"/>
  <c r="W11" i="30"/>
  <c r="W33" i="30" s="1"/>
  <c r="V11" i="30"/>
  <c r="U11" i="30"/>
  <c r="T11" i="30"/>
  <c r="T56" i="30" s="1"/>
  <c r="S11" i="30"/>
  <c r="S33" i="30" s="1"/>
  <c r="R11" i="30"/>
  <c r="R56" i="30" s="1"/>
  <c r="Q11" i="30"/>
  <c r="P11" i="30"/>
  <c r="P56" i="30" s="1"/>
  <c r="O11" i="30"/>
  <c r="O33" i="30" s="1"/>
  <c r="N11" i="30"/>
  <c r="N56" i="30" s="1"/>
  <c r="M11" i="30"/>
  <c r="L11" i="30"/>
  <c r="L56" i="30" s="1"/>
  <c r="K11" i="30"/>
  <c r="K56" i="30" s="1"/>
  <c r="J11" i="30"/>
  <c r="J56" i="30" s="1"/>
  <c r="I11" i="30"/>
  <c r="H11" i="30"/>
  <c r="H56" i="30" s="1"/>
  <c r="G11" i="30"/>
  <c r="G33" i="30" s="1"/>
  <c r="F11" i="30"/>
  <c r="F56" i="30" s="1"/>
  <c r="E11" i="30"/>
  <c r="D11" i="30"/>
  <c r="D56" i="30" s="1"/>
  <c r="XCN10" i="30"/>
  <c r="AA10" i="30"/>
  <c r="AA31" i="30" s="1"/>
  <c r="Z10" i="30"/>
  <c r="Z31" i="30" s="1"/>
  <c r="Y10" i="30"/>
  <c r="Y31" i="30" s="1"/>
  <c r="X10" i="30"/>
  <c r="X31" i="30" s="1"/>
  <c r="W10" i="30"/>
  <c r="W31" i="30" s="1"/>
  <c r="V10" i="30"/>
  <c r="V31" i="30" s="1"/>
  <c r="U10" i="30"/>
  <c r="U31" i="30" s="1"/>
  <c r="T10" i="30"/>
  <c r="T31" i="30" s="1"/>
  <c r="S10" i="30"/>
  <c r="S31" i="30" s="1"/>
  <c r="R10" i="30"/>
  <c r="R31" i="30" s="1"/>
  <c r="Q10" i="30"/>
  <c r="Q31" i="30" s="1"/>
  <c r="P10" i="30"/>
  <c r="P31" i="30" s="1"/>
  <c r="O10" i="30"/>
  <c r="O31" i="30" s="1"/>
  <c r="N10" i="30"/>
  <c r="N31" i="30" s="1"/>
  <c r="M10" i="30"/>
  <c r="M31" i="30" s="1"/>
  <c r="L10" i="30"/>
  <c r="L31" i="30" s="1"/>
  <c r="K10" i="30"/>
  <c r="K31" i="30" s="1"/>
  <c r="J10" i="30"/>
  <c r="J31" i="30" s="1"/>
  <c r="I10" i="30"/>
  <c r="I31" i="30" s="1"/>
  <c r="H10" i="30"/>
  <c r="H31" i="30" s="1"/>
  <c r="G10" i="30"/>
  <c r="G31" i="30" s="1"/>
  <c r="F10" i="30"/>
  <c r="F31" i="30" s="1"/>
  <c r="E10" i="30"/>
  <c r="E31" i="30" s="1"/>
  <c r="D10" i="30"/>
  <c r="D31" i="30" s="1"/>
  <c r="XCN9" i="30"/>
  <c r="XCN8" i="30"/>
  <c r="XCN7" i="30"/>
  <c r="XCN6" i="30"/>
  <c r="XCN3" i="30"/>
  <c r="I1" i="30"/>
  <c r="H1" i="30"/>
  <c r="G1" i="30"/>
  <c r="F1" i="30"/>
  <c r="E1" i="30"/>
  <c r="D1" i="30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AA43" i="29"/>
  <c r="AA44" i="29" s="1"/>
  <c r="Z43" i="29"/>
  <c r="Z44" i="29" s="1"/>
  <c r="Y43" i="29"/>
  <c r="Y44" i="29" s="1"/>
  <c r="X43" i="29"/>
  <c r="X44" i="29" s="1"/>
  <c r="W43" i="29"/>
  <c r="W44" i="29" s="1"/>
  <c r="V43" i="29"/>
  <c r="V44" i="29" s="1"/>
  <c r="U43" i="29"/>
  <c r="U44" i="29" s="1"/>
  <c r="T43" i="29"/>
  <c r="T44" i="29" s="1"/>
  <c r="S43" i="29"/>
  <c r="S44" i="29" s="1"/>
  <c r="R43" i="29"/>
  <c r="R44" i="29" s="1"/>
  <c r="Q43" i="29"/>
  <c r="Q44" i="29" s="1"/>
  <c r="P43" i="29"/>
  <c r="P44" i="29" s="1"/>
  <c r="P48" i="29" s="1"/>
  <c r="P50" i="29" s="1"/>
  <c r="O43" i="29"/>
  <c r="O44" i="29" s="1"/>
  <c r="N43" i="29"/>
  <c r="N44" i="29" s="1"/>
  <c r="M43" i="29"/>
  <c r="M44" i="29" s="1"/>
  <c r="L43" i="29"/>
  <c r="L44" i="29" s="1"/>
  <c r="L46" i="29" s="1"/>
  <c r="K43" i="29"/>
  <c r="K44" i="29" s="1"/>
  <c r="J43" i="29"/>
  <c r="J44" i="29" s="1"/>
  <c r="I43" i="29"/>
  <c r="I44" i="29" s="1"/>
  <c r="H43" i="29"/>
  <c r="H44" i="29" s="1"/>
  <c r="G43" i="29"/>
  <c r="G44" i="29" s="1"/>
  <c r="F43" i="29"/>
  <c r="F44" i="29" s="1"/>
  <c r="E43" i="29"/>
  <c r="E44" i="29" s="1"/>
  <c r="D43" i="29"/>
  <c r="D44" i="29" s="1"/>
  <c r="D40" i="29"/>
  <c r="D39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XCN16" i="29"/>
  <c r="XCN15" i="29"/>
  <c r="AF15" i="29"/>
  <c r="AF18" i="29" s="1"/>
  <c r="AF19" i="29" s="1"/>
  <c r="AF20" i="29" s="1"/>
  <c r="AD14" i="29"/>
  <c r="XCN13" i="29"/>
  <c r="AD13" i="29"/>
  <c r="XCN12" i="29"/>
  <c r="XCN11" i="29"/>
  <c r="AA11" i="29"/>
  <c r="AA56" i="29" s="1"/>
  <c r="Z11" i="29"/>
  <c r="Y11" i="29"/>
  <c r="X11" i="29"/>
  <c r="X56" i="29" s="1"/>
  <c r="W11" i="29"/>
  <c r="W56" i="29" s="1"/>
  <c r="V11" i="29"/>
  <c r="U11" i="29"/>
  <c r="T11" i="29"/>
  <c r="T56" i="29" s="1"/>
  <c r="S11" i="29"/>
  <c r="S56" i="29" s="1"/>
  <c r="R11" i="29"/>
  <c r="Q11" i="29"/>
  <c r="P11" i="29"/>
  <c r="P56" i="29" s="1"/>
  <c r="O11" i="29"/>
  <c r="O33" i="29" s="1"/>
  <c r="N11" i="29"/>
  <c r="M11" i="29"/>
  <c r="L11" i="29"/>
  <c r="L56" i="29" s="1"/>
  <c r="K11" i="29"/>
  <c r="K56" i="29" s="1"/>
  <c r="J11" i="29"/>
  <c r="I11" i="29"/>
  <c r="H11" i="29"/>
  <c r="H56" i="29" s="1"/>
  <c r="G11" i="29"/>
  <c r="G56" i="29" s="1"/>
  <c r="F11" i="29"/>
  <c r="E11" i="29"/>
  <c r="D11" i="29"/>
  <c r="D56" i="29" s="1"/>
  <c r="XCN10" i="29"/>
  <c r="AA10" i="29"/>
  <c r="AA31" i="29" s="1"/>
  <c r="Z10" i="29"/>
  <c r="Z31" i="29" s="1"/>
  <c r="Y10" i="29"/>
  <c r="Y31" i="29" s="1"/>
  <c r="X10" i="29"/>
  <c r="X31" i="29" s="1"/>
  <c r="W10" i="29"/>
  <c r="W31" i="29" s="1"/>
  <c r="V10" i="29"/>
  <c r="V31" i="29" s="1"/>
  <c r="U10" i="29"/>
  <c r="U31" i="29" s="1"/>
  <c r="T10" i="29"/>
  <c r="T31" i="29" s="1"/>
  <c r="S10" i="29"/>
  <c r="S31" i="29" s="1"/>
  <c r="R10" i="29"/>
  <c r="R31" i="29" s="1"/>
  <c r="Q10" i="29"/>
  <c r="Q31" i="29" s="1"/>
  <c r="P10" i="29"/>
  <c r="P31" i="29" s="1"/>
  <c r="O10" i="29"/>
  <c r="O31" i="29" s="1"/>
  <c r="N10" i="29"/>
  <c r="N31" i="29" s="1"/>
  <c r="M10" i="29"/>
  <c r="M31" i="29" s="1"/>
  <c r="L10" i="29"/>
  <c r="L31" i="29" s="1"/>
  <c r="K10" i="29"/>
  <c r="K31" i="29" s="1"/>
  <c r="J10" i="29"/>
  <c r="J31" i="29" s="1"/>
  <c r="I10" i="29"/>
  <c r="I31" i="29" s="1"/>
  <c r="H10" i="29"/>
  <c r="H31" i="29" s="1"/>
  <c r="G10" i="29"/>
  <c r="G31" i="29" s="1"/>
  <c r="F10" i="29"/>
  <c r="F31" i="29" s="1"/>
  <c r="E10" i="29"/>
  <c r="E31" i="29" s="1"/>
  <c r="D10" i="29"/>
  <c r="D31" i="29" s="1"/>
  <c r="XCN9" i="29"/>
  <c r="XCN8" i="29"/>
  <c r="XCN7" i="29"/>
  <c r="XCN6" i="29"/>
  <c r="XCN3" i="29"/>
  <c r="I1" i="29"/>
  <c r="H1" i="29"/>
  <c r="G1" i="29"/>
  <c r="F1" i="29"/>
  <c r="E1" i="29"/>
  <c r="D1" i="29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K60" i="28"/>
  <c r="J60" i="28"/>
  <c r="I60" i="28"/>
  <c r="H60" i="28"/>
  <c r="G60" i="28"/>
  <c r="F60" i="28"/>
  <c r="E60" i="28"/>
  <c r="D60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J59" i="28"/>
  <c r="I59" i="28"/>
  <c r="H59" i="28"/>
  <c r="G59" i="28"/>
  <c r="F59" i="28"/>
  <c r="E59" i="28"/>
  <c r="D59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J58" i="28"/>
  <c r="I58" i="28"/>
  <c r="H58" i="28"/>
  <c r="G58" i="28"/>
  <c r="F58" i="28"/>
  <c r="E58" i="28"/>
  <c r="D58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K57" i="28"/>
  <c r="J57" i="28"/>
  <c r="I57" i="28"/>
  <c r="H57" i="28"/>
  <c r="G57" i="28"/>
  <c r="F57" i="28"/>
  <c r="E57" i="28"/>
  <c r="D57" i="28"/>
  <c r="AA43" i="28"/>
  <c r="AA44" i="28" s="1"/>
  <c r="Z43" i="28"/>
  <c r="Z44" i="28" s="1"/>
  <c r="Y43" i="28"/>
  <c r="Y44" i="28" s="1"/>
  <c r="X43" i="28"/>
  <c r="X44" i="28" s="1"/>
  <c r="W43" i="28"/>
  <c r="W44" i="28" s="1"/>
  <c r="V43" i="28"/>
  <c r="V44" i="28" s="1"/>
  <c r="U43" i="28"/>
  <c r="U44" i="28" s="1"/>
  <c r="T43" i="28"/>
  <c r="T44" i="28" s="1"/>
  <c r="S43" i="28"/>
  <c r="S44" i="28" s="1"/>
  <c r="R43" i="28"/>
  <c r="R44" i="28" s="1"/>
  <c r="Q43" i="28"/>
  <c r="Q44" i="28" s="1"/>
  <c r="P43" i="28"/>
  <c r="P44" i="28" s="1"/>
  <c r="P48" i="28" s="1"/>
  <c r="P50" i="28" s="1"/>
  <c r="O43" i="28"/>
  <c r="O44" i="28" s="1"/>
  <c r="N43" i="28"/>
  <c r="N44" i="28" s="1"/>
  <c r="M43" i="28"/>
  <c r="M44" i="28" s="1"/>
  <c r="L43" i="28"/>
  <c r="L44" i="28" s="1"/>
  <c r="K43" i="28"/>
  <c r="K44" i="28" s="1"/>
  <c r="J43" i="28"/>
  <c r="J44" i="28" s="1"/>
  <c r="I43" i="28"/>
  <c r="I44" i="28" s="1"/>
  <c r="H43" i="28"/>
  <c r="H44" i="28" s="1"/>
  <c r="G43" i="28"/>
  <c r="G44" i="28" s="1"/>
  <c r="F43" i="28"/>
  <c r="F44" i="28" s="1"/>
  <c r="E43" i="28"/>
  <c r="E44" i="28" s="1"/>
  <c r="D43" i="28"/>
  <c r="D44" i="28" s="1"/>
  <c r="D40" i="28"/>
  <c r="D39" i="28"/>
  <c r="AA35" i="28"/>
  <c r="Z35" i="28"/>
  <c r="Y35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K35" i="28"/>
  <c r="J35" i="28"/>
  <c r="I35" i="28"/>
  <c r="H35" i="28"/>
  <c r="G35" i="28"/>
  <c r="F35" i="28"/>
  <c r="E35" i="28"/>
  <c r="D35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J34" i="28"/>
  <c r="I34" i="28"/>
  <c r="H34" i="28"/>
  <c r="G34" i="28"/>
  <c r="F34" i="28"/>
  <c r="E34" i="28"/>
  <c r="D34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J32" i="28"/>
  <c r="I32" i="28"/>
  <c r="H32" i="28"/>
  <c r="G32" i="28"/>
  <c r="F32" i="28"/>
  <c r="E32" i="28"/>
  <c r="D32" i="28"/>
  <c r="AA30" i="28"/>
  <c r="Z30" i="28"/>
  <c r="Y30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K30" i="28"/>
  <c r="J30" i="28"/>
  <c r="I30" i="28"/>
  <c r="H30" i="28"/>
  <c r="G30" i="28"/>
  <c r="F30" i="28"/>
  <c r="E30" i="28"/>
  <c r="D30" i="28"/>
  <c r="XCN16" i="28"/>
  <c r="XCN15" i="28"/>
  <c r="AF15" i="28"/>
  <c r="AF18" i="28" s="1"/>
  <c r="AF19" i="28" s="1"/>
  <c r="AF20" i="28" s="1"/>
  <c r="AD14" i="28"/>
  <c r="XCN13" i="28"/>
  <c r="AD13" i="28"/>
  <c r="XCN12" i="28"/>
  <c r="XCN11" i="28"/>
  <c r="AA11" i="28"/>
  <c r="AA33" i="28" s="1"/>
  <c r="Z11" i="28"/>
  <c r="Z56" i="28" s="1"/>
  <c r="Y11" i="28"/>
  <c r="X11" i="28"/>
  <c r="X56" i="28" s="1"/>
  <c r="W11" i="28"/>
  <c r="W33" i="28" s="1"/>
  <c r="V11" i="28"/>
  <c r="V56" i="28" s="1"/>
  <c r="U11" i="28"/>
  <c r="T11" i="28"/>
  <c r="T56" i="28" s="1"/>
  <c r="S11" i="28"/>
  <c r="S33" i="28" s="1"/>
  <c r="R11" i="28"/>
  <c r="R56" i="28" s="1"/>
  <c r="Q11" i="28"/>
  <c r="P11" i="28"/>
  <c r="P56" i="28" s="1"/>
  <c r="O11" i="28"/>
  <c r="O33" i="28" s="1"/>
  <c r="N11" i="28"/>
  <c r="N56" i="28" s="1"/>
  <c r="M11" i="28"/>
  <c r="L11" i="28"/>
  <c r="L56" i="28" s="1"/>
  <c r="K11" i="28"/>
  <c r="K33" i="28" s="1"/>
  <c r="J11" i="28"/>
  <c r="J56" i="28" s="1"/>
  <c r="I11" i="28"/>
  <c r="H11" i="28"/>
  <c r="H56" i="28" s="1"/>
  <c r="G11" i="28"/>
  <c r="G33" i="28" s="1"/>
  <c r="F11" i="28"/>
  <c r="F56" i="28" s="1"/>
  <c r="E11" i="28"/>
  <c r="E56" i="28" s="1"/>
  <c r="D11" i="28"/>
  <c r="D56" i="28" s="1"/>
  <c r="XCN10" i="28"/>
  <c r="AA10" i="28"/>
  <c r="AA31" i="28" s="1"/>
  <c r="Z10" i="28"/>
  <c r="Z31" i="28" s="1"/>
  <c r="Y10" i="28"/>
  <c r="Y31" i="28" s="1"/>
  <c r="X10" i="28"/>
  <c r="X31" i="28" s="1"/>
  <c r="W10" i="28"/>
  <c r="W31" i="28" s="1"/>
  <c r="V10" i="28"/>
  <c r="V31" i="28" s="1"/>
  <c r="U10" i="28"/>
  <c r="U31" i="28" s="1"/>
  <c r="T10" i="28"/>
  <c r="T31" i="28" s="1"/>
  <c r="S10" i="28"/>
  <c r="S31" i="28" s="1"/>
  <c r="R10" i="28"/>
  <c r="R31" i="28" s="1"/>
  <c r="Q10" i="28"/>
  <c r="Q31" i="28" s="1"/>
  <c r="P10" i="28"/>
  <c r="P31" i="28" s="1"/>
  <c r="O10" i="28"/>
  <c r="O31" i="28" s="1"/>
  <c r="N10" i="28"/>
  <c r="N31" i="28" s="1"/>
  <c r="M10" i="28"/>
  <c r="M31" i="28" s="1"/>
  <c r="L10" i="28"/>
  <c r="L31" i="28" s="1"/>
  <c r="K10" i="28"/>
  <c r="K31" i="28" s="1"/>
  <c r="J10" i="28"/>
  <c r="J31" i="28" s="1"/>
  <c r="I10" i="28"/>
  <c r="I31" i="28" s="1"/>
  <c r="H10" i="28"/>
  <c r="H31" i="28" s="1"/>
  <c r="G10" i="28"/>
  <c r="G31" i="28" s="1"/>
  <c r="F10" i="28"/>
  <c r="F31" i="28" s="1"/>
  <c r="E10" i="28"/>
  <c r="E31" i="28" s="1"/>
  <c r="D10" i="28"/>
  <c r="D31" i="28" s="1"/>
  <c r="XCN9" i="28"/>
  <c r="XCN8" i="28"/>
  <c r="XCN7" i="28"/>
  <c r="XCN6" i="28"/>
  <c r="XCN3" i="28"/>
  <c r="I1" i="28"/>
  <c r="H1" i="28"/>
  <c r="G1" i="28"/>
  <c r="F1" i="28"/>
  <c r="E1" i="28"/>
  <c r="D1" i="28"/>
  <c r="D10" i="24"/>
  <c r="E10" i="24"/>
  <c r="F10" i="24"/>
  <c r="F31" i="24" s="1"/>
  <c r="G10" i="24"/>
  <c r="G31" i="24" s="1"/>
  <c r="H10" i="24"/>
  <c r="H31" i="24" s="1"/>
  <c r="I10" i="24"/>
  <c r="I31" i="24" s="1"/>
  <c r="J10" i="24"/>
  <c r="J31" i="24" s="1"/>
  <c r="K10" i="24"/>
  <c r="K31" i="24" s="1"/>
  <c r="L10" i="24"/>
  <c r="M10" i="24"/>
  <c r="N10" i="24"/>
  <c r="O10" i="24"/>
  <c r="O31" i="24" s="1"/>
  <c r="D11" i="24"/>
  <c r="D56" i="24" s="1"/>
  <c r="E11" i="24"/>
  <c r="E56" i="24" s="1"/>
  <c r="F11" i="24"/>
  <c r="F33" i="24" s="1"/>
  <c r="G11" i="24"/>
  <c r="G56" i="24" s="1"/>
  <c r="H11" i="24"/>
  <c r="I11" i="24"/>
  <c r="J11" i="24"/>
  <c r="J33" i="24" s="1"/>
  <c r="K11" i="24"/>
  <c r="K56" i="24" s="1"/>
  <c r="L11" i="24"/>
  <c r="L33" i="24" s="1"/>
  <c r="M11" i="24"/>
  <c r="M56" i="24" s="1"/>
  <c r="N11" i="24"/>
  <c r="N56" i="24" s="1"/>
  <c r="O11" i="24"/>
  <c r="O56" i="24" s="1"/>
  <c r="H56" i="24"/>
  <c r="I56" i="24"/>
  <c r="D57" i="24"/>
  <c r="E57" i="24"/>
  <c r="F57" i="24"/>
  <c r="G57" i="24"/>
  <c r="H57" i="24"/>
  <c r="I57" i="24"/>
  <c r="J57" i="24"/>
  <c r="K57" i="24"/>
  <c r="L57" i="24"/>
  <c r="M57" i="24"/>
  <c r="N57" i="24"/>
  <c r="O57" i="24"/>
  <c r="D58" i="24"/>
  <c r="E58" i="24"/>
  <c r="F58" i="24"/>
  <c r="G58" i="24"/>
  <c r="H58" i="24"/>
  <c r="I58" i="24"/>
  <c r="J58" i="24"/>
  <c r="K58" i="24"/>
  <c r="L58" i="24"/>
  <c r="M58" i="24"/>
  <c r="N58" i="24"/>
  <c r="O58" i="24"/>
  <c r="D59" i="24"/>
  <c r="E59" i="24"/>
  <c r="F59" i="24"/>
  <c r="G59" i="24"/>
  <c r="H59" i="24"/>
  <c r="I59" i="24"/>
  <c r="J59" i="24"/>
  <c r="K59" i="24"/>
  <c r="L59" i="24"/>
  <c r="M59" i="24"/>
  <c r="N59" i="24"/>
  <c r="O59" i="24"/>
  <c r="D60" i="24"/>
  <c r="E60" i="24"/>
  <c r="F60" i="24"/>
  <c r="G60" i="24"/>
  <c r="H60" i="24"/>
  <c r="I60" i="24"/>
  <c r="J60" i="24"/>
  <c r="K60" i="24"/>
  <c r="L60" i="24"/>
  <c r="M60" i="24"/>
  <c r="N60" i="24"/>
  <c r="O60" i="24"/>
  <c r="D48" i="24"/>
  <c r="D50" i="24" s="1"/>
  <c r="D43" i="24"/>
  <c r="D44" i="24" s="1"/>
  <c r="E43" i="24"/>
  <c r="E44" i="24" s="1"/>
  <c r="E48" i="24" s="1"/>
  <c r="E50" i="24" s="1"/>
  <c r="F43" i="24"/>
  <c r="F44" i="24" s="1"/>
  <c r="F48" i="24" s="1"/>
  <c r="F50" i="24" s="1"/>
  <c r="G43" i="24"/>
  <c r="H43" i="24"/>
  <c r="H44" i="24" s="1"/>
  <c r="H48" i="24" s="1"/>
  <c r="H50" i="24" s="1"/>
  <c r="I43" i="24"/>
  <c r="I44" i="24" s="1"/>
  <c r="I46" i="24" s="1"/>
  <c r="J43" i="24"/>
  <c r="J44" i="24" s="1"/>
  <c r="J48" i="24" s="1"/>
  <c r="J50" i="24" s="1"/>
  <c r="K43" i="24"/>
  <c r="K44" i="24" s="1"/>
  <c r="L43" i="24"/>
  <c r="L44" i="24" s="1"/>
  <c r="L48" i="24" s="1"/>
  <c r="L50" i="24" s="1"/>
  <c r="M43" i="24"/>
  <c r="M44" i="24" s="1"/>
  <c r="M48" i="24" s="1"/>
  <c r="M50" i="24" s="1"/>
  <c r="N43" i="24"/>
  <c r="N44" i="24" s="1"/>
  <c r="N48" i="24" s="1"/>
  <c r="N50" i="24" s="1"/>
  <c r="O43" i="24"/>
  <c r="O44" i="24" s="1"/>
  <c r="O45" i="24" s="1"/>
  <c r="G44" i="24"/>
  <c r="G45" i="24" s="1"/>
  <c r="AA60" i="24"/>
  <c r="Z60" i="24"/>
  <c r="Y60" i="24"/>
  <c r="X60" i="24"/>
  <c r="W60" i="24"/>
  <c r="V60" i="24"/>
  <c r="U60" i="24"/>
  <c r="T60" i="24"/>
  <c r="S60" i="24"/>
  <c r="R60" i="24"/>
  <c r="Q60" i="24"/>
  <c r="P60" i="24"/>
  <c r="AA59" i="24"/>
  <c r="Z59" i="24"/>
  <c r="Y59" i="24"/>
  <c r="X59" i="24"/>
  <c r="W59" i="24"/>
  <c r="V59" i="24"/>
  <c r="U59" i="24"/>
  <c r="T59" i="24"/>
  <c r="S59" i="24"/>
  <c r="R59" i="24"/>
  <c r="Q59" i="24"/>
  <c r="P59" i="24"/>
  <c r="AA58" i="24"/>
  <c r="Z58" i="24"/>
  <c r="Y58" i="24"/>
  <c r="X58" i="24"/>
  <c r="W58" i="24"/>
  <c r="V58" i="24"/>
  <c r="U58" i="24"/>
  <c r="T58" i="24"/>
  <c r="S58" i="24"/>
  <c r="R58" i="24"/>
  <c r="Q58" i="24"/>
  <c r="P58" i="24"/>
  <c r="AA57" i="24"/>
  <c r="Z57" i="24"/>
  <c r="Y57" i="24"/>
  <c r="X57" i="24"/>
  <c r="W57" i="24"/>
  <c r="V57" i="24"/>
  <c r="U57" i="24"/>
  <c r="T57" i="24"/>
  <c r="S57" i="24"/>
  <c r="R57" i="24"/>
  <c r="Q57" i="24"/>
  <c r="P57" i="24"/>
  <c r="AA43" i="24"/>
  <c r="AA44" i="24" s="1"/>
  <c r="Z43" i="24"/>
  <c r="Z44" i="24" s="1"/>
  <c r="Y43" i="24"/>
  <c r="Y44" i="24" s="1"/>
  <c r="X43" i="24"/>
  <c r="X44" i="24" s="1"/>
  <c r="W43" i="24"/>
  <c r="W44" i="24" s="1"/>
  <c r="V43" i="24"/>
  <c r="V44" i="24" s="1"/>
  <c r="U43" i="24"/>
  <c r="U44" i="24" s="1"/>
  <c r="T43" i="24"/>
  <c r="T44" i="24" s="1"/>
  <c r="S43" i="24"/>
  <c r="S44" i="24" s="1"/>
  <c r="R43" i="24"/>
  <c r="R44" i="24" s="1"/>
  <c r="Q43" i="24"/>
  <c r="Q44" i="24" s="1"/>
  <c r="P43" i="24"/>
  <c r="P44" i="24" s="1"/>
  <c r="D40" i="24"/>
  <c r="D39" i="24"/>
  <c r="AA35" i="24"/>
  <c r="Z35" i="24"/>
  <c r="Y35" i="24"/>
  <c r="X35" i="24"/>
  <c r="W35" i="24"/>
  <c r="V35" i="24"/>
  <c r="U35" i="24"/>
  <c r="T35" i="24"/>
  <c r="S35" i="24"/>
  <c r="R35" i="24"/>
  <c r="Q35" i="24"/>
  <c r="P35" i="24"/>
  <c r="O35" i="24"/>
  <c r="N35" i="24"/>
  <c r="M35" i="24"/>
  <c r="L35" i="24"/>
  <c r="K35" i="24"/>
  <c r="J35" i="24"/>
  <c r="I35" i="24"/>
  <c r="H35" i="24"/>
  <c r="G35" i="24"/>
  <c r="F35" i="24"/>
  <c r="E35" i="24"/>
  <c r="D35" i="24"/>
  <c r="AA34" i="24"/>
  <c r="Z34" i="24"/>
  <c r="Y34" i="24"/>
  <c r="X34" i="24"/>
  <c r="W34" i="24"/>
  <c r="V34" i="24"/>
  <c r="U34" i="24"/>
  <c r="T34" i="24"/>
  <c r="S34" i="24"/>
  <c r="R34" i="24"/>
  <c r="Q34" i="24"/>
  <c r="P34" i="24"/>
  <c r="O34" i="24"/>
  <c r="N34" i="24"/>
  <c r="M34" i="24"/>
  <c r="L34" i="24"/>
  <c r="K34" i="24"/>
  <c r="J34" i="24"/>
  <c r="I34" i="24"/>
  <c r="H34" i="24"/>
  <c r="G34" i="24"/>
  <c r="F34" i="24"/>
  <c r="E34" i="24"/>
  <c r="D34" i="24"/>
  <c r="O33" i="24"/>
  <c r="I33" i="24"/>
  <c r="H33" i="24"/>
  <c r="G33" i="24"/>
  <c r="AA32" i="24"/>
  <c r="Z32" i="24"/>
  <c r="Y32" i="24"/>
  <c r="X32" i="24"/>
  <c r="W32" i="24"/>
  <c r="V32" i="24"/>
  <c r="U32" i="24"/>
  <c r="T32" i="24"/>
  <c r="S32" i="24"/>
  <c r="R32" i="24"/>
  <c r="Q32" i="24"/>
  <c r="P32" i="24"/>
  <c r="O32" i="24"/>
  <c r="N32" i="24"/>
  <c r="M32" i="24"/>
  <c r="L32" i="24"/>
  <c r="K32" i="24"/>
  <c r="J32" i="24"/>
  <c r="I32" i="24"/>
  <c r="H32" i="24"/>
  <c r="G32" i="24"/>
  <c r="F32" i="24"/>
  <c r="E32" i="24"/>
  <c r="D32" i="24"/>
  <c r="N31" i="24"/>
  <c r="M31" i="24"/>
  <c r="L31" i="24"/>
  <c r="E31" i="24"/>
  <c r="D31" i="24"/>
  <c r="AA30" i="24"/>
  <c r="Z30" i="24"/>
  <c r="Y30" i="24"/>
  <c r="X30" i="24"/>
  <c r="W30" i="24"/>
  <c r="V30" i="24"/>
  <c r="U30" i="24"/>
  <c r="T30" i="24"/>
  <c r="S30" i="24"/>
  <c r="R30" i="24"/>
  <c r="Q30" i="24"/>
  <c r="P30" i="24"/>
  <c r="O30" i="24"/>
  <c r="N30" i="24"/>
  <c r="M30" i="24"/>
  <c r="L30" i="24"/>
  <c r="K30" i="24"/>
  <c r="J30" i="24"/>
  <c r="I30" i="24"/>
  <c r="H30" i="24"/>
  <c r="G30" i="24"/>
  <c r="F30" i="24"/>
  <c r="E30" i="24"/>
  <c r="D30" i="24"/>
  <c r="XCN16" i="24"/>
  <c r="XCN15" i="24"/>
  <c r="AF15" i="24"/>
  <c r="AF18" i="24" s="1"/>
  <c r="AF19" i="24" s="1"/>
  <c r="AF20" i="24" s="1"/>
  <c r="AD14" i="24"/>
  <c r="XCN13" i="24"/>
  <c r="AD13" i="24"/>
  <c r="XCN12" i="24"/>
  <c r="XCN11" i="24"/>
  <c r="AA11" i="24"/>
  <c r="AA33" i="24" s="1"/>
  <c r="Z11" i="24"/>
  <c r="Z33" i="24" s="1"/>
  <c r="Y11" i="24"/>
  <c r="Y33" i="24" s="1"/>
  <c r="X11" i="24"/>
  <c r="X33" i="24" s="1"/>
  <c r="W11" i="24"/>
  <c r="W56" i="24" s="1"/>
  <c r="V11" i="24"/>
  <c r="V56" i="24" s="1"/>
  <c r="U11" i="24"/>
  <c r="U56" i="24" s="1"/>
  <c r="T11" i="24"/>
  <c r="T56" i="24" s="1"/>
  <c r="S11" i="24"/>
  <c r="S33" i="24" s="1"/>
  <c r="R11" i="24"/>
  <c r="R33" i="24" s="1"/>
  <c r="Q11" i="24"/>
  <c r="Q33" i="24" s="1"/>
  <c r="P11" i="24"/>
  <c r="P33" i="24" s="1"/>
  <c r="XCN10" i="24"/>
  <c r="AA10" i="24"/>
  <c r="AA31" i="24" s="1"/>
  <c r="Z10" i="24"/>
  <c r="Z31" i="24" s="1"/>
  <c r="Y10" i="24"/>
  <c r="Y31" i="24" s="1"/>
  <c r="X10" i="24"/>
  <c r="X31" i="24" s="1"/>
  <c r="W10" i="24"/>
  <c r="W31" i="24" s="1"/>
  <c r="V10" i="24"/>
  <c r="V31" i="24" s="1"/>
  <c r="U10" i="24"/>
  <c r="U31" i="24" s="1"/>
  <c r="T10" i="24"/>
  <c r="T31" i="24" s="1"/>
  <c r="S10" i="24"/>
  <c r="S31" i="24" s="1"/>
  <c r="R10" i="24"/>
  <c r="R31" i="24" s="1"/>
  <c r="Q10" i="24"/>
  <c r="Q31" i="24" s="1"/>
  <c r="P10" i="24"/>
  <c r="P31" i="24" s="1"/>
  <c r="XCN9" i="24"/>
  <c r="XCN8" i="24"/>
  <c r="XCN7" i="24"/>
  <c r="XCN6" i="24"/>
  <c r="XCN3" i="24"/>
  <c r="I1" i="24"/>
  <c r="H1" i="24"/>
  <c r="G1" i="24"/>
  <c r="F1" i="24"/>
  <c r="E1" i="24"/>
  <c r="D1" i="24"/>
  <c r="D30" i="23"/>
  <c r="M23" i="23"/>
  <c r="D16" i="23"/>
  <c r="AI13" i="23"/>
  <c r="AI12" i="23"/>
  <c r="AI11" i="23"/>
  <c r="M16" i="23"/>
  <c r="AI10" i="23"/>
  <c r="M10" i="23"/>
  <c r="AI9" i="23"/>
  <c r="M9" i="23"/>
  <c r="AI8" i="23"/>
  <c r="M8" i="23"/>
  <c r="AI7" i="23"/>
  <c r="M7" i="23"/>
  <c r="E7" i="23"/>
  <c r="M15" i="23" s="1"/>
  <c r="AI6" i="23"/>
  <c r="M6" i="23"/>
  <c r="AI5" i="23"/>
  <c r="AI4" i="23"/>
  <c r="AI2" i="23"/>
  <c r="Q1" i="23"/>
  <c r="O1" i="23"/>
  <c r="Q35" i="23" s="1"/>
  <c r="A1" i="23"/>
  <c r="A3" i="23" s="1"/>
  <c r="J56" i="24" l="1"/>
  <c r="K33" i="24"/>
  <c r="H62" i="24"/>
  <c r="H64" i="24" s="1"/>
  <c r="D62" i="24"/>
  <c r="D64" i="24" s="1"/>
  <c r="Q9" i="23"/>
  <c r="Y9" i="23" s="1"/>
  <c r="P9" i="23" s="1"/>
  <c r="J36" i="24"/>
  <c r="L56" i="24"/>
  <c r="L62" i="24" s="1"/>
  <c r="L64" i="24" s="1"/>
  <c r="F7" i="23"/>
  <c r="F16" i="23" s="1"/>
  <c r="Q3" i="23"/>
  <c r="Y3" i="23" s="1"/>
  <c r="P3" i="23" s="1"/>
  <c r="Q11" i="23"/>
  <c r="Y11" i="23" s="1"/>
  <c r="P11" i="23" s="1"/>
  <c r="D33" i="24"/>
  <c r="D36" i="24" s="1"/>
  <c r="D52" i="24" s="1"/>
  <c r="H46" i="24"/>
  <c r="E33" i="24"/>
  <c r="M33" i="24"/>
  <c r="H45" i="24"/>
  <c r="F56" i="24"/>
  <c r="F62" i="24" s="1"/>
  <c r="F64" i="24" s="1"/>
  <c r="H33" i="30"/>
  <c r="H36" i="30" s="1"/>
  <c r="N33" i="24"/>
  <c r="O56" i="30"/>
  <c r="O62" i="30" s="1"/>
  <c r="Z188" i="30"/>
  <c r="Z202" i="30" s="1"/>
  <c r="Z203" i="30" s="1"/>
  <c r="R120" i="30"/>
  <c r="R134" i="30" s="1"/>
  <c r="R135" i="30" s="1"/>
  <c r="AA120" i="30"/>
  <c r="AA134" i="30" s="1"/>
  <c r="AA135" i="30" s="1"/>
  <c r="Q188" i="30"/>
  <c r="Q202" i="30" s="1"/>
  <c r="Q203" i="30" s="1"/>
  <c r="Y188" i="30"/>
  <c r="Y202" i="30" s="1"/>
  <c r="Y203" i="30" s="1"/>
  <c r="S120" i="30"/>
  <c r="S134" i="30" s="1"/>
  <c r="S135" i="30" s="1"/>
  <c r="X120" i="30"/>
  <c r="X134" i="30" s="1"/>
  <c r="X135" i="30" s="1"/>
  <c r="P120" i="30"/>
  <c r="R188" i="30"/>
  <c r="R202" i="30" s="1"/>
  <c r="R203" i="30" s="1"/>
  <c r="U188" i="30"/>
  <c r="U202" i="30" s="1"/>
  <c r="U203" i="30" s="1"/>
  <c r="X188" i="30"/>
  <c r="X202" i="30" s="1"/>
  <c r="X203" i="30" s="1"/>
  <c r="T188" i="30"/>
  <c r="T202" i="30" s="1"/>
  <c r="T203" i="30" s="1"/>
  <c r="V120" i="30"/>
  <c r="V134" i="30" s="1"/>
  <c r="V135" i="30" s="1"/>
  <c r="T120" i="30"/>
  <c r="T134" i="30" s="1"/>
  <c r="T135" i="30" s="1"/>
  <c r="W120" i="30"/>
  <c r="W134" i="30" s="1"/>
  <c r="W135" i="30" s="1"/>
  <c r="S188" i="30"/>
  <c r="S202" i="30" s="1"/>
  <c r="S203" i="30" s="1"/>
  <c r="V188" i="30"/>
  <c r="V202" i="30" s="1"/>
  <c r="V203" i="30" s="1"/>
  <c r="U120" i="30"/>
  <c r="U134" i="30" s="1"/>
  <c r="U135" i="30" s="1"/>
  <c r="P188" i="30"/>
  <c r="Z120" i="30"/>
  <c r="Z134" i="30" s="1"/>
  <c r="Z135" i="30" s="1"/>
  <c r="W188" i="30"/>
  <c r="W202" i="30" s="1"/>
  <c r="W203" i="30" s="1"/>
  <c r="Y120" i="30"/>
  <c r="Y134" i="30" s="1"/>
  <c r="Y135" i="30" s="1"/>
  <c r="Q120" i="30"/>
  <c r="Q134" i="30" s="1"/>
  <c r="Q135" i="30" s="1"/>
  <c r="AA188" i="30"/>
  <c r="AA202" i="30" s="1"/>
  <c r="AA203" i="30" s="1"/>
  <c r="W120" i="29"/>
  <c r="W134" i="29" s="1"/>
  <c r="W135" i="29" s="1"/>
  <c r="Q188" i="29"/>
  <c r="Q202" i="29" s="1"/>
  <c r="Q203" i="29" s="1"/>
  <c r="P188" i="29"/>
  <c r="Z120" i="29"/>
  <c r="Z134" i="29" s="1"/>
  <c r="Z135" i="29" s="1"/>
  <c r="R120" i="29"/>
  <c r="R134" i="29" s="1"/>
  <c r="R135" i="29" s="1"/>
  <c r="X188" i="29"/>
  <c r="X202" i="29" s="1"/>
  <c r="X203" i="29" s="1"/>
  <c r="S120" i="29"/>
  <c r="S134" i="29" s="1"/>
  <c r="S135" i="29" s="1"/>
  <c r="V120" i="29"/>
  <c r="V134" i="29" s="1"/>
  <c r="V135" i="29" s="1"/>
  <c r="AA120" i="29"/>
  <c r="AA134" i="29" s="1"/>
  <c r="AA135" i="29" s="1"/>
  <c r="S188" i="29"/>
  <c r="S202" i="29" s="1"/>
  <c r="S203" i="29" s="1"/>
  <c r="Y120" i="29"/>
  <c r="Y134" i="29" s="1"/>
  <c r="Y135" i="29" s="1"/>
  <c r="W188" i="29"/>
  <c r="W202" i="29" s="1"/>
  <c r="W203" i="29" s="1"/>
  <c r="Y188" i="29"/>
  <c r="Y202" i="29" s="1"/>
  <c r="Y203" i="29" s="1"/>
  <c r="R188" i="29"/>
  <c r="R202" i="29" s="1"/>
  <c r="R203" i="29" s="1"/>
  <c r="U120" i="29"/>
  <c r="U134" i="29" s="1"/>
  <c r="U135" i="29" s="1"/>
  <c r="U188" i="29"/>
  <c r="U202" i="29" s="1"/>
  <c r="U203" i="29" s="1"/>
  <c r="Q120" i="29"/>
  <c r="Q134" i="29" s="1"/>
  <c r="Q135" i="29" s="1"/>
  <c r="P120" i="29"/>
  <c r="T120" i="29"/>
  <c r="T134" i="29" s="1"/>
  <c r="T135" i="29" s="1"/>
  <c r="AA188" i="29"/>
  <c r="AA202" i="29" s="1"/>
  <c r="AA203" i="29" s="1"/>
  <c r="V188" i="29"/>
  <c r="V202" i="29" s="1"/>
  <c r="V203" i="29" s="1"/>
  <c r="T188" i="29"/>
  <c r="T202" i="29" s="1"/>
  <c r="T203" i="29" s="1"/>
  <c r="X120" i="29"/>
  <c r="X134" i="29" s="1"/>
  <c r="X135" i="29" s="1"/>
  <c r="Z188" i="29"/>
  <c r="Z202" i="29" s="1"/>
  <c r="Z203" i="29" s="1"/>
  <c r="Y120" i="28"/>
  <c r="Y134" i="28" s="1"/>
  <c r="Y135" i="28" s="1"/>
  <c r="P120" i="28"/>
  <c r="U188" i="28"/>
  <c r="U202" i="28" s="1"/>
  <c r="U203" i="28" s="1"/>
  <c r="T120" i="28"/>
  <c r="T134" i="28" s="1"/>
  <c r="T135" i="28" s="1"/>
  <c r="P188" i="28"/>
  <c r="X120" i="28"/>
  <c r="X134" i="28" s="1"/>
  <c r="X135" i="28" s="1"/>
  <c r="W120" i="28"/>
  <c r="W134" i="28" s="1"/>
  <c r="W135" i="28" s="1"/>
  <c r="Q188" i="28"/>
  <c r="Q202" i="28" s="1"/>
  <c r="Q203" i="28" s="1"/>
  <c r="R120" i="28"/>
  <c r="R134" i="28" s="1"/>
  <c r="R135" i="28" s="1"/>
  <c r="AA120" i="28"/>
  <c r="T188" i="28"/>
  <c r="T202" i="28" s="1"/>
  <c r="T203" i="28" s="1"/>
  <c r="V120" i="28"/>
  <c r="V134" i="28" s="1"/>
  <c r="V135" i="28" s="1"/>
  <c r="S188" i="28"/>
  <c r="S202" i="28" s="1"/>
  <c r="S203" i="28" s="1"/>
  <c r="Z120" i="28"/>
  <c r="Z134" i="28" s="1"/>
  <c r="Z135" i="28" s="1"/>
  <c r="V188" i="28"/>
  <c r="V202" i="28" s="1"/>
  <c r="V203" i="28" s="1"/>
  <c r="AA188" i="28"/>
  <c r="W188" i="28"/>
  <c r="W202" i="28" s="1"/>
  <c r="W203" i="28" s="1"/>
  <c r="X188" i="28"/>
  <c r="X202" i="28" s="1"/>
  <c r="X203" i="28" s="1"/>
  <c r="R188" i="28"/>
  <c r="R202" i="28" s="1"/>
  <c r="R203" i="28" s="1"/>
  <c r="U120" i="28"/>
  <c r="U134" i="28" s="1"/>
  <c r="U135" i="28" s="1"/>
  <c r="Z188" i="28"/>
  <c r="Z202" i="28" s="1"/>
  <c r="Z203" i="28" s="1"/>
  <c r="Y188" i="28"/>
  <c r="Y202" i="28" s="1"/>
  <c r="Y203" i="28" s="1"/>
  <c r="Q120" i="28"/>
  <c r="Q134" i="28" s="1"/>
  <c r="Q135" i="28" s="1"/>
  <c r="S120" i="28"/>
  <c r="S134" i="28" s="1"/>
  <c r="S135" i="28" s="1"/>
  <c r="S120" i="24"/>
  <c r="S134" i="24" s="1"/>
  <c r="S135" i="24" s="1"/>
  <c r="T188" i="24"/>
  <c r="T202" i="24" s="1"/>
  <c r="T203" i="24" s="1"/>
  <c r="X188" i="24"/>
  <c r="X202" i="24" s="1"/>
  <c r="X203" i="24" s="1"/>
  <c r="Y188" i="24"/>
  <c r="Y202" i="24" s="1"/>
  <c r="Y203" i="24" s="1"/>
  <c r="P188" i="24"/>
  <c r="U188" i="24"/>
  <c r="U202" i="24" s="1"/>
  <c r="U203" i="24" s="1"/>
  <c r="Q120" i="24"/>
  <c r="Q134" i="24" s="1"/>
  <c r="Q135" i="24" s="1"/>
  <c r="Z120" i="24"/>
  <c r="Z134" i="24" s="1"/>
  <c r="Z135" i="24" s="1"/>
  <c r="AA120" i="24"/>
  <c r="AA134" i="24" s="1"/>
  <c r="AA135" i="24" s="1"/>
  <c r="R120" i="24"/>
  <c r="R134" i="24" s="1"/>
  <c r="R135" i="24" s="1"/>
  <c r="X120" i="24"/>
  <c r="X134" i="24" s="1"/>
  <c r="X135" i="24" s="1"/>
  <c r="W120" i="24"/>
  <c r="W134" i="24" s="1"/>
  <c r="W135" i="24" s="1"/>
  <c r="AA188" i="24"/>
  <c r="AA202" i="24" s="1"/>
  <c r="AA203" i="24" s="1"/>
  <c r="T120" i="24"/>
  <c r="T134" i="24" s="1"/>
  <c r="T135" i="24" s="1"/>
  <c r="V120" i="24"/>
  <c r="V134" i="24" s="1"/>
  <c r="V135" i="24" s="1"/>
  <c r="Z188" i="24"/>
  <c r="Z202" i="24" s="1"/>
  <c r="Z203" i="24" s="1"/>
  <c r="P120" i="24"/>
  <c r="Q188" i="24"/>
  <c r="Q202" i="24" s="1"/>
  <c r="Q203" i="24" s="1"/>
  <c r="S188" i="24"/>
  <c r="S202" i="24" s="1"/>
  <c r="S203" i="24" s="1"/>
  <c r="V188" i="24"/>
  <c r="V202" i="24" s="1"/>
  <c r="V203" i="24" s="1"/>
  <c r="Y120" i="24"/>
  <c r="Y134" i="24" s="1"/>
  <c r="Y135" i="24" s="1"/>
  <c r="R188" i="24"/>
  <c r="R202" i="24" s="1"/>
  <c r="R203" i="24" s="1"/>
  <c r="U120" i="24"/>
  <c r="U134" i="24" s="1"/>
  <c r="U135" i="24" s="1"/>
  <c r="W188" i="24"/>
  <c r="W202" i="24" s="1"/>
  <c r="W203" i="24" s="1"/>
  <c r="L36" i="24"/>
  <c r="E33" i="28"/>
  <c r="R33" i="28"/>
  <c r="R36" i="28" s="1"/>
  <c r="J33" i="28"/>
  <c r="J36" i="28" s="1"/>
  <c r="D33" i="28"/>
  <c r="D36" i="28" s="1"/>
  <c r="Z33" i="28"/>
  <c r="Z36" i="28" s="1"/>
  <c r="O56" i="29"/>
  <c r="O62" i="29" s="1"/>
  <c r="K33" i="29"/>
  <c r="K36" i="29" s="1"/>
  <c r="P33" i="30"/>
  <c r="P36" i="30" s="1"/>
  <c r="X33" i="30"/>
  <c r="X36" i="30" s="1"/>
  <c r="D33" i="30"/>
  <c r="D36" i="30" s="1"/>
  <c r="S33" i="29"/>
  <c r="S36" i="29" s="1"/>
  <c r="AA33" i="29"/>
  <c r="AA36" i="29" s="1"/>
  <c r="K62" i="30"/>
  <c r="K64" i="30" s="1"/>
  <c r="D48" i="30"/>
  <c r="D50" i="30" s="1"/>
  <c r="D45" i="30"/>
  <c r="D46" i="30"/>
  <c r="H46" i="30"/>
  <c r="H48" i="30"/>
  <c r="H50" i="30" s="1"/>
  <c r="H45" i="30"/>
  <c r="L46" i="30"/>
  <c r="L48" i="30"/>
  <c r="L50" i="30" s="1"/>
  <c r="L45" i="30"/>
  <c r="T48" i="30"/>
  <c r="T50" i="30" s="1"/>
  <c r="T45" i="30"/>
  <c r="T46" i="30"/>
  <c r="X48" i="30"/>
  <c r="X50" i="30" s="1"/>
  <c r="X46" i="30"/>
  <c r="X45" i="30"/>
  <c r="J62" i="30"/>
  <c r="J64" i="30" s="1"/>
  <c r="O36" i="30"/>
  <c r="AA36" i="30"/>
  <c r="J33" i="30"/>
  <c r="J36" i="30" s="1"/>
  <c r="S56" i="30"/>
  <c r="F62" i="30"/>
  <c r="F64" i="30" s="1"/>
  <c r="R62" i="30"/>
  <c r="R64" i="30" s="1"/>
  <c r="V56" i="30"/>
  <c r="V33" i="30"/>
  <c r="G36" i="30"/>
  <c r="S36" i="30"/>
  <c r="N33" i="30"/>
  <c r="K48" i="30"/>
  <c r="K50" i="30" s="1"/>
  <c r="K46" i="30"/>
  <c r="K45" i="30"/>
  <c r="S48" i="30"/>
  <c r="S50" i="30" s="1"/>
  <c r="S46" i="30"/>
  <c r="S45" i="30"/>
  <c r="W48" i="30"/>
  <c r="W50" i="30" s="1"/>
  <c r="W46" i="30"/>
  <c r="W45" i="30"/>
  <c r="AA48" i="30"/>
  <c r="AA50" i="30" s="1"/>
  <c r="AA46" i="30"/>
  <c r="AA45" i="30"/>
  <c r="O64" i="30"/>
  <c r="D62" i="30"/>
  <c r="D64" i="30" s="1"/>
  <c r="H62" i="30"/>
  <c r="H64" i="30" s="1"/>
  <c r="L62" i="30"/>
  <c r="L64" i="30" s="1"/>
  <c r="P62" i="30"/>
  <c r="P64" i="30" s="1"/>
  <c r="T62" i="30"/>
  <c r="T64" i="30" s="1"/>
  <c r="X62" i="30"/>
  <c r="X64" i="30" s="1"/>
  <c r="F33" i="30"/>
  <c r="K33" i="30"/>
  <c r="K36" i="30" s="1"/>
  <c r="R33" i="30"/>
  <c r="R36" i="30" s="1"/>
  <c r="E48" i="30"/>
  <c r="E50" i="30" s="1"/>
  <c r="E46" i="30"/>
  <c r="E45" i="30"/>
  <c r="I48" i="30"/>
  <c r="I50" i="30" s="1"/>
  <c r="I46" i="30"/>
  <c r="I45" i="30"/>
  <c r="M48" i="30"/>
  <c r="M50" i="30" s="1"/>
  <c r="M46" i="30"/>
  <c r="M45" i="30"/>
  <c r="Q48" i="30"/>
  <c r="Q50" i="30" s="1"/>
  <c r="Q46" i="30"/>
  <c r="Q45" i="30"/>
  <c r="U48" i="30"/>
  <c r="U50" i="30" s="1"/>
  <c r="U46" i="30"/>
  <c r="U45" i="30"/>
  <c r="Y48" i="30"/>
  <c r="Y50" i="30" s="1"/>
  <c r="Y46" i="30"/>
  <c r="Y45" i="30"/>
  <c r="P45" i="30"/>
  <c r="P48" i="30"/>
  <c r="P50" i="30" s="1"/>
  <c r="G56" i="30"/>
  <c r="W56" i="30"/>
  <c r="N62" i="30"/>
  <c r="N64" i="30" s="1"/>
  <c r="Z56" i="30"/>
  <c r="Z33" i="30"/>
  <c r="Z36" i="30" s="1"/>
  <c r="W36" i="30"/>
  <c r="G48" i="30"/>
  <c r="G50" i="30" s="1"/>
  <c r="G46" i="30"/>
  <c r="G45" i="30"/>
  <c r="O48" i="30"/>
  <c r="O50" i="30" s="1"/>
  <c r="O46" i="30"/>
  <c r="O45" i="30"/>
  <c r="E56" i="30"/>
  <c r="E33" i="30"/>
  <c r="E36" i="30" s="1"/>
  <c r="I56" i="30"/>
  <c r="I33" i="30"/>
  <c r="I36" i="30" s="1"/>
  <c r="M56" i="30"/>
  <c r="M33" i="30"/>
  <c r="M36" i="30" s="1"/>
  <c r="Q56" i="30"/>
  <c r="Q33" i="30"/>
  <c r="Q36" i="30" s="1"/>
  <c r="U56" i="30"/>
  <c r="U33" i="30"/>
  <c r="U36" i="30" s="1"/>
  <c r="Y56" i="30"/>
  <c r="Y33" i="30"/>
  <c r="Y36" i="30" s="1"/>
  <c r="F36" i="30"/>
  <c r="N36" i="30"/>
  <c r="V36" i="30"/>
  <c r="L33" i="30"/>
  <c r="L36" i="30" s="1"/>
  <c r="T33" i="30"/>
  <c r="T36" i="30" s="1"/>
  <c r="F48" i="30"/>
  <c r="F50" i="30" s="1"/>
  <c r="F46" i="30"/>
  <c r="F45" i="30"/>
  <c r="J48" i="30"/>
  <c r="J50" i="30" s="1"/>
  <c r="J46" i="30"/>
  <c r="J45" i="30"/>
  <c r="N48" i="30"/>
  <c r="N50" i="30" s="1"/>
  <c r="N46" i="30"/>
  <c r="N45" i="30"/>
  <c r="R48" i="30"/>
  <c r="R50" i="30" s="1"/>
  <c r="R46" i="30"/>
  <c r="R45" i="30"/>
  <c r="V48" i="30"/>
  <c r="V50" i="30" s="1"/>
  <c r="V46" i="30"/>
  <c r="V45" i="30"/>
  <c r="Z48" i="30"/>
  <c r="Z50" i="30" s="1"/>
  <c r="Z46" i="30"/>
  <c r="Z45" i="30"/>
  <c r="AA56" i="30"/>
  <c r="K62" i="29"/>
  <c r="K64" i="29" s="1"/>
  <c r="O36" i="29"/>
  <c r="D48" i="29"/>
  <c r="D50" i="29" s="1"/>
  <c r="D45" i="29"/>
  <c r="D46" i="29"/>
  <c r="H48" i="29"/>
  <c r="H50" i="29" s="1"/>
  <c r="H45" i="29"/>
  <c r="H46" i="29"/>
  <c r="T48" i="29"/>
  <c r="T50" i="29" s="1"/>
  <c r="T45" i="29"/>
  <c r="T46" i="29"/>
  <c r="X46" i="29"/>
  <c r="X45" i="29"/>
  <c r="X48" i="29"/>
  <c r="X50" i="29" s="1"/>
  <c r="S62" i="29"/>
  <c r="S64" i="29" s="1"/>
  <c r="AA62" i="29"/>
  <c r="AA64" i="29" s="1"/>
  <c r="G62" i="29"/>
  <c r="G64" i="29" s="1"/>
  <c r="W62" i="29"/>
  <c r="W64" i="29" s="1"/>
  <c r="J56" i="29"/>
  <c r="J33" i="29"/>
  <c r="J36" i="29" s="1"/>
  <c r="R56" i="29"/>
  <c r="R33" i="29"/>
  <c r="Z56" i="29"/>
  <c r="Z33" i="29"/>
  <c r="Z36" i="29" s="1"/>
  <c r="K48" i="29"/>
  <c r="K50" i="29" s="1"/>
  <c r="K46" i="29"/>
  <c r="K45" i="29"/>
  <c r="S48" i="29"/>
  <c r="S50" i="29" s="1"/>
  <c r="S46" i="29"/>
  <c r="S45" i="29"/>
  <c r="P46" i="29"/>
  <c r="D33" i="29"/>
  <c r="D36" i="29" s="1"/>
  <c r="L33" i="29"/>
  <c r="L36" i="29" s="1"/>
  <c r="T33" i="29"/>
  <c r="T36" i="29" s="1"/>
  <c r="L45" i="29"/>
  <c r="L48" i="29"/>
  <c r="L50" i="29" s="1"/>
  <c r="N56" i="29"/>
  <c r="N33" i="29"/>
  <c r="N36" i="29" s="1"/>
  <c r="V56" i="29"/>
  <c r="V33" i="29"/>
  <c r="W48" i="29"/>
  <c r="W50" i="29" s="1"/>
  <c r="W46" i="29"/>
  <c r="W45" i="29"/>
  <c r="D62" i="29"/>
  <c r="D64" i="29" s="1"/>
  <c r="H62" i="29"/>
  <c r="H64" i="29" s="1"/>
  <c r="L62" i="29"/>
  <c r="L64" i="29" s="1"/>
  <c r="P62" i="29"/>
  <c r="P64" i="29" s="1"/>
  <c r="T62" i="29"/>
  <c r="T64" i="29" s="1"/>
  <c r="X62" i="29"/>
  <c r="X64" i="29" s="1"/>
  <c r="G33" i="29"/>
  <c r="G36" i="29" s="1"/>
  <c r="W33" i="29"/>
  <c r="W36" i="29" s="1"/>
  <c r="E48" i="29"/>
  <c r="E50" i="29" s="1"/>
  <c r="E46" i="29"/>
  <c r="E45" i="29"/>
  <c r="I48" i="29"/>
  <c r="I50" i="29" s="1"/>
  <c r="I46" i="29"/>
  <c r="I45" i="29"/>
  <c r="M48" i="29"/>
  <c r="M50" i="29" s="1"/>
  <c r="M46" i="29"/>
  <c r="M45" i="29"/>
  <c r="Q48" i="29"/>
  <c r="Q50" i="29" s="1"/>
  <c r="Q46" i="29"/>
  <c r="Q45" i="29"/>
  <c r="U48" i="29"/>
  <c r="U50" i="29" s="1"/>
  <c r="U46" i="29"/>
  <c r="U45" i="29"/>
  <c r="Y48" i="29"/>
  <c r="Y50" i="29" s="1"/>
  <c r="Y46" i="29"/>
  <c r="Y45" i="29"/>
  <c r="P45" i="29"/>
  <c r="F56" i="29"/>
  <c r="F33" i="29"/>
  <c r="F36" i="29" s="1"/>
  <c r="G48" i="29"/>
  <c r="G50" i="29" s="1"/>
  <c r="G46" i="29"/>
  <c r="G45" i="29"/>
  <c r="O48" i="29"/>
  <c r="O50" i="29" s="1"/>
  <c r="O46" i="29"/>
  <c r="O45" i="29"/>
  <c r="AA48" i="29"/>
  <c r="AA50" i="29" s="1"/>
  <c r="AA46" i="29"/>
  <c r="AA45" i="29"/>
  <c r="E56" i="29"/>
  <c r="E33" i="29"/>
  <c r="E36" i="29" s="1"/>
  <c r="I56" i="29"/>
  <c r="I33" i="29"/>
  <c r="I36" i="29" s="1"/>
  <c r="M56" i="29"/>
  <c r="M33" i="29"/>
  <c r="M36" i="29" s="1"/>
  <c r="Q56" i="29"/>
  <c r="Q33" i="29"/>
  <c r="Q36" i="29" s="1"/>
  <c r="U56" i="29"/>
  <c r="U33" i="29"/>
  <c r="U36" i="29" s="1"/>
  <c r="Y56" i="29"/>
  <c r="Y33" i="29"/>
  <c r="Y36" i="29" s="1"/>
  <c r="R36" i="29"/>
  <c r="V36" i="29"/>
  <c r="H33" i="29"/>
  <c r="H36" i="29" s="1"/>
  <c r="P33" i="29"/>
  <c r="P36" i="29" s="1"/>
  <c r="P52" i="29" s="1"/>
  <c r="X33" i="29"/>
  <c r="X36" i="29" s="1"/>
  <c r="F48" i="29"/>
  <c r="F50" i="29" s="1"/>
  <c r="F46" i="29"/>
  <c r="F45" i="29"/>
  <c r="J48" i="29"/>
  <c r="J50" i="29" s="1"/>
  <c r="J46" i="29"/>
  <c r="J45" i="29"/>
  <c r="N48" i="29"/>
  <c r="N50" i="29" s="1"/>
  <c r="N46" i="29"/>
  <c r="N45" i="29"/>
  <c r="R48" i="29"/>
  <c r="R50" i="29" s="1"/>
  <c r="R46" i="29"/>
  <c r="R45" i="29"/>
  <c r="V48" i="29"/>
  <c r="V50" i="29" s="1"/>
  <c r="V46" i="29"/>
  <c r="V45" i="29"/>
  <c r="Z48" i="29"/>
  <c r="Z50" i="29" s="1"/>
  <c r="Z46" i="29"/>
  <c r="Z45" i="29"/>
  <c r="D48" i="28"/>
  <c r="D50" i="28" s="1"/>
  <c r="D45" i="28"/>
  <c r="D46" i="28"/>
  <c r="H45" i="28"/>
  <c r="H46" i="28"/>
  <c r="H48" i="28"/>
  <c r="H50" i="28" s="1"/>
  <c r="L46" i="28"/>
  <c r="L48" i="28"/>
  <c r="L50" i="28" s="1"/>
  <c r="L45" i="28"/>
  <c r="T48" i="28"/>
  <c r="T50" i="28" s="1"/>
  <c r="T45" i="28"/>
  <c r="T46" i="28"/>
  <c r="X46" i="28"/>
  <c r="X48" i="28"/>
  <c r="X50" i="28" s="1"/>
  <c r="X45" i="28"/>
  <c r="K48" i="28"/>
  <c r="K50" i="28" s="1"/>
  <c r="K46" i="28"/>
  <c r="K45" i="28"/>
  <c r="S48" i="28"/>
  <c r="S50" i="28" s="1"/>
  <c r="S46" i="28"/>
  <c r="S45" i="28"/>
  <c r="AA48" i="28"/>
  <c r="AA50" i="28" s="1"/>
  <c r="AA46" i="28"/>
  <c r="AA45" i="28"/>
  <c r="O56" i="28"/>
  <c r="H62" i="28"/>
  <c r="H64" i="28" s="1"/>
  <c r="P62" i="28"/>
  <c r="P64" i="28" s="1"/>
  <c r="E36" i="28"/>
  <c r="L33" i="28"/>
  <c r="L36" i="28" s="1"/>
  <c r="T33" i="28"/>
  <c r="T36" i="28" s="1"/>
  <c r="S56" i="28"/>
  <c r="G48" i="28"/>
  <c r="G50" i="28" s="1"/>
  <c r="G46" i="28"/>
  <c r="G45" i="28"/>
  <c r="O48" i="28"/>
  <c r="O50" i="28" s="1"/>
  <c r="O46" i="28"/>
  <c r="O45" i="28"/>
  <c r="W48" i="28"/>
  <c r="W50" i="28" s="1"/>
  <c r="W46" i="28"/>
  <c r="W45" i="28"/>
  <c r="P46" i="28"/>
  <c r="D62" i="28"/>
  <c r="D64" i="28" s="1"/>
  <c r="L62" i="28"/>
  <c r="L64" i="28" s="1"/>
  <c r="X62" i="28"/>
  <c r="X64" i="28" s="1"/>
  <c r="E62" i="28"/>
  <c r="E64" i="28" s="1"/>
  <c r="I56" i="28"/>
  <c r="I33" i="28"/>
  <c r="I36" i="28" s="1"/>
  <c r="M56" i="28"/>
  <c r="M33" i="28"/>
  <c r="M36" i="28" s="1"/>
  <c r="Q56" i="28"/>
  <c r="Q33" i="28"/>
  <c r="Q36" i="28" s="1"/>
  <c r="U56" i="28"/>
  <c r="U33" i="28"/>
  <c r="U36" i="28" s="1"/>
  <c r="Y56" i="28"/>
  <c r="Y33" i="28"/>
  <c r="Y36" i="28" s="1"/>
  <c r="F33" i="28"/>
  <c r="F36" i="28" s="1"/>
  <c r="N33" i="28"/>
  <c r="N36" i="28" s="1"/>
  <c r="V33" i="28"/>
  <c r="V36" i="28" s="1"/>
  <c r="E48" i="28"/>
  <c r="E50" i="28" s="1"/>
  <c r="E46" i="28"/>
  <c r="E45" i="28"/>
  <c r="I48" i="28"/>
  <c r="I50" i="28" s="1"/>
  <c r="I46" i="28"/>
  <c r="I45" i="28"/>
  <c r="M48" i="28"/>
  <c r="M50" i="28" s="1"/>
  <c r="M46" i="28"/>
  <c r="M45" i="28"/>
  <c r="Q48" i="28"/>
  <c r="Q50" i="28" s="1"/>
  <c r="Q46" i="28"/>
  <c r="Q45" i="28"/>
  <c r="U48" i="28"/>
  <c r="U50" i="28" s="1"/>
  <c r="U46" i="28"/>
  <c r="U45" i="28"/>
  <c r="Y48" i="28"/>
  <c r="Y50" i="28" s="1"/>
  <c r="Y46" i="28"/>
  <c r="Y45" i="28"/>
  <c r="P45" i="28"/>
  <c r="G56" i="28"/>
  <c r="W56" i="28"/>
  <c r="T62" i="28"/>
  <c r="T64" i="28" s="1"/>
  <c r="F62" i="28"/>
  <c r="F64" i="28" s="1"/>
  <c r="J62" i="28"/>
  <c r="J64" i="28" s="1"/>
  <c r="N62" i="28"/>
  <c r="N64" i="28" s="1"/>
  <c r="R62" i="28"/>
  <c r="R64" i="28" s="1"/>
  <c r="V62" i="28"/>
  <c r="V64" i="28" s="1"/>
  <c r="Z62" i="28"/>
  <c r="Z64" i="28" s="1"/>
  <c r="G36" i="28"/>
  <c r="K36" i="28"/>
  <c r="O36" i="28"/>
  <c r="S36" i="28"/>
  <c r="W36" i="28"/>
  <c r="AA36" i="28"/>
  <c r="H33" i="28"/>
  <c r="H36" i="28" s="1"/>
  <c r="P33" i="28"/>
  <c r="P36" i="28" s="1"/>
  <c r="P52" i="28" s="1"/>
  <c r="X33" i="28"/>
  <c r="X36" i="28" s="1"/>
  <c r="F48" i="28"/>
  <c r="F50" i="28" s="1"/>
  <c r="F46" i="28"/>
  <c r="F45" i="28"/>
  <c r="J48" i="28"/>
  <c r="J50" i="28" s="1"/>
  <c r="J46" i="28"/>
  <c r="J45" i="28"/>
  <c r="N48" i="28"/>
  <c r="N50" i="28" s="1"/>
  <c r="N46" i="28"/>
  <c r="N45" i="28"/>
  <c r="R48" i="28"/>
  <c r="R50" i="28" s="1"/>
  <c r="R46" i="28"/>
  <c r="R45" i="28"/>
  <c r="V48" i="28"/>
  <c r="V50" i="28" s="1"/>
  <c r="V46" i="28"/>
  <c r="V45" i="28"/>
  <c r="Z48" i="28"/>
  <c r="Z50" i="28" s="1"/>
  <c r="Z46" i="28"/>
  <c r="Z45" i="28"/>
  <c r="K56" i="28"/>
  <c r="AA56" i="28"/>
  <c r="G36" i="24"/>
  <c r="O36" i="24"/>
  <c r="N62" i="24"/>
  <c r="N64" i="24" s="1"/>
  <c r="I36" i="24"/>
  <c r="K36" i="24"/>
  <c r="M62" i="24"/>
  <c r="M64" i="24" s="1"/>
  <c r="I62" i="24"/>
  <c r="I64" i="24" s="1"/>
  <c r="E62" i="24"/>
  <c r="E64" i="24" s="1"/>
  <c r="L52" i="24"/>
  <c r="E36" i="24"/>
  <c r="E52" i="24" s="1"/>
  <c r="M36" i="24"/>
  <c r="M52" i="24" s="1"/>
  <c r="J62" i="24"/>
  <c r="J64" i="24" s="1"/>
  <c r="F36" i="24"/>
  <c r="F52" i="24" s="1"/>
  <c r="N36" i="24"/>
  <c r="N52" i="24" s="1"/>
  <c r="J52" i="24"/>
  <c r="K45" i="24"/>
  <c r="K46" i="24"/>
  <c r="K48" i="24"/>
  <c r="K50" i="24" s="1"/>
  <c r="G62" i="24"/>
  <c r="G64" i="24" s="1"/>
  <c r="K62" i="24"/>
  <c r="K64" i="24" s="1"/>
  <c r="H36" i="24"/>
  <c r="H52" i="24" s="1"/>
  <c r="H66" i="24" s="1"/>
  <c r="H67" i="24" s="1"/>
  <c r="O62" i="24"/>
  <c r="O64" i="24" s="1"/>
  <c r="I48" i="24"/>
  <c r="I50" i="24" s="1"/>
  <c r="O48" i="24"/>
  <c r="O50" i="24" s="1"/>
  <c r="G48" i="24"/>
  <c r="G50" i="24" s="1"/>
  <c r="D45" i="24"/>
  <c r="D46" i="24"/>
  <c r="L46" i="24"/>
  <c r="L45" i="24"/>
  <c r="J45" i="24"/>
  <c r="J46" i="24"/>
  <c r="N46" i="24"/>
  <c r="N45" i="24"/>
  <c r="F46" i="24"/>
  <c r="F45" i="24"/>
  <c r="M46" i="24"/>
  <c r="M45" i="24"/>
  <c r="E46" i="24"/>
  <c r="E45" i="24"/>
  <c r="O46" i="24"/>
  <c r="G46" i="24"/>
  <c r="I45" i="24"/>
  <c r="S36" i="24"/>
  <c r="AA36" i="24"/>
  <c r="Q36" i="24"/>
  <c r="T33" i="24"/>
  <c r="T36" i="24" s="1"/>
  <c r="Y36" i="24"/>
  <c r="T48" i="24"/>
  <c r="T50" i="24" s="1"/>
  <c r="T46" i="24"/>
  <c r="T45" i="24"/>
  <c r="R36" i="24"/>
  <c r="Z36" i="24"/>
  <c r="U48" i="24"/>
  <c r="U50" i="24" s="1"/>
  <c r="U46" i="24"/>
  <c r="U45" i="24"/>
  <c r="U62" i="24"/>
  <c r="U64" i="24" s="1"/>
  <c r="W48" i="24"/>
  <c r="W50" i="24" s="1"/>
  <c r="W46" i="24"/>
  <c r="W45" i="24"/>
  <c r="V62" i="24"/>
  <c r="V64" i="24" s="1"/>
  <c r="P48" i="24"/>
  <c r="P50" i="24" s="1"/>
  <c r="P46" i="24"/>
  <c r="P45" i="24"/>
  <c r="X48" i="24"/>
  <c r="X50" i="24" s="1"/>
  <c r="X46" i="24"/>
  <c r="X45" i="24"/>
  <c r="T62" i="24"/>
  <c r="T64" i="24" s="1"/>
  <c r="W62" i="24"/>
  <c r="W64" i="24" s="1"/>
  <c r="Q48" i="24"/>
  <c r="Q50" i="24" s="1"/>
  <c r="Q46" i="24"/>
  <c r="Q45" i="24"/>
  <c r="Y48" i="24"/>
  <c r="Y50" i="24" s="1"/>
  <c r="Y46" i="24"/>
  <c r="Y45" i="24"/>
  <c r="V48" i="24"/>
  <c r="V50" i="24" s="1"/>
  <c r="V46" i="24"/>
  <c r="V45" i="24"/>
  <c r="R48" i="24"/>
  <c r="R50" i="24" s="1"/>
  <c r="R46" i="24"/>
  <c r="R45" i="24"/>
  <c r="Z48" i="24"/>
  <c r="Z50" i="24" s="1"/>
  <c r="Z46" i="24"/>
  <c r="Z45" i="24"/>
  <c r="P36" i="24"/>
  <c r="X36" i="24"/>
  <c r="S48" i="24"/>
  <c r="S50" i="24" s="1"/>
  <c r="S46" i="24"/>
  <c r="S45" i="24"/>
  <c r="AA48" i="24"/>
  <c r="AA50" i="24" s="1"/>
  <c r="AA46" i="24"/>
  <c r="AA45" i="24"/>
  <c r="U33" i="24"/>
  <c r="U36" i="24" s="1"/>
  <c r="P56" i="24"/>
  <c r="X56" i="24"/>
  <c r="V33" i="24"/>
  <c r="V36" i="24" s="1"/>
  <c r="Q56" i="24"/>
  <c r="Y56" i="24"/>
  <c r="W33" i="24"/>
  <c r="W36" i="24" s="1"/>
  <c r="R56" i="24"/>
  <c r="Z56" i="24"/>
  <c r="S56" i="24"/>
  <c r="AA56" i="24"/>
  <c r="A2" i="23"/>
  <c r="Y35" i="23"/>
  <c r="P35" i="23" s="1"/>
  <c r="X35" i="23"/>
  <c r="X3" i="23"/>
  <c r="R3" i="23"/>
  <c r="Q21" i="23"/>
  <c r="R82" i="23"/>
  <c r="Q18" i="23"/>
  <c r="Q61" i="23"/>
  <c r="R85" i="23"/>
  <c r="R61" i="23"/>
  <c r="R50" i="23"/>
  <c r="R41" i="23"/>
  <c r="R74" i="23"/>
  <c r="R35" i="23"/>
  <c r="Q8" i="23"/>
  <c r="R9" i="23"/>
  <c r="Q15" i="23"/>
  <c r="Q7" i="23"/>
  <c r="R8" i="23"/>
  <c r="Q13" i="23"/>
  <c r="Q14" i="23"/>
  <c r="R18" i="23"/>
  <c r="Q24" i="23"/>
  <c r="Q48" i="23"/>
  <c r="R48" i="23" s="1"/>
  <c r="Q62" i="23"/>
  <c r="R60" i="23"/>
  <c r="Q20" i="23"/>
  <c r="R20" i="23" s="1"/>
  <c r="R24" i="23"/>
  <c r="M13" i="23"/>
  <c r="M14" i="23"/>
  <c r="M27" i="23" s="1"/>
  <c r="M29" i="23" s="1"/>
  <c r="X11" i="23"/>
  <c r="Q12" i="23"/>
  <c r="R12" i="23" s="1"/>
  <c r="R13" i="23"/>
  <c r="Q4" i="23"/>
  <c r="Q5" i="23"/>
  <c r="Q6" i="23"/>
  <c r="G7" i="23"/>
  <c r="Q17" i="23"/>
  <c r="Q23" i="23"/>
  <c r="R23" i="23" s="1"/>
  <c r="Q22" i="23"/>
  <c r="R22" i="23" s="1"/>
  <c r="Q39" i="23"/>
  <c r="Q72" i="23"/>
  <c r="R11" i="23"/>
  <c r="Q19" i="23"/>
  <c r="R51" i="23"/>
  <c r="Q87" i="23"/>
  <c r="Q83" i="23"/>
  <c r="Q79" i="23"/>
  <c r="Q75" i="23"/>
  <c r="Q71" i="23"/>
  <c r="R71" i="23" s="1"/>
  <c r="Q67" i="23"/>
  <c r="R67" i="23" s="1"/>
  <c r="Q63" i="23"/>
  <c r="Q59" i="23"/>
  <c r="Q55" i="23"/>
  <c r="Q51" i="23"/>
  <c r="Q47" i="23"/>
  <c r="Q43" i="23"/>
  <c r="Q82" i="23"/>
  <c r="Q81" i="23"/>
  <c r="Q60" i="23"/>
  <c r="Q26" i="23"/>
  <c r="Q80" i="23"/>
  <c r="Q70" i="23"/>
  <c r="Q69" i="23"/>
  <c r="Q44" i="23"/>
  <c r="Q40" i="23"/>
  <c r="R40" i="23" s="1"/>
  <c r="Q36" i="23"/>
  <c r="R36" i="23" s="1"/>
  <c r="Q32" i="23"/>
  <c r="Q27" i="23"/>
  <c r="Q89" i="23"/>
  <c r="Q68" i="23"/>
  <c r="Q58" i="23"/>
  <c r="Q57" i="23"/>
  <c r="Q50" i="23"/>
  <c r="Q88" i="23"/>
  <c r="R88" i="23" s="1"/>
  <c r="Q78" i="23"/>
  <c r="R78" i="23" s="1"/>
  <c r="Q77" i="23"/>
  <c r="R77" i="23" s="1"/>
  <c r="Q56" i="23"/>
  <c r="Q41" i="23"/>
  <c r="Q37" i="23"/>
  <c r="Q33" i="23"/>
  <c r="Q28" i="23"/>
  <c r="R28" i="23" s="1"/>
  <c r="Q76" i="23"/>
  <c r="R76" i="23" s="1"/>
  <c r="Q66" i="23"/>
  <c r="R66" i="23" s="1"/>
  <c r="Q65" i="23"/>
  <c r="Q49" i="23"/>
  <c r="Q46" i="23"/>
  <c r="Q29" i="23"/>
  <c r="R29" i="23" s="1"/>
  <c r="Q86" i="23"/>
  <c r="Q85" i="23"/>
  <c r="Q64" i="23"/>
  <c r="Q54" i="23"/>
  <c r="R54" i="23" s="1"/>
  <c r="Q53" i="23"/>
  <c r="Q38" i="23"/>
  <c r="Q34" i="23"/>
  <c r="Q30" i="23"/>
  <c r="Q84" i="23"/>
  <c r="Q74" i="23"/>
  <c r="Q73" i="23"/>
  <c r="Q52" i="23"/>
  <c r="Q45" i="23"/>
  <c r="Q42" i="23"/>
  <c r="Q25" i="23"/>
  <c r="X9" i="23"/>
  <c r="AA35" i="23"/>
  <c r="Q10" i="23"/>
  <c r="E16" i="23"/>
  <c r="Q16" i="23"/>
  <c r="R16" i="23" s="1"/>
  <c r="R19" i="23"/>
  <c r="Q31" i="23"/>
  <c r="Z35" i="23" l="1"/>
  <c r="S52" i="24"/>
  <c r="L66" i="24"/>
  <c r="L67" i="24" s="1"/>
  <c r="N66" i="24"/>
  <c r="N67" i="24" s="1"/>
  <c r="F66" i="24"/>
  <c r="F67" i="24" s="1"/>
  <c r="O52" i="30"/>
  <c r="O66" i="30" s="1"/>
  <c r="O67" i="30" s="1"/>
  <c r="V52" i="30"/>
  <c r="AC120" i="28"/>
  <c r="AI11" i="28" s="1"/>
  <c r="Q52" i="24"/>
  <c r="P134" i="30"/>
  <c r="P135" i="30" s="1"/>
  <c r="AC120" i="30"/>
  <c r="AC188" i="30"/>
  <c r="P202" i="30"/>
  <c r="P203" i="30" s="1"/>
  <c r="P202" i="29"/>
  <c r="P203" i="29" s="1"/>
  <c r="AC188" i="29"/>
  <c r="P134" i="29"/>
  <c r="P135" i="29" s="1"/>
  <c r="AC120" i="29"/>
  <c r="AI76" i="28"/>
  <c r="AI77" i="28" s="1"/>
  <c r="AA134" i="28"/>
  <c r="AA135" i="28" s="1"/>
  <c r="AI79" i="28"/>
  <c r="AI80" i="28" s="1"/>
  <c r="AI144" i="28"/>
  <c r="AI145" i="28" s="1"/>
  <c r="AA202" i="28"/>
  <c r="AA203" i="28" s="1"/>
  <c r="P134" i="28"/>
  <c r="P135" i="28" s="1"/>
  <c r="P202" i="28"/>
  <c r="P203" i="28" s="1"/>
  <c r="AC188" i="28"/>
  <c r="G52" i="24"/>
  <c r="G66" i="24" s="1"/>
  <c r="G67" i="24" s="1"/>
  <c r="J66" i="24"/>
  <c r="J67" i="24" s="1"/>
  <c r="I52" i="24"/>
  <c r="I66" i="24" s="1"/>
  <c r="I67" i="24" s="1"/>
  <c r="P134" i="24"/>
  <c r="P135" i="24" s="1"/>
  <c r="AC120" i="24"/>
  <c r="P202" i="24"/>
  <c r="P203" i="24" s="1"/>
  <c r="AC188" i="24"/>
  <c r="D66" i="24"/>
  <c r="D67" i="24" s="1"/>
  <c r="J52" i="28"/>
  <c r="J66" i="28" s="1"/>
  <c r="J67" i="28" s="1"/>
  <c r="O64" i="29"/>
  <c r="Z52" i="28"/>
  <c r="Z66" i="28" s="1"/>
  <c r="Z67" i="28" s="1"/>
  <c r="U52" i="28"/>
  <c r="E52" i="28"/>
  <c r="E66" i="28" s="1"/>
  <c r="E67" i="28" s="1"/>
  <c r="W52" i="28"/>
  <c r="R52" i="28"/>
  <c r="R66" i="28" s="1"/>
  <c r="R67" i="28" s="1"/>
  <c r="K52" i="29"/>
  <c r="K66" i="29" s="1"/>
  <c r="K67" i="29" s="1"/>
  <c r="F52" i="29"/>
  <c r="AE1" i="30"/>
  <c r="F52" i="30"/>
  <c r="F66" i="30" s="1"/>
  <c r="F67" i="30" s="1"/>
  <c r="P52" i="30"/>
  <c r="P66" i="30" s="1"/>
  <c r="P67" i="30" s="1"/>
  <c r="AA52" i="30"/>
  <c r="X52" i="30"/>
  <c r="X66" i="30" s="1"/>
  <c r="X67" i="30" s="1"/>
  <c r="H52" i="30"/>
  <c r="H66" i="30" s="1"/>
  <c r="H67" i="30" s="1"/>
  <c r="D52" i="30"/>
  <c r="D66" i="30" s="1"/>
  <c r="D67" i="30" s="1"/>
  <c r="N52" i="30"/>
  <c r="N66" i="30" s="1"/>
  <c r="N67" i="30" s="1"/>
  <c r="R52" i="30"/>
  <c r="R66" i="30" s="1"/>
  <c r="R67" i="30" s="1"/>
  <c r="V52" i="29"/>
  <c r="AA52" i="29"/>
  <c r="AA66" i="29" s="1"/>
  <c r="AA67" i="29" s="1"/>
  <c r="S52" i="29"/>
  <c r="S66" i="29" s="1"/>
  <c r="S67" i="29" s="1"/>
  <c r="M52" i="30"/>
  <c r="L52" i="30"/>
  <c r="L66" i="30" s="1"/>
  <c r="L67" i="30" s="1"/>
  <c r="U62" i="30"/>
  <c r="U64" i="30" s="1"/>
  <c r="M62" i="30"/>
  <c r="M64" i="30" s="1"/>
  <c r="E62" i="30"/>
  <c r="E64" i="30" s="1"/>
  <c r="W62" i="30"/>
  <c r="W64" i="30" s="1"/>
  <c r="Q52" i="30"/>
  <c r="S52" i="30"/>
  <c r="J52" i="30"/>
  <c r="J66" i="30" s="1"/>
  <c r="J67" i="30" s="1"/>
  <c r="Z62" i="30"/>
  <c r="Z64" i="30" s="1"/>
  <c r="G62" i="30"/>
  <c r="G64" i="30" s="1"/>
  <c r="U52" i="30"/>
  <c r="E52" i="30"/>
  <c r="W52" i="30"/>
  <c r="V62" i="30"/>
  <c r="V64" i="30" s="1"/>
  <c r="T52" i="30"/>
  <c r="T66" i="30" s="1"/>
  <c r="T67" i="30" s="1"/>
  <c r="K52" i="30"/>
  <c r="K66" i="30" s="1"/>
  <c r="K67" i="30" s="1"/>
  <c r="Z52" i="30"/>
  <c r="AA62" i="30"/>
  <c r="AA64" i="30" s="1"/>
  <c r="Y62" i="30"/>
  <c r="Y64" i="30" s="1"/>
  <c r="Q62" i="30"/>
  <c r="Q64" i="30" s="1"/>
  <c r="I62" i="30"/>
  <c r="I64" i="30" s="1"/>
  <c r="G52" i="30"/>
  <c r="Y52" i="30"/>
  <c r="I52" i="30"/>
  <c r="S62" i="30"/>
  <c r="S64" i="30" s="1"/>
  <c r="P66" i="29"/>
  <c r="P67" i="29" s="1"/>
  <c r="N52" i="29"/>
  <c r="G52" i="29"/>
  <c r="G66" i="29" s="1"/>
  <c r="G67" i="29" s="1"/>
  <c r="Q52" i="29"/>
  <c r="W52" i="29"/>
  <c r="W66" i="29" s="1"/>
  <c r="W67" i="29" s="1"/>
  <c r="N62" i="29"/>
  <c r="N64" i="29" s="1"/>
  <c r="T52" i="29"/>
  <c r="T66" i="29" s="1"/>
  <c r="T67" i="29" s="1"/>
  <c r="R52" i="29"/>
  <c r="Y62" i="29"/>
  <c r="Y64" i="29" s="1"/>
  <c r="Q62" i="29"/>
  <c r="Q64" i="29" s="1"/>
  <c r="I62" i="29"/>
  <c r="I64" i="29" s="1"/>
  <c r="O52" i="29"/>
  <c r="O66" i="29" s="1"/>
  <c r="O67" i="29" s="1"/>
  <c r="U52" i="29"/>
  <c r="E52" i="29"/>
  <c r="L52" i="29"/>
  <c r="L66" i="29" s="1"/>
  <c r="L67" i="29" s="1"/>
  <c r="R62" i="29"/>
  <c r="R64" i="29" s="1"/>
  <c r="AE1" i="29"/>
  <c r="F62" i="29"/>
  <c r="F64" i="29" s="1"/>
  <c r="Y52" i="29"/>
  <c r="I52" i="29"/>
  <c r="V62" i="29"/>
  <c r="V64" i="29" s="1"/>
  <c r="D52" i="29"/>
  <c r="Z52" i="29"/>
  <c r="J52" i="29"/>
  <c r="U62" i="29"/>
  <c r="U64" i="29" s="1"/>
  <c r="M62" i="29"/>
  <c r="M64" i="29" s="1"/>
  <c r="E62" i="29"/>
  <c r="E64" i="29" s="1"/>
  <c r="M52" i="29"/>
  <c r="Z62" i="29"/>
  <c r="Z64" i="29" s="1"/>
  <c r="J62" i="29"/>
  <c r="J64" i="29" s="1"/>
  <c r="X52" i="29"/>
  <c r="X66" i="29" s="1"/>
  <c r="X67" i="29" s="1"/>
  <c r="H52" i="29"/>
  <c r="H66" i="29" s="1"/>
  <c r="H67" i="29" s="1"/>
  <c r="P66" i="28"/>
  <c r="P67" i="28" s="1"/>
  <c r="V52" i="28"/>
  <c r="V66" i="28" s="1"/>
  <c r="V67" i="28" s="1"/>
  <c r="F52" i="28"/>
  <c r="F66" i="28" s="1"/>
  <c r="F67" i="28" s="1"/>
  <c r="AA52" i="28"/>
  <c r="AA62" i="28"/>
  <c r="AA64" i="28" s="1"/>
  <c r="G62" i="28"/>
  <c r="G64" i="28" s="1"/>
  <c r="Y52" i="28"/>
  <c r="I52" i="28"/>
  <c r="Y62" i="28"/>
  <c r="Y64" i="28" s="1"/>
  <c r="Q62" i="28"/>
  <c r="Q64" i="28" s="1"/>
  <c r="I62" i="28"/>
  <c r="I64" i="28" s="1"/>
  <c r="O62" i="28"/>
  <c r="O64" i="28" s="1"/>
  <c r="X52" i="28"/>
  <c r="X66" i="28" s="1"/>
  <c r="X67" i="28" s="1"/>
  <c r="T52" i="28"/>
  <c r="T66" i="28" s="1"/>
  <c r="T67" i="28" s="1"/>
  <c r="H52" i="28"/>
  <c r="H66" i="28" s="1"/>
  <c r="H67" i="28" s="1"/>
  <c r="AE1" i="28"/>
  <c r="K62" i="28"/>
  <c r="K64" i="28" s="1"/>
  <c r="N52" i="28"/>
  <c r="N66" i="28" s="1"/>
  <c r="N67" i="28" s="1"/>
  <c r="M52" i="28"/>
  <c r="G52" i="28"/>
  <c r="K52" i="28"/>
  <c r="D52" i="28"/>
  <c r="W62" i="28"/>
  <c r="W64" i="28" s="1"/>
  <c r="Q52" i="28"/>
  <c r="U62" i="28"/>
  <c r="U64" i="28" s="1"/>
  <c r="M62" i="28"/>
  <c r="M64" i="28" s="1"/>
  <c r="O52" i="28"/>
  <c r="S62" i="28"/>
  <c r="S64" i="28" s="1"/>
  <c r="S52" i="28"/>
  <c r="L52" i="28"/>
  <c r="L66" i="28" s="1"/>
  <c r="L67" i="28" s="1"/>
  <c r="O52" i="24"/>
  <c r="O66" i="24" s="1"/>
  <c r="O67" i="24" s="1"/>
  <c r="K52" i="24"/>
  <c r="K66" i="24" s="1"/>
  <c r="K67" i="24" s="1"/>
  <c r="M66" i="24"/>
  <c r="M67" i="24" s="1"/>
  <c r="E66" i="24"/>
  <c r="E67" i="24" s="1"/>
  <c r="AA52" i="24"/>
  <c r="Y52" i="24"/>
  <c r="P52" i="24"/>
  <c r="R52" i="24"/>
  <c r="Z52" i="24"/>
  <c r="U52" i="24"/>
  <c r="U66" i="24" s="1"/>
  <c r="U67" i="24" s="1"/>
  <c r="AA62" i="24"/>
  <c r="AA64" i="24" s="1"/>
  <c r="Y62" i="24"/>
  <c r="Y64" i="24" s="1"/>
  <c r="X52" i="24"/>
  <c r="S62" i="24"/>
  <c r="S64" i="24" s="1"/>
  <c r="Q62" i="24"/>
  <c r="Q64" i="24" s="1"/>
  <c r="W52" i="24"/>
  <c r="W66" i="24" s="1"/>
  <c r="W67" i="24" s="1"/>
  <c r="V52" i="24"/>
  <c r="V66" i="24" s="1"/>
  <c r="V67" i="24" s="1"/>
  <c r="AE1" i="24"/>
  <c r="Z62" i="24"/>
  <c r="Z64" i="24" s="1"/>
  <c r="X62" i="24"/>
  <c r="X64" i="24" s="1"/>
  <c r="T52" i="24"/>
  <c r="T66" i="24" s="1"/>
  <c r="T67" i="24" s="1"/>
  <c r="R62" i="24"/>
  <c r="R64" i="24" s="1"/>
  <c r="P62" i="24"/>
  <c r="P64" i="24" s="1"/>
  <c r="Y16" i="23"/>
  <c r="P16" i="23" s="1"/>
  <c r="X16" i="23"/>
  <c r="Y84" i="23"/>
  <c r="Z84" i="23" s="1"/>
  <c r="X84" i="23"/>
  <c r="R84" i="23"/>
  <c r="X86" i="23"/>
  <c r="Y86" i="23"/>
  <c r="AA86" i="23" s="1"/>
  <c r="R86" i="23"/>
  <c r="Y33" i="23"/>
  <c r="X33" i="23"/>
  <c r="R33" i="23"/>
  <c r="Y57" i="23"/>
  <c r="X57" i="23"/>
  <c r="R57" i="23"/>
  <c r="Y44" i="23"/>
  <c r="X44" i="23"/>
  <c r="R44" i="23"/>
  <c r="Y43" i="23"/>
  <c r="X43" i="23"/>
  <c r="R43" i="23"/>
  <c r="Y75" i="23"/>
  <c r="Z75" i="23" s="1"/>
  <c r="X75" i="23"/>
  <c r="R75" i="23"/>
  <c r="Y19" i="23"/>
  <c r="X19" i="23"/>
  <c r="Y30" i="23"/>
  <c r="X30" i="23"/>
  <c r="R30" i="23"/>
  <c r="Y29" i="23"/>
  <c r="X29" i="23"/>
  <c r="Y37" i="23"/>
  <c r="Z37" i="23" s="1"/>
  <c r="X37" i="23"/>
  <c r="R37" i="23"/>
  <c r="X58" i="23"/>
  <c r="Y58" i="23"/>
  <c r="R58" i="23"/>
  <c r="Y69" i="23"/>
  <c r="X69" i="23"/>
  <c r="R69" i="23"/>
  <c r="Y47" i="23"/>
  <c r="X47" i="23"/>
  <c r="R47" i="23"/>
  <c r="Y79" i="23"/>
  <c r="X79" i="23"/>
  <c r="R79" i="23"/>
  <c r="Y72" i="23"/>
  <c r="Z72" i="23" s="1"/>
  <c r="X72" i="23"/>
  <c r="R72" i="23"/>
  <c r="X15" i="23"/>
  <c r="Y15" i="23"/>
  <c r="R15" i="23"/>
  <c r="X46" i="23"/>
  <c r="Y46" i="23"/>
  <c r="R46" i="23"/>
  <c r="Y10" i="23"/>
  <c r="AA10" i="23" s="1"/>
  <c r="X10" i="23"/>
  <c r="R10" i="23"/>
  <c r="Y45" i="23"/>
  <c r="X45" i="23"/>
  <c r="Y53" i="23"/>
  <c r="X53" i="23"/>
  <c r="R53" i="23"/>
  <c r="Y65" i="23"/>
  <c r="P65" i="23" s="1"/>
  <c r="X65" i="23"/>
  <c r="R65" i="23"/>
  <c r="X77" i="23"/>
  <c r="Y77" i="23"/>
  <c r="Y27" i="23"/>
  <c r="X27" i="23"/>
  <c r="Y26" i="23"/>
  <c r="X26" i="23"/>
  <c r="R26" i="23"/>
  <c r="Y59" i="23"/>
  <c r="X59" i="23"/>
  <c r="Y6" i="23"/>
  <c r="P6" i="23" s="1"/>
  <c r="X6" i="23"/>
  <c r="R6" i="23"/>
  <c r="R27" i="23"/>
  <c r="X25" i="23"/>
  <c r="Y25" i="23"/>
  <c r="R25" i="23"/>
  <c r="Y34" i="23"/>
  <c r="X34" i="23"/>
  <c r="R34" i="23"/>
  <c r="R59" i="23"/>
  <c r="Y17" i="23"/>
  <c r="P17" i="23" s="1"/>
  <c r="X17" i="23"/>
  <c r="R17" i="23"/>
  <c r="Y4" i="23"/>
  <c r="P4" i="23" s="1"/>
  <c r="X4" i="23"/>
  <c r="R4" i="23"/>
  <c r="R45" i="23"/>
  <c r="AA3" i="23"/>
  <c r="AA11" i="23"/>
  <c r="AA17" i="23"/>
  <c r="Y21" i="23"/>
  <c r="P21" i="23" s="1"/>
  <c r="X21" i="23"/>
  <c r="Y41" i="23"/>
  <c r="X41" i="23"/>
  <c r="Y68" i="23"/>
  <c r="P68" i="23" s="1"/>
  <c r="X68" i="23"/>
  <c r="X70" i="23"/>
  <c r="Y70" i="23"/>
  <c r="Y51" i="23"/>
  <c r="X51" i="23"/>
  <c r="Y83" i="23"/>
  <c r="P83" i="23" s="1"/>
  <c r="X83" i="23"/>
  <c r="Y39" i="23"/>
  <c r="P39" i="23" s="1"/>
  <c r="X39" i="23"/>
  <c r="G16" i="23"/>
  <c r="H7" i="23"/>
  <c r="Y31" i="23"/>
  <c r="P31" i="23" s="1"/>
  <c r="X31" i="23"/>
  <c r="AA31" i="23"/>
  <c r="Z46" i="23"/>
  <c r="Z58" i="23"/>
  <c r="AA78" i="23"/>
  <c r="AA30" i="23"/>
  <c r="AA70" i="23"/>
  <c r="AA48" i="23"/>
  <c r="AA79" i="23"/>
  <c r="Z51" i="23"/>
  <c r="Z83" i="23"/>
  <c r="X42" i="23"/>
  <c r="Y42" i="23"/>
  <c r="P42" i="23" s="1"/>
  <c r="Y38" i="23"/>
  <c r="AA38" i="23" s="1"/>
  <c r="X38" i="23"/>
  <c r="X49" i="23"/>
  <c r="Y49" i="23"/>
  <c r="Y56" i="23"/>
  <c r="X56" i="23"/>
  <c r="Y89" i="23"/>
  <c r="X89" i="23"/>
  <c r="Y80" i="23"/>
  <c r="AA80" i="23" s="1"/>
  <c r="X80" i="23"/>
  <c r="X55" i="23"/>
  <c r="Y55" i="23"/>
  <c r="P55" i="23" s="1"/>
  <c r="X87" i="23"/>
  <c r="Y87" i="23"/>
  <c r="P87" i="23" s="1"/>
  <c r="Z19" i="23"/>
  <c r="Y12" i="23"/>
  <c r="Z12" i="23" s="1"/>
  <c r="X12" i="23"/>
  <c r="X62" i="23"/>
  <c r="Y62" i="23"/>
  <c r="X14" i="23"/>
  <c r="Y14" i="23"/>
  <c r="P14" i="23" s="1"/>
  <c r="S88" i="23"/>
  <c r="S84" i="23"/>
  <c r="S80" i="23"/>
  <c r="S76" i="23"/>
  <c r="S72" i="23"/>
  <c r="S68" i="23"/>
  <c r="S64" i="23"/>
  <c r="S60" i="23"/>
  <c r="S56" i="23"/>
  <c r="S52" i="23"/>
  <c r="S48" i="23"/>
  <c r="S44" i="23"/>
  <c r="S69" i="23"/>
  <c r="S59" i="23"/>
  <c r="S58" i="23"/>
  <c r="S50" i="23"/>
  <c r="S47" i="23"/>
  <c r="S89" i="23"/>
  <c r="S79" i="23"/>
  <c r="S78" i="23"/>
  <c r="S57" i="23"/>
  <c r="S41" i="23"/>
  <c r="S37" i="23"/>
  <c r="S33" i="23"/>
  <c r="S28" i="23"/>
  <c r="S77" i="23"/>
  <c r="S67" i="23"/>
  <c r="S66" i="23"/>
  <c r="S46" i="23"/>
  <c r="S43" i="23"/>
  <c r="S29" i="23"/>
  <c r="S87" i="23"/>
  <c r="S86" i="23"/>
  <c r="S65" i="23"/>
  <c r="S55" i="23"/>
  <c r="S54" i="23"/>
  <c r="S49" i="23"/>
  <c r="S38" i="23"/>
  <c r="S34" i="23"/>
  <c r="S30" i="23"/>
  <c r="S85" i="23"/>
  <c r="S75" i="23"/>
  <c r="S74" i="23"/>
  <c r="S53" i="23"/>
  <c r="S42" i="23"/>
  <c r="S25" i="23"/>
  <c r="S73" i="23"/>
  <c r="S63" i="23"/>
  <c r="S62" i="23"/>
  <c r="S45" i="23"/>
  <c r="S39" i="23"/>
  <c r="S35" i="23"/>
  <c r="S31" i="23"/>
  <c r="S83" i="23"/>
  <c r="S82" i="23"/>
  <c r="S61" i="23"/>
  <c r="S51" i="23"/>
  <c r="S26" i="23"/>
  <c r="S81" i="23"/>
  <c r="S40" i="23"/>
  <c r="S22" i="23"/>
  <c r="S11" i="23"/>
  <c r="S3" i="23"/>
  <c r="S6" i="23"/>
  <c r="S5" i="23"/>
  <c r="S4" i="23"/>
  <c r="S23" i="23"/>
  <c r="S17" i="23"/>
  <c r="S20" i="23"/>
  <c r="S12" i="23"/>
  <c r="S71" i="23"/>
  <c r="S24" i="23"/>
  <c r="S14" i="23"/>
  <c r="S13" i="23"/>
  <c r="S7" i="23"/>
  <c r="S18" i="23"/>
  <c r="S15" i="23"/>
  <c r="S70" i="23"/>
  <c r="S8" i="23"/>
  <c r="S21" i="23"/>
  <c r="S9" i="23"/>
  <c r="S16" i="23"/>
  <c r="S10" i="23"/>
  <c r="S32" i="23"/>
  <c r="S36" i="23"/>
  <c r="S27" i="23"/>
  <c r="S19" i="23"/>
  <c r="AA9" i="23"/>
  <c r="R62" i="23"/>
  <c r="R89" i="23"/>
  <c r="AA21" i="23"/>
  <c r="R21" i="23"/>
  <c r="R38" i="23"/>
  <c r="AA14" i="23"/>
  <c r="Y20" i="23"/>
  <c r="P20" i="23" s="1"/>
  <c r="X20" i="23"/>
  <c r="Y48" i="23"/>
  <c r="P48" i="23" s="1"/>
  <c r="X48" i="23"/>
  <c r="X13" i="23"/>
  <c r="Y13" i="23"/>
  <c r="P13" i="23" s="1"/>
  <c r="X7" i="23"/>
  <c r="Y7" i="23"/>
  <c r="P7" i="23" s="1"/>
  <c r="R70" i="23"/>
  <c r="Z41" i="23"/>
  <c r="AA33" i="23"/>
  <c r="AA27" i="23"/>
  <c r="Z53" i="23"/>
  <c r="Z87" i="23"/>
  <c r="Y73" i="23"/>
  <c r="X73" i="23"/>
  <c r="Y64" i="23"/>
  <c r="Z64" i="23" s="1"/>
  <c r="X64" i="23"/>
  <c r="Y76" i="23"/>
  <c r="X76" i="23"/>
  <c r="Y88" i="23"/>
  <c r="P88" i="23" s="1"/>
  <c r="X88" i="23"/>
  <c r="Y36" i="23"/>
  <c r="X36" i="23"/>
  <c r="Y81" i="23"/>
  <c r="P81" i="23" s="1"/>
  <c r="X81" i="23"/>
  <c r="Y67" i="23"/>
  <c r="X67" i="23"/>
  <c r="Y5" i="23"/>
  <c r="P5" i="23" s="1"/>
  <c r="X5" i="23"/>
  <c r="R5" i="23"/>
  <c r="X8" i="23"/>
  <c r="Y8" i="23"/>
  <c r="P8" i="23" s="1"/>
  <c r="R42" i="23"/>
  <c r="R64" i="23"/>
  <c r="R80" i="23"/>
  <c r="R83" i="23"/>
  <c r="Y61" i="23"/>
  <c r="X61" i="23"/>
  <c r="AA83" i="23"/>
  <c r="Z43" i="23"/>
  <c r="Y52" i="23"/>
  <c r="Z52" i="23" s="1"/>
  <c r="X52" i="23"/>
  <c r="X54" i="23"/>
  <c r="Y54" i="23"/>
  <c r="P54" i="23" s="1"/>
  <c r="X66" i="23"/>
  <c r="Y66" i="23"/>
  <c r="X78" i="23"/>
  <c r="Y78" i="23"/>
  <c r="Y32" i="23"/>
  <c r="X32" i="23"/>
  <c r="Y60" i="23"/>
  <c r="Z60" i="23" s="1"/>
  <c r="X60" i="23"/>
  <c r="Y63" i="23"/>
  <c r="AA63" i="23" s="1"/>
  <c r="X63" i="23"/>
  <c r="R14" i="23"/>
  <c r="Z11" i="23"/>
  <c r="Z31" i="23"/>
  <c r="Z9" i="23"/>
  <c r="Z21" i="23"/>
  <c r="Z3" i="23"/>
  <c r="AA39" i="23"/>
  <c r="AA25" i="23"/>
  <c r="Z81" i="23"/>
  <c r="Z42" i="23"/>
  <c r="AA87" i="23"/>
  <c r="X74" i="23"/>
  <c r="Y74" i="23"/>
  <c r="P74" i="23" s="1"/>
  <c r="Y85" i="23"/>
  <c r="X85" i="23"/>
  <c r="Y28" i="23"/>
  <c r="X28" i="23"/>
  <c r="X50" i="23"/>
  <c r="Y50" i="23"/>
  <c r="AA50" i="23" s="1"/>
  <c r="Y40" i="23"/>
  <c r="X40" i="23"/>
  <c r="X82" i="23"/>
  <c r="Y82" i="23"/>
  <c r="AA82" i="23" s="1"/>
  <c r="Y71" i="23"/>
  <c r="AA71" i="23" s="1"/>
  <c r="X71" i="23"/>
  <c r="Y22" i="23"/>
  <c r="P22" i="23" s="1"/>
  <c r="X22" i="23"/>
  <c r="Z17" i="23"/>
  <c r="AA13" i="23"/>
  <c r="R7" i="23"/>
  <c r="AA42" i="23"/>
  <c r="Y24" i="23"/>
  <c r="P24" i="23" s="1"/>
  <c r="X24" i="23"/>
  <c r="Z15" i="23"/>
  <c r="R31" i="23"/>
  <c r="R52" i="23"/>
  <c r="R68" i="23"/>
  <c r="R55" i="23"/>
  <c r="R87" i="23"/>
  <c r="R73" i="23"/>
  <c r="X18" i="23"/>
  <c r="Y18" i="23"/>
  <c r="P18" i="23" s="1"/>
  <c r="Y23" i="23"/>
  <c r="X23" i="23"/>
  <c r="AA8" i="23"/>
  <c r="R39" i="23"/>
  <c r="R56" i="23"/>
  <c r="R32" i="23"/>
  <c r="R63" i="23"/>
  <c r="R49" i="23"/>
  <c r="R81" i="23"/>
  <c r="Z6" i="23" l="1"/>
  <c r="AA68" i="23"/>
  <c r="AA6" i="23"/>
  <c r="Z65" i="23"/>
  <c r="Z68" i="23"/>
  <c r="AA55" i="23"/>
  <c r="AA65" i="23"/>
  <c r="AC134" i="28"/>
  <c r="AC135" i="28" s="1"/>
  <c r="U66" i="29"/>
  <c r="U67" i="29" s="1"/>
  <c r="S66" i="24"/>
  <c r="S67" i="24" s="1"/>
  <c r="AC64" i="24"/>
  <c r="AK6" i="24" s="1"/>
  <c r="F17" i="33" s="1"/>
  <c r="AA74" i="23"/>
  <c r="Z48" i="23"/>
  <c r="N66" i="29"/>
  <c r="N67" i="29" s="1"/>
  <c r="Z4" i="23"/>
  <c r="AA81" i="23"/>
  <c r="Z8" i="23"/>
  <c r="Z16" i="23"/>
  <c r="AA4" i="23"/>
  <c r="M66" i="30"/>
  <c r="M67" i="30" s="1"/>
  <c r="AA66" i="30"/>
  <c r="AA67" i="30" s="1"/>
  <c r="V66" i="30"/>
  <c r="V67" i="30" s="1"/>
  <c r="AC202" i="29"/>
  <c r="AC203" i="29" s="1"/>
  <c r="AJ14" i="29"/>
  <c r="AC134" i="29"/>
  <c r="AC135" i="29" s="1"/>
  <c r="AJ11" i="29"/>
  <c r="F66" i="29"/>
  <c r="F67" i="29" s="1"/>
  <c r="AC202" i="28"/>
  <c r="AC203" i="28" s="1"/>
  <c r="AI14" i="28"/>
  <c r="I18" i="33"/>
  <c r="AC202" i="24"/>
  <c r="AC203" i="24" s="1"/>
  <c r="AK14" i="24"/>
  <c r="Q66" i="24"/>
  <c r="Q67" i="24" s="1"/>
  <c r="AC134" i="24"/>
  <c r="AC135" i="24" s="1"/>
  <c r="AK11" i="24"/>
  <c r="Q66" i="30"/>
  <c r="Q67" i="30" s="1"/>
  <c r="I66" i="30"/>
  <c r="I67" i="30" s="1"/>
  <c r="AJ14" i="30"/>
  <c r="AC202" i="30"/>
  <c r="AC203" i="30" s="1"/>
  <c r="AJ11" i="30"/>
  <c r="AC134" i="30"/>
  <c r="AC135" i="30" s="1"/>
  <c r="J66" i="29"/>
  <c r="J67" i="29" s="1"/>
  <c r="V66" i="29"/>
  <c r="V67" i="29" s="1"/>
  <c r="M66" i="28"/>
  <c r="M67" i="28" s="1"/>
  <c r="AC52" i="24"/>
  <c r="Y66" i="24"/>
  <c r="Y67" i="24" s="1"/>
  <c r="R66" i="24"/>
  <c r="R67" i="24" s="1"/>
  <c r="AA66" i="24"/>
  <c r="AA67" i="24" s="1"/>
  <c r="U66" i="28"/>
  <c r="U67" i="28" s="1"/>
  <c r="I66" i="28"/>
  <c r="I67" i="28" s="1"/>
  <c r="AA66" i="28"/>
  <c r="AA67" i="28" s="1"/>
  <c r="S66" i="28"/>
  <c r="S67" i="28" s="1"/>
  <c r="W66" i="28"/>
  <c r="W67" i="28" s="1"/>
  <c r="M66" i="29"/>
  <c r="M67" i="29" s="1"/>
  <c r="AC52" i="28"/>
  <c r="AI8" i="28" s="1"/>
  <c r="K66" i="28"/>
  <c r="K67" i="28" s="1"/>
  <c r="Q66" i="28"/>
  <c r="Q67" i="28" s="1"/>
  <c r="Y66" i="28"/>
  <c r="Y67" i="28" s="1"/>
  <c r="AC52" i="30"/>
  <c r="AJ8" i="30" s="1"/>
  <c r="G66" i="30"/>
  <c r="G67" i="30" s="1"/>
  <c r="U66" i="30"/>
  <c r="U67" i="30" s="1"/>
  <c r="Y66" i="30"/>
  <c r="Y67" i="30" s="1"/>
  <c r="Z66" i="30"/>
  <c r="Z67" i="30" s="1"/>
  <c r="W66" i="30"/>
  <c r="W67" i="30" s="1"/>
  <c r="R66" i="29"/>
  <c r="R67" i="29" s="1"/>
  <c r="Y66" i="29"/>
  <c r="Y67" i="29" s="1"/>
  <c r="Z66" i="29"/>
  <c r="Z67" i="29" s="1"/>
  <c r="Q66" i="29"/>
  <c r="Q67" i="29" s="1"/>
  <c r="E66" i="30"/>
  <c r="E67" i="30" s="1"/>
  <c r="AC64" i="30"/>
  <c r="AJ6" i="30" s="1"/>
  <c r="F20" i="33" s="1"/>
  <c r="S66" i="30"/>
  <c r="S67" i="30" s="1"/>
  <c r="E66" i="29"/>
  <c r="E67" i="29" s="1"/>
  <c r="AC64" i="29"/>
  <c r="AJ6" i="29" s="1"/>
  <c r="F19" i="33" s="1"/>
  <c r="AC52" i="29"/>
  <c r="AJ8" i="29" s="1"/>
  <c r="D66" i="29"/>
  <c r="D67" i="29" s="1"/>
  <c r="I66" i="29"/>
  <c r="I67" i="29" s="1"/>
  <c r="G66" i="28"/>
  <c r="G67" i="28" s="1"/>
  <c r="AC64" i="28"/>
  <c r="AI6" i="28" s="1"/>
  <c r="F18" i="33" s="1"/>
  <c r="D66" i="28"/>
  <c r="D67" i="28" s="1"/>
  <c r="O66" i="28"/>
  <c r="O67" i="28" s="1"/>
  <c r="Z66" i="24"/>
  <c r="Z67" i="24" s="1"/>
  <c r="X66" i="24"/>
  <c r="X67" i="24" s="1"/>
  <c r="P66" i="24"/>
  <c r="P61" i="23"/>
  <c r="AA61" i="23"/>
  <c r="Z61" i="23"/>
  <c r="P62" i="23"/>
  <c r="AA62" i="23"/>
  <c r="P80" i="23"/>
  <c r="Z80" i="23"/>
  <c r="AA20" i="23"/>
  <c r="P10" i="23"/>
  <c r="Z10" i="23"/>
  <c r="P47" i="23"/>
  <c r="AA47" i="23"/>
  <c r="Z47" i="23"/>
  <c r="P19" i="23"/>
  <c r="AA19" i="23"/>
  <c r="AA54" i="23"/>
  <c r="I7" i="23"/>
  <c r="H16" i="23"/>
  <c r="P28" i="23"/>
  <c r="Z28" i="23"/>
  <c r="P36" i="23"/>
  <c r="Z36" i="23"/>
  <c r="P73" i="23"/>
  <c r="AA73" i="23"/>
  <c r="Z20" i="23"/>
  <c r="P49" i="23"/>
  <c r="Z49" i="23"/>
  <c r="P23" i="23"/>
  <c r="AA23" i="23"/>
  <c r="Z23" i="23"/>
  <c r="P82" i="23"/>
  <c r="Z82" i="23"/>
  <c r="P40" i="23"/>
  <c r="AA40" i="23"/>
  <c r="Z74" i="23"/>
  <c r="P67" i="23"/>
  <c r="AA67" i="23"/>
  <c r="Z7" i="23"/>
  <c r="P50" i="23"/>
  <c r="Z50" i="23"/>
  <c r="Z67" i="23"/>
  <c r="Z40" i="23"/>
  <c r="P66" i="23"/>
  <c r="AA66" i="23"/>
  <c r="AA49" i="23"/>
  <c r="AA88" i="23"/>
  <c r="Z13" i="23"/>
  <c r="P89" i="23"/>
  <c r="AA89" i="23"/>
  <c r="Z89" i="23"/>
  <c r="AA36" i="23"/>
  <c r="T86" i="23"/>
  <c r="T82" i="23"/>
  <c r="T78" i="23"/>
  <c r="T74" i="23"/>
  <c r="T70" i="23"/>
  <c r="T66" i="23"/>
  <c r="T62" i="23"/>
  <c r="T58" i="23"/>
  <c r="T54" i="23"/>
  <c r="T50" i="23"/>
  <c r="T46" i="23"/>
  <c r="T42" i="23"/>
  <c r="T88" i="23"/>
  <c r="T84" i="23"/>
  <c r="T80" i="23"/>
  <c r="T76" i="23"/>
  <c r="T72" i="23"/>
  <c r="T68" i="23"/>
  <c r="T64" i="23"/>
  <c r="T60" i="23"/>
  <c r="T56" i="23"/>
  <c r="T52" i="23"/>
  <c r="T89" i="23"/>
  <c r="T79" i="23"/>
  <c r="T57" i="23"/>
  <c r="T41" i="23"/>
  <c r="T37" i="23"/>
  <c r="T33" i="23"/>
  <c r="T28" i="23"/>
  <c r="T77" i="23"/>
  <c r="T67" i="23"/>
  <c r="T43" i="23"/>
  <c r="T29" i="23"/>
  <c r="T87" i="23"/>
  <c r="T65" i="23"/>
  <c r="T55" i="23"/>
  <c r="T49" i="23"/>
  <c r="T38" i="23"/>
  <c r="T34" i="23"/>
  <c r="T30" i="23"/>
  <c r="T85" i="23"/>
  <c r="T75" i="23"/>
  <c r="T53" i="23"/>
  <c r="T73" i="23"/>
  <c r="T63" i="23"/>
  <c r="T45" i="23"/>
  <c r="T39" i="23"/>
  <c r="T35" i="23"/>
  <c r="T31" i="23"/>
  <c r="T83" i="23"/>
  <c r="T61" i="23"/>
  <c r="T51" i="23"/>
  <c r="T48" i="23"/>
  <c r="T26" i="23"/>
  <c r="T81" i="23"/>
  <c r="T71" i="23"/>
  <c r="T40" i="23"/>
  <c r="T36" i="23"/>
  <c r="T32" i="23"/>
  <c r="T27" i="23"/>
  <c r="T59" i="23"/>
  <c r="T23" i="23"/>
  <c r="T17" i="23"/>
  <c r="T6" i="23"/>
  <c r="T5" i="23"/>
  <c r="T4" i="23"/>
  <c r="T20" i="23"/>
  <c r="T12" i="23"/>
  <c r="T44" i="23"/>
  <c r="T24" i="23"/>
  <c r="T14" i="23"/>
  <c r="T13" i="23"/>
  <c r="T18" i="23"/>
  <c r="T15" i="23"/>
  <c r="T8" i="23"/>
  <c r="T11" i="23"/>
  <c r="T21" i="23"/>
  <c r="T9" i="23"/>
  <c r="T69" i="23"/>
  <c r="T25" i="23"/>
  <c r="T16" i="23"/>
  <c r="T10" i="23"/>
  <c r="T47" i="23"/>
  <c r="T19" i="23"/>
  <c r="T22" i="23"/>
  <c r="T3" i="23"/>
  <c r="T7" i="23"/>
  <c r="AA5" i="23"/>
  <c r="P26" i="23"/>
  <c r="Z26" i="23"/>
  <c r="AA26" i="23"/>
  <c r="Z18" i="23"/>
  <c r="P37" i="23"/>
  <c r="AA37" i="23"/>
  <c r="P44" i="23"/>
  <c r="AA44" i="23"/>
  <c r="Z44" i="23"/>
  <c r="P86" i="23"/>
  <c r="Z86" i="23"/>
  <c r="P56" i="23"/>
  <c r="AA56" i="23"/>
  <c r="Z56" i="23"/>
  <c r="P71" i="23"/>
  <c r="Z71" i="23"/>
  <c r="P60" i="23"/>
  <c r="AA60" i="23"/>
  <c r="Z73" i="23"/>
  <c r="Z62" i="23"/>
  <c r="P78" i="23"/>
  <c r="Z78" i="23"/>
  <c r="P38" i="23"/>
  <c r="Z38" i="23"/>
  <c r="P76" i="23"/>
  <c r="AA76" i="23"/>
  <c r="AA22" i="23"/>
  <c r="Z66" i="23"/>
  <c r="P63" i="23"/>
  <c r="Z63" i="23"/>
  <c r="AA7" i="23"/>
  <c r="P64" i="23"/>
  <c r="AA64" i="23"/>
  <c r="Z88" i="23"/>
  <c r="AA18" i="23"/>
  <c r="Z39" i="23"/>
  <c r="P72" i="23"/>
  <c r="AA72" i="23"/>
  <c r="P41" i="23"/>
  <c r="AA41" i="23"/>
  <c r="P27" i="23"/>
  <c r="Z27" i="23"/>
  <c r="P53" i="23"/>
  <c r="AA53" i="23"/>
  <c r="P46" i="23"/>
  <c r="AA46" i="23"/>
  <c r="P69" i="23"/>
  <c r="Z69" i="23"/>
  <c r="AA69" i="23"/>
  <c r="P29" i="23"/>
  <c r="Z29" i="23"/>
  <c r="AA29" i="23"/>
  <c r="P75" i="23"/>
  <c r="AA75" i="23"/>
  <c r="AA24" i="23"/>
  <c r="P77" i="23"/>
  <c r="AA77" i="23"/>
  <c r="Z77" i="23"/>
  <c r="P57" i="23"/>
  <c r="AA57" i="23"/>
  <c r="Z57" i="23"/>
  <c r="AB6" i="23"/>
  <c r="AB5" i="23"/>
  <c r="AB4" i="23"/>
  <c r="AB12" i="23"/>
  <c r="AB74" i="23"/>
  <c r="AB40" i="23"/>
  <c r="AB19" i="23"/>
  <c r="AB27" i="23"/>
  <c r="AB21" i="23"/>
  <c r="AB18" i="23"/>
  <c r="AB7" i="23"/>
  <c r="AB53" i="23"/>
  <c r="AB8" i="23"/>
  <c r="AB88" i="23"/>
  <c r="AB56" i="23"/>
  <c r="AB78" i="23"/>
  <c r="AB57" i="23"/>
  <c r="AB54" i="23"/>
  <c r="AB3" i="23"/>
  <c r="AB11" i="23"/>
  <c r="AB17" i="23"/>
  <c r="AB64" i="23"/>
  <c r="AB16" i="23"/>
  <c r="AB32" i="23"/>
  <c r="AB23" i="23"/>
  <c r="AB76" i="23"/>
  <c r="AB44" i="23"/>
  <c r="AB73" i="23"/>
  <c r="AB28" i="23"/>
  <c r="AB71" i="23"/>
  <c r="AB50" i="23"/>
  <c r="AB59" i="23"/>
  <c r="AB30" i="23"/>
  <c r="AB67" i="23"/>
  <c r="AB49" i="23"/>
  <c r="AB35" i="23"/>
  <c r="AB22" i="23"/>
  <c r="AB75" i="23"/>
  <c r="AB13" i="23"/>
  <c r="AB72" i="23"/>
  <c r="AB89" i="23"/>
  <c r="AB31" i="23"/>
  <c r="AB14" i="23"/>
  <c r="AB10" i="23"/>
  <c r="AB80" i="23"/>
  <c r="AB58" i="23"/>
  <c r="AB34" i="23"/>
  <c r="AB77" i="23"/>
  <c r="AB65" i="23"/>
  <c r="AB39" i="23"/>
  <c r="AB86" i="23"/>
  <c r="AB55" i="23"/>
  <c r="AB36" i="23"/>
  <c r="AB81" i="23"/>
  <c r="AB47" i="23"/>
  <c r="AB24" i="23"/>
  <c r="AB61" i="23"/>
  <c r="AB41" i="23"/>
  <c r="AB66" i="23"/>
  <c r="AB63" i="23"/>
  <c r="AB38" i="23"/>
  <c r="AB46" i="23"/>
  <c r="AB62" i="23"/>
  <c r="AB42" i="23"/>
  <c r="AB52" i="23"/>
  <c r="AB37" i="23"/>
  <c r="AB87" i="23"/>
  <c r="AB60" i="23"/>
  <c r="AB85" i="23"/>
  <c r="AB48" i="23"/>
  <c r="AB33" i="23"/>
  <c r="AB70" i="23"/>
  <c r="AB26" i="23"/>
  <c r="AB9" i="23"/>
  <c r="AB20" i="23"/>
  <c r="AB84" i="23"/>
  <c r="AB82" i="23"/>
  <c r="AB79" i="23"/>
  <c r="AB29" i="23"/>
  <c r="AB43" i="23"/>
  <c r="AB15" i="23"/>
  <c r="AB68" i="23"/>
  <c r="AB83" i="23"/>
  <c r="AB51" i="23"/>
  <c r="AB69" i="23"/>
  <c r="AB25" i="23"/>
  <c r="AB45" i="23"/>
  <c r="P51" i="23"/>
  <c r="AA51" i="23"/>
  <c r="P34" i="23"/>
  <c r="AA34" i="23"/>
  <c r="Z34" i="23"/>
  <c r="P45" i="23"/>
  <c r="AA45" i="23"/>
  <c r="Z45" i="23"/>
  <c r="P79" i="23"/>
  <c r="Z79" i="23"/>
  <c r="P58" i="23"/>
  <c r="AA58" i="23"/>
  <c r="P84" i="23"/>
  <c r="AA84" i="23"/>
  <c r="P85" i="23"/>
  <c r="AA85" i="23"/>
  <c r="Z54" i="23"/>
  <c r="Z24" i="23"/>
  <c r="P32" i="23"/>
  <c r="AA32" i="23"/>
  <c r="Z32" i="23"/>
  <c r="P52" i="23"/>
  <c r="AA52" i="23"/>
  <c r="Z22" i="23"/>
  <c r="Z55" i="23"/>
  <c r="Z5" i="23"/>
  <c r="P12" i="23"/>
  <c r="AA12" i="23"/>
  <c r="Z85" i="23"/>
  <c r="AA28" i="23"/>
  <c r="P70" i="23"/>
  <c r="Z70" i="23"/>
  <c r="Z14" i="23"/>
  <c r="AA16" i="23"/>
  <c r="P59" i="23"/>
  <c r="Z59" i="23"/>
  <c r="AA59" i="23"/>
  <c r="P15" i="23"/>
  <c r="AA15" i="23"/>
  <c r="P30" i="23"/>
  <c r="Z30" i="23"/>
  <c r="P43" i="23"/>
  <c r="AA43" i="23"/>
  <c r="Z76" i="23"/>
  <c r="P25" i="23"/>
  <c r="Z25" i="23"/>
  <c r="P33" i="23"/>
  <c r="Z33" i="23"/>
  <c r="AI12" i="28" l="1"/>
  <c r="J18" i="33" s="1"/>
  <c r="AJ15" i="30"/>
  <c r="L20" i="33" s="1"/>
  <c r="K20" i="33"/>
  <c r="AJ12" i="30"/>
  <c r="J20" i="33" s="1"/>
  <c r="I20" i="33"/>
  <c r="AJ9" i="30"/>
  <c r="H20" i="33" s="1"/>
  <c r="G20" i="33"/>
  <c r="K19" i="33"/>
  <c r="AJ15" i="29"/>
  <c r="L19" i="33" s="1"/>
  <c r="I19" i="33"/>
  <c r="AJ12" i="29"/>
  <c r="J19" i="33" s="1"/>
  <c r="G19" i="33"/>
  <c r="AJ9" i="29"/>
  <c r="H19" i="33" s="1"/>
  <c r="K18" i="33"/>
  <c r="AI15" i="28"/>
  <c r="L18" i="33" s="1"/>
  <c r="AI9" i="28"/>
  <c r="H18" i="33" s="1"/>
  <c r="G18" i="33"/>
  <c r="AK15" i="24"/>
  <c r="L17" i="33" s="1"/>
  <c r="K17" i="33"/>
  <c r="I17" i="33"/>
  <c r="AK12" i="24"/>
  <c r="J17" i="33" s="1"/>
  <c r="AC66" i="24"/>
  <c r="AC67" i="24" s="1"/>
  <c r="AK8" i="24"/>
  <c r="AC66" i="28"/>
  <c r="AC67" i="28" s="1"/>
  <c r="AC66" i="30"/>
  <c r="AC67" i="30" s="1"/>
  <c r="AC66" i="29"/>
  <c r="AC67" i="29" s="1"/>
  <c r="P67" i="24"/>
  <c r="U89" i="23"/>
  <c r="U85" i="23"/>
  <c r="U81" i="23"/>
  <c r="U77" i="23"/>
  <c r="U73" i="23"/>
  <c r="U69" i="23"/>
  <c r="U65" i="23"/>
  <c r="U61" i="23"/>
  <c r="U57" i="23"/>
  <c r="U53" i="23"/>
  <c r="U49" i="23"/>
  <c r="U45" i="23"/>
  <c r="U78" i="23"/>
  <c r="U68" i="23"/>
  <c r="U67" i="23"/>
  <c r="U43" i="23"/>
  <c r="U29" i="23"/>
  <c r="U88" i="23"/>
  <c r="U87" i="23"/>
  <c r="U66" i="23"/>
  <c r="U56" i="23"/>
  <c r="U55" i="23"/>
  <c r="U46" i="23"/>
  <c r="U38" i="23"/>
  <c r="U34" i="23"/>
  <c r="U30" i="23"/>
  <c r="U86" i="23"/>
  <c r="U76" i="23"/>
  <c r="U75" i="23"/>
  <c r="U54" i="23"/>
  <c r="U25" i="23"/>
  <c r="U74" i="23"/>
  <c r="U64" i="23"/>
  <c r="U63" i="23"/>
  <c r="U42" i="23"/>
  <c r="U39" i="23"/>
  <c r="U35" i="23"/>
  <c r="U31" i="23"/>
  <c r="U84" i="23"/>
  <c r="U83" i="23"/>
  <c r="U62" i="23"/>
  <c r="U52" i="23"/>
  <c r="U51" i="23"/>
  <c r="U48" i="23"/>
  <c r="U26" i="23"/>
  <c r="U82" i="23"/>
  <c r="U72" i="23"/>
  <c r="U71" i="23"/>
  <c r="U40" i="23"/>
  <c r="U36" i="23"/>
  <c r="U32" i="23"/>
  <c r="U27" i="23"/>
  <c r="U70" i="23"/>
  <c r="U60" i="23"/>
  <c r="U59" i="23"/>
  <c r="U47" i="23"/>
  <c r="U44" i="23"/>
  <c r="U20" i="23"/>
  <c r="U12" i="23"/>
  <c r="U7" i="23"/>
  <c r="U80" i="23"/>
  <c r="U58" i="23"/>
  <c r="U24" i="23"/>
  <c r="U14" i="23"/>
  <c r="U13" i="23"/>
  <c r="U79" i="23"/>
  <c r="U50" i="23"/>
  <c r="U18" i="23"/>
  <c r="U15" i="23"/>
  <c r="U21" i="23"/>
  <c r="U9" i="23"/>
  <c r="U16" i="23"/>
  <c r="U10" i="23"/>
  <c r="U17" i="23"/>
  <c r="U33" i="23"/>
  <c r="U37" i="23"/>
  <c r="U28" i="23"/>
  <c r="U19" i="23"/>
  <c r="U11" i="23"/>
  <c r="U6" i="23"/>
  <c r="U41" i="23"/>
  <c r="U22" i="23"/>
  <c r="U3" i="23"/>
  <c r="U23" i="23"/>
  <c r="U4" i="23"/>
  <c r="U5" i="23"/>
  <c r="U8" i="23"/>
  <c r="AC12" i="23"/>
  <c r="AC14" i="23"/>
  <c r="AC13" i="23"/>
  <c r="AC11" i="23"/>
  <c r="AC22" i="23"/>
  <c r="AC7" i="23"/>
  <c r="AC3" i="23"/>
  <c r="AC15" i="23"/>
  <c r="AC10" i="23"/>
  <c r="AC16" i="23"/>
  <c r="AC25" i="23"/>
  <c r="AC82" i="23"/>
  <c r="AC66" i="23"/>
  <c r="AC50" i="23"/>
  <c r="AC28" i="23"/>
  <c r="AC29" i="23"/>
  <c r="AC34" i="23"/>
  <c r="AC43" i="23"/>
  <c r="AC75" i="23"/>
  <c r="AC9" i="23"/>
  <c r="AC48" i="23"/>
  <c r="AC63" i="23"/>
  <c r="AC78" i="23"/>
  <c r="AC62" i="23"/>
  <c r="AC46" i="23"/>
  <c r="AC18" i="23"/>
  <c r="AC84" i="23"/>
  <c r="AC68" i="23"/>
  <c r="AC52" i="23"/>
  <c r="AC77" i="23"/>
  <c r="AC35" i="23"/>
  <c r="AC53" i="23"/>
  <c r="AC36" i="23"/>
  <c r="AC4" i="23"/>
  <c r="AC73" i="23"/>
  <c r="AC19" i="23"/>
  <c r="AC21" i="23"/>
  <c r="AC74" i="23"/>
  <c r="AC58" i="23"/>
  <c r="AC42" i="23"/>
  <c r="AC49" i="23"/>
  <c r="AC85" i="23"/>
  <c r="AC20" i="23"/>
  <c r="AC86" i="23"/>
  <c r="AC54" i="23"/>
  <c r="AC61" i="23"/>
  <c r="AC33" i="23"/>
  <c r="AC44" i="23"/>
  <c r="AC24" i="23"/>
  <c r="AC59" i="23"/>
  <c r="AC39" i="23"/>
  <c r="AC40" i="23"/>
  <c r="AC72" i="23"/>
  <c r="AC71" i="23"/>
  <c r="AC41" i="23"/>
  <c r="AC57" i="23"/>
  <c r="AC67" i="23"/>
  <c r="AC26" i="23"/>
  <c r="AC23" i="23"/>
  <c r="AC8" i="23"/>
  <c r="AC64" i="23"/>
  <c r="AC79" i="23"/>
  <c r="AC27" i="23"/>
  <c r="AC45" i="23"/>
  <c r="AC5" i="23"/>
  <c r="AC76" i="23"/>
  <c r="AC81" i="23"/>
  <c r="AC47" i="23"/>
  <c r="AC55" i="23"/>
  <c r="AC83" i="23"/>
  <c r="AC51" i="23"/>
  <c r="AC31" i="23"/>
  <c r="AC32" i="23"/>
  <c r="AC37" i="23"/>
  <c r="AC70" i="23"/>
  <c r="AC60" i="23"/>
  <c r="AC38" i="23"/>
  <c r="AC65" i="23"/>
  <c r="AC89" i="23"/>
  <c r="AC80" i="23"/>
  <c r="AC56" i="23"/>
  <c r="AC30" i="23"/>
  <c r="AC87" i="23"/>
  <c r="AC17" i="23"/>
  <c r="AC6" i="23"/>
  <c r="AC88" i="23"/>
  <c r="AC69" i="23"/>
  <c r="J7" i="23"/>
  <c r="I16" i="23"/>
  <c r="G17" i="33" l="1"/>
  <c r="AK9" i="24"/>
  <c r="H17" i="33" s="1"/>
  <c r="AD7" i="23"/>
  <c r="AD14" i="23"/>
  <c r="AD13" i="23"/>
  <c r="AD15" i="23"/>
  <c r="AD17" i="23"/>
  <c r="AD52" i="23"/>
  <c r="AD6" i="23"/>
  <c r="AD5" i="23"/>
  <c r="AD3" i="23"/>
  <c r="AD23" i="23"/>
  <c r="AD4" i="23"/>
  <c r="AD8" i="23"/>
  <c r="AD11" i="23"/>
  <c r="AD83" i="23"/>
  <c r="AD28" i="23"/>
  <c r="AD9" i="23"/>
  <c r="AD77" i="23"/>
  <c r="AD45" i="23"/>
  <c r="AD59" i="23"/>
  <c r="AD58" i="23"/>
  <c r="AD31" i="23"/>
  <c r="AD54" i="23"/>
  <c r="AD36" i="23"/>
  <c r="AD20" i="23"/>
  <c r="AD85" i="23"/>
  <c r="AD53" i="23"/>
  <c r="AD33" i="23"/>
  <c r="AD65" i="23"/>
  <c r="AD41" i="23"/>
  <c r="AD38" i="23"/>
  <c r="AD56" i="23"/>
  <c r="AD74" i="23"/>
  <c r="AD12" i="23"/>
  <c r="AD62" i="23"/>
  <c r="AD10" i="23"/>
  <c r="AD84" i="23"/>
  <c r="AD19" i="23"/>
  <c r="AD16" i="23"/>
  <c r="AD61" i="23"/>
  <c r="AD70" i="23"/>
  <c r="AD34" i="23"/>
  <c r="AD43" i="23"/>
  <c r="AD88" i="23"/>
  <c r="AD42" i="23"/>
  <c r="AD64" i="23"/>
  <c r="AD21" i="23"/>
  <c r="AD18" i="23"/>
  <c r="AD22" i="23"/>
  <c r="AD25" i="23"/>
  <c r="AD27" i="23"/>
  <c r="AD57" i="23"/>
  <c r="AD76" i="23"/>
  <c r="AD63" i="23"/>
  <c r="AD49" i="23"/>
  <c r="AD82" i="23"/>
  <c r="AD47" i="23"/>
  <c r="AD79" i="23"/>
  <c r="AD46" i="23"/>
  <c r="AD81" i="23"/>
  <c r="AD67" i="23"/>
  <c r="AD73" i="23"/>
  <c r="AD29" i="23"/>
  <c r="AD80" i="23"/>
  <c r="AD66" i="23"/>
  <c r="AD75" i="23"/>
  <c r="AD40" i="23"/>
  <c r="AD68" i="23"/>
  <c r="AD51" i="23"/>
  <c r="AD35" i="23"/>
  <c r="AD86" i="23"/>
  <c r="AD69" i="23"/>
  <c r="AD72" i="23"/>
  <c r="AD24" i="23"/>
  <c r="AD60" i="23"/>
  <c r="AD78" i="23"/>
  <c r="AD87" i="23"/>
  <c r="AD55" i="23"/>
  <c r="AD26" i="23"/>
  <c r="AD50" i="23"/>
  <c r="AD30" i="23"/>
  <c r="AD32" i="23"/>
  <c r="AD37" i="23"/>
  <c r="AD89" i="23"/>
  <c r="AD71" i="23"/>
  <c r="AD44" i="23"/>
  <c r="AD39" i="23"/>
  <c r="AD48" i="23"/>
  <c r="J16" i="23"/>
  <c r="V87" i="23"/>
  <c r="V83" i="23"/>
  <c r="V79" i="23"/>
  <c r="V75" i="23"/>
  <c r="V71" i="23"/>
  <c r="V67" i="23"/>
  <c r="V63" i="23"/>
  <c r="V59" i="23"/>
  <c r="V55" i="23"/>
  <c r="V51" i="23"/>
  <c r="V47" i="23"/>
  <c r="V43" i="23"/>
  <c r="V89" i="23"/>
  <c r="V85" i="23"/>
  <c r="V81" i="23"/>
  <c r="V77" i="23"/>
  <c r="V73" i="23"/>
  <c r="V69" i="23"/>
  <c r="V65" i="23"/>
  <c r="V61" i="23"/>
  <c r="V57" i="23"/>
  <c r="V53" i="23"/>
  <c r="V88" i="23"/>
  <c r="V66" i="23"/>
  <c r="V56" i="23"/>
  <c r="V46" i="23"/>
  <c r="V38" i="23"/>
  <c r="V34" i="23"/>
  <c r="V30" i="23"/>
  <c r="V86" i="23"/>
  <c r="V76" i="23"/>
  <c r="V54" i="23"/>
  <c r="V49" i="23"/>
  <c r="V25" i="23"/>
  <c r="V74" i="23"/>
  <c r="V64" i="23"/>
  <c r="V42" i="23"/>
  <c r="V39" i="23"/>
  <c r="V35" i="23"/>
  <c r="V31" i="23"/>
  <c r="V84" i="23"/>
  <c r="V62" i="23"/>
  <c r="V52" i="23"/>
  <c r="V48" i="23"/>
  <c r="V45" i="23"/>
  <c r="V82" i="23"/>
  <c r="V72" i="23"/>
  <c r="V40" i="23"/>
  <c r="V36" i="23"/>
  <c r="V32" i="23"/>
  <c r="V27" i="23"/>
  <c r="V70" i="23"/>
  <c r="V60" i="23"/>
  <c r="V44" i="23"/>
  <c r="V80" i="23"/>
  <c r="V58" i="23"/>
  <c r="V50" i="23"/>
  <c r="V41" i="23"/>
  <c r="V37" i="23"/>
  <c r="V33" i="23"/>
  <c r="V28" i="23"/>
  <c r="V24" i="23"/>
  <c r="V14" i="23"/>
  <c r="V13" i="23"/>
  <c r="V7" i="23"/>
  <c r="V8" i="23"/>
  <c r="V9" i="23"/>
  <c r="V26" i="23"/>
  <c r="V18" i="23"/>
  <c r="V15" i="23"/>
  <c r="V21" i="23"/>
  <c r="V78" i="23"/>
  <c r="V29" i="23"/>
  <c r="V16" i="23"/>
  <c r="V10" i="23"/>
  <c r="V19" i="23"/>
  <c r="V20" i="23"/>
  <c r="V12" i="23"/>
  <c r="V22" i="23"/>
  <c r="V11" i="23"/>
  <c r="V3" i="23"/>
  <c r="V17" i="23"/>
  <c r="V68" i="23"/>
  <c r="V23" i="23"/>
  <c r="V6" i="23"/>
  <c r="V5" i="23"/>
  <c r="V4" i="23"/>
  <c r="D3" i="23" l="1"/>
  <c r="A5" i="23" l="1"/>
  <c r="A4" i="23"/>
  <c r="B1" i="23"/>
</calcChain>
</file>

<file path=xl/sharedStrings.xml><?xml version="1.0" encoding="utf-8"?>
<sst xmlns="http://schemas.openxmlformats.org/spreadsheetml/2006/main" count="2648" uniqueCount="135">
  <si>
    <t>Distribuidora</t>
  </si>
  <si>
    <t>A4</t>
  </si>
  <si>
    <t>*exercer take de contrato</t>
  </si>
  <si>
    <t>Mês - Ano</t>
  </si>
  <si>
    <t>Horas Mês</t>
  </si>
  <si>
    <t>Demanda Registrada Ponta (kW)</t>
  </si>
  <si>
    <t>Demanda Contratada Ponta (kW)</t>
  </si>
  <si>
    <t>Demanda Contratada Fora Ponta (kW)</t>
  </si>
  <si>
    <t>Ultrapassagem Ponta</t>
  </si>
  <si>
    <t>Ultrapassagem Fora Ponta</t>
  </si>
  <si>
    <t>Consumo Ponta (MWh)</t>
  </si>
  <si>
    <t>Consumo Fora Ponta (MWh)</t>
  </si>
  <si>
    <t>% DescontoPor Fonte de Energia</t>
  </si>
  <si>
    <t>Grupo</t>
  </si>
  <si>
    <t>Tarifas (R$/MWh)</t>
  </si>
  <si>
    <t>TUSD Demanda Ponta</t>
  </si>
  <si>
    <t>TUSD Demanda Fora Ponta</t>
  </si>
  <si>
    <t>TUSD Encargos Ponta - Verde</t>
  </si>
  <si>
    <t>TUSD Encargos Fora Ponta</t>
  </si>
  <si>
    <t>TE Ponta</t>
  </si>
  <si>
    <t>TE Fora Ponta</t>
  </si>
  <si>
    <t>Alíquota ICMS</t>
  </si>
  <si>
    <t>Aliquota PIS/COFINS</t>
  </si>
  <si>
    <t>Demanda Ponta (R$)</t>
  </si>
  <si>
    <t>Ultrapassagem de Demanda Ponta (R$)</t>
  </si>
  <si>
    <t>Demanda Fora Ponta (R$)</t>
  </si>
  <si>
    <t>Ultrapassagem de Demanda F. Ponta (R$)</t>
  </si>
  <si>
    <t>Consumo Ponta (R$)</t>
  </si>
  <si>
    <t>Consumo Fora Ponta (R$)</t>
  </si>
  <si>
    <t>Total Distribuição (R$)</t>
  </si>
  <si>
    <t>Total Impostos Distribuição (R$)</t>
  </si>
  <si>
    <t>Valor Desconto Demanda Ponta (R$)</t>
  </si>
  <si>
    <t>Valor Desconto Demanda F. Ponta (R$)</t>
  </si>
  <si>
    <t>Valor Desconto TUSD Enc Ponta (R$)</t>
  </si>
  <si>
    <t>Contrato de Energia - MWm</t>
  </si>
  <si>
    <t>Contrato de Energia - MWh</t>
  </si>
  <si>
    <t>Flexibilidade Superior - 10%</t>
  </si>
  <si>
    <t>Flexibilidade Inferior - 10%</t>
  </si>
  <si>
    <t>Montante Contratado - MWh</t>
  </si>
  <si>
    <t>Valor Unitário Energia - R$/MWh</t>
  </si>
  <si>
    <t>Total Energia - R$</t>
  </si>
  <si>
    <t>Demanda Registrada fora de Ponta (kW)</t>
  </si>
  <si>
    <t>Verde</t>
  </si>
  <si>
    <t>*Apresenta Ultrapassagens</t>
  </si>
  <si>
    <t>Energisa MT</t>
  </si>
  <si>
    <t>Consumo médio</t>
  </si>
  <si>
    <t>D</t>
  </si>
  <si>
    <t>EMT</t>
  </si>
  <si>
    <t xml:space="preserve"> </t>
  </si>
  <si>
    <t>AZUL</t>
  </si>
  <si>
    <t>FCP</t>
  </si>
  <si>
    <t>CONS</t>
  </si>
  <si>
    <t>VERDE</t>
  </si>
  <si>
    <t>CONS P</t>
  </si>
  <si>
    <t>Último Reajuste</t>
  </si>
  <si>
    <t xml:space="preserve">Subgrupo </t>
  </si>
  <si>
    <t>TARIFAS</t>
  </si>
  <si>
    <t>Demanda Contratada Ponta - kW</t>
  </si>
  <si>
    <t>DFP</t>
  </si>
  <si>
    <t>Demanda Contratada Fora Ponta kW</t>
  </si>
  <si>
    <t>DP</t>
  </si>
  <si>
    <t>DP (R$/kW)</t>
  </si>
  <si>
    <t>Consumo Ponta - MWh</t>
  </si>
  <si>
    <t>DFP (R$/kW)</t>
  </si>
  <si>
    <t>Consumo Fora Ponta - MWh</t>
  </si>
  <si>
    <t>EP</t>
  </si>
  <si>
    <t>EP (R$/MWh)</t>
  </si>
  <si>
    <t>EFP</t>
  </si>
  <si>
    <t>EFP (R$/MWh)</t>
  </si>
  <si>
    <t>TEEP (R$/MWh)</t>
  </si>
  <si>
    <t>TEFP (R$/MWh)</t>
  </si>
  <si>
    <t>TUSD Demanda Ponta Azul</t>
  </si>
  <si>
    <t>TUSD Encardo Ponta Verde</t>
  </si>
  <si>
    <t>TUSD Encardo Fora Ponta</t>
  </si>
  <si>
    <t>Volume de Energia (MWh)</t>
  </si>
  <si>
    <t>Preço da Energia (R$/MWh)</t>
  </si>
  <si>
    <t>Valor da Energia (R$)</t>
  </si>
  <si>
    <t>INPUTS</t>
  </si>
  <si>
    <t>P</t>
  </si>
  <si>
    <t>FP</t>
  </si>
  <si>
    <t>ICMS da Energia  (R$)</t>
  </si>
  <si>
    <t>DEMANDAS</t>
  </si>
  <si>
    <t>Custo Total com energia  (R$)</t>
  </si>
  <si>
    <t>HORAS MÊS</t>
  </si>
  <si>
    <t>CONSUMO (MWm)</t>
  </si>
  <si>
    <t>Desconto de mais 50% (R$)</t>
  </si>
  <si>
    <t>% CONSUMO PONTA</t>
  </si>
  <si>
    <t>Resultado - R$</t>
  </si>
  <si>
    <t>FC CORRESP</t>
  </si>
  <si>
    <t>.</t>
  </si>
  <si>
    <t>-</t>
  </si>
  <si>
    <t>%C ponta</t>
  </si>
  <si>
    <t>PREMISSAS</t>
  </si>
  <si>
    <t>CONVENCIONAL</t>
  </si>
  <si>
    <t>INCENTIVA 50%</t>
  </si>
  <si>
    <t>INCENTIVADA 100%</t>
  </si>
  <si>
    <t>% DESC</t>
  </si>
  <si>
    <t>PREÇOS</t>
  </si>
  <si>
    <t>Total Mercado Livre - R$</t>
  </si>
  <si>
    <t>MERCADO CATIVO</t>
  </si>
  <si>
    <t>MERCADO LIVRE</t>
  </si>
  <si>
    <t>Demanda Ponta - R$</t>
  </si>
  <si>
    <t>Demanda Fora Ponta - R$</t>
  </si>
  <si>
    <t>Consumo Ponta - Encargos - R$</t>
  </si>
  <si>
    <t>Consumo F Ponta - Encargos - R$</t>
  </si>
  <si>
    <t>Consumo Ponta - Tarifa de Energia - R$</t>
  </si>
  <si>
    <t>Consumo F Ponta - Tarifa de Energia - R$</t>
  </si>
  <si>
    <t>Adicional de bandeira tarifária</t>
  </si>
  <si>
    <t>Faixas de Bandeira</t>
  </si>
  <si>
    <t>Custo total - R$</t>
  </si>
  <si>
    <t>Total Impostos - R$</t>
  </si>
  <si>
    <t>Benefício Mensal - R$</t>
  </si>
  <si>
    <t>Benefício %</t>
  </si>
  <si>
    <t>UC</t>
  </si>
  <si>
    <t xml:space="preserve"> UC1 682856</t>
  </si>
  <si>
    <t>UC2 112369</t>
  </si>
  <si>
    <t>UC3 1169414</t>
  </si>
  <si>
    <t>UC4 1377100</t>
  </si>
  <si>
    <t>UC5 1849938</t>
  </si>
  <si>
    <t>UC6 65139</t>
  </si>
  <si>
    <t>Demanda contratada</t>
  </si>
  <si>
    <t>Grupo tarifario</t>
  </si>
  <si>
    <t>INCENTIVADA 50%</t>
  </si>
  <si>
    <t>Custo anual Mercado livre Incentivada 50%</t>
  </si>
  <si>
    <t>Custo anual Mercado cativo</t>
  </si>
  <si>
    <t>% Economia</t>
  </si>
  <si>
    <t>Custo anual Mercado livre Incentivada 100%</t>
  </si>
  <si>
    <t>Custo anual Mercado livre Convencional</t>
  </si>
  <si>
    <t>MERCADO LIVRE  CONVENCIONAL</t>
  </si>
  <si>
    <t>MERCADO LIVRE TRADICIONAL</t>
  </si>
  <si>
    <t>MERCADO LIVRE CONVENCIONAL</t>
  </si>
  <si>
    <t>KW</t>
  </si>
  <si>
    <t>CONV</t>
  </si>
  <si>
    <t>I5</t>
  </si>
  <si>
    <t>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</si>
</sst>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-* #,##0.000_-;\-* #,##0.000_-;_-* &quot;-&quot;??_-;_-@_-"/>
    <numFmt numFmtId="165" formatCode="[$-416]mmm\-yy;@"/>
    <numFmt numFmtId="166" formatCode="#,##0.000"/>
    <numFmt numFmtId="167" formatCode="_-* #,##0_-;\-* #,##0_-;_-* &quot;-&quot;??_-;_-@_-"/>
    <numFmt numFmtId="168" formatCode="#,##0.00000"/>
    <numFmt numFmtId="169" formatCode="0.0%"/>
  </numFmts>
  <fonts count="2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entury Gothic"/>
      <family val="2"/>
    </font>
    <font>
      <sz val="11"/>
      <color theme="0"/>
      <name val="Century Gothic"/>
      <family val="2"/>
    </font>
    <font>
      <b/>
      <sz val="11"/>
      <color theme="0"/>
      <name val="Century Gothic"/>
      <family val="2"/>
    </font>
    <font>
      <sz val="11"/>
      <color rgb="FF002060"/>
      <name val="Century Gothic"/>
      <family val="2"/>
    </font>
    <font>
      <b/>
      <sz val="11"/>
      <color rgb="FF002060"/>
      <name val="Century Gothic"/>
      <family val="2"/>
    </font>
    <font>
      <b/>
      <sz val="12"/>
      <color theme="0"/>
      <name val="Century Gothic"/>
      <family val="2"/>
    </font>
    <font>
      <b/>
      <sz val="12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Arial"/>
      <family val="2"/>
    </font>
    <font>
      <b/>
      <sz val="11"/>
      <color theme="1" tint="0.34998626667073579"/>
      <name val="Century Gothic"/>
      <family val="2"/>
    </font>
    <font>
      <b/>
      <sz val="10"/>
      <color theme="1" tint="0.34998626667073579"/>
      <name val="Century Gothic"/>
      <family val="2"/>
    </font>
    <font>
      <sz val="11"/>
      <color indexed="8"/>
      <name val="Calibri"/>
      <family val="2"/>
      <scheme val="minor"/>
    </font>
    <font>
      <sz val="11"/>
      <color indexed="8"/>
      <name val="Century Gothic"/>
      <family val="2"/>
    </font>
    <font>
      <sz val="10"/>
      <color theme="1"/>
      <name val="Century Gothic"/>
      <family val="2"/>
    </font>
    <font>
      <b/>
      <i/>
      <sz val="11"/>
      <color theme="1"/>
      <name val="Century Gothic"/>
      <family val="2"/>
    </font>
    <font>
      <i/>
      <sz val="11"/>
      <color theme="1"/>
      <name val="Century Gothic"/>
      <family val="2"/>
    </font>
    <font>
      <sz val="36"/>
      <color theme="1"/>
      <name val="Century Gothic"/>
      <family val="2"/>
    </font>
    <font>
      <sz val="11"/>
      <color theme="1"/>
      <name val="Calibri"/>
    </font>
    <font>
      <sz val="11"/>
      <color rgb="FF000000"/>
      <name val="Calibri"/>
    </font>
    <font>
      <b/>
      <sz val="24"/>
      <color theme="1"/>
      <name val="Century Gothic"/>
      <family val="2"/>
    </font>
    <font>
      <b/>
      <sz val="20"/>
      <color theme="1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hair">
        <color rgb="FF0070C0"/>
      </bottom>
      <diagonal/>
    </border>
    <border>
      <left/>
      <right style="thin">
        <color rgb="FF0070C0"/>
      </right>
      <top style="thin">
        <color rgb="FF0070C0"/>
      </top>
      <bottom style="hair">
        <color rgb="FF0070C0"/>
      </bottom>
      <diagonal/>
    </border>
    <border>
      <left style="thin">
        <color rgb="FF0070C0"/>
      </left>
      <right style="thin">
        <color rgb="FF0070C0"/>
      </right>
      <top style="hair">
        <color rgb="FF0070C0"/>
      </top>
      <bottom style="hair">
        <color rgb="FF0070C0"/>
      </bottom>
      <diagonal/>
    </border>
    <border>
      <left/>
      <right style="thin">
        <color rgb="FF0070C0"/>
      </right>
      <top style="hair">
        <color rgb="FF0070C0"/>
      </top>
      <bottom style="hair">
        <color rgb="FF0070C0"/>
      </bottom>
      <diagonal/>
    </border>
    <border>
      <left style="thin">
        <color rgb="FF0070C0"/>
      </left>
      <right style="thin">
        <color rgb="FF0070C0"/>
      </right>
      <top style="hair">
        <color rgb="FF0070C0"/>
      </top>
      <bottom style="thin">
        <color rgb="FF0070C0"/>
      </bottom>
      <diagonal/>
    </border>
    <border>
      <left/>
      <right style="thin">
        <color rgb="FF0070C0"/>
      </right>
      <top style="hair">
        <color rgb="FF0070C0"/>
      </top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hair">
        <color rgb="FF0070C0"/>
      </top>
      <bottom/>
      <diagonal/>
    </border>
    <border>
      <left/>
      <right style="thin">
        <color rgb="FF0070C0"/>
      </right>
      <top style="hair">
        <color rgb="FF0070C0"/>
      </top>
      <bottom/>
      <diagonal/>
    </border>
    <border>
      <left/>
      <right style="thin">
        <color rgb="FF0070C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 style="hair">
        <color rgb="FF0070C0"/>
      </bottom>
      <diagonal/>
    </border>
    <border>
      <left/>
      <right style="thin">
        <color rgb="FF0070C0"/>
      </right>
      <top/>
      <bottom style="hair">
        <color rgb="FF0070C0"/>
      </bottom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70C0"/>
      </left>
      <right/>
      <top style="hair">
        <color rgb="FF0070C0"/>
      </top>
      <bottom style="hair">
        <color rgb="FF0070C0"/>
      </bottom>
      <diagonal/>
    </border>
    <border>
      <left/>
      <right/>
      <top style="hair">
        <color rgb="FF0070C0"/>
      </top>
      <bottom style="hair">
        <color rgb="FF0070C0"/>
      </bottom>
      <diagonal/>
    </border>
    <border>
      <left style="thin">
        <color rgb="FF000000"/>
      </left>
      <right/>
      <top/>
      <bottom/>
      <diagonal/>
    </border>
    <border>
      <left/>
      <right/>
      <top style="hair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hair">
        <color rgb="FF0070C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70C0"/>
      </top>
      <bottom/>
      <diagonal/>
    </border>
    <border>
      <left/>
      <right style="thin">
        <color rgb="FF000000"/>
      </right>
      <top style="thin">
        <color rgb="FF0070C0"/>
      </top>
      <bottom/>
      <diagonal/>
    </border>
  </borders>
  <cellStyleXfs count="10">
    <xf numFmtId="0" fontId="0" fillId="0" borderId="0"/>
    <xf numFmtId="0" fontId="3" fillId="0" borderId="1"/>
    <xf numFmtId="43" fontId="3" fillId="0" borderId="1" applyFont="0" applyFill="0" applyBorder="0" applyAlignment="0" applyProtection="0"/>
    <xf numFmtId="9" fontId="3" fillId="0" borderId="1" applyFont="0" applyFill="0" applyBorder="0" applyAlignment="0" applyProtection="0"/>
    <xf numFmtId="9" fontId="14" fillId="0" borderId="0" applyFont="0" applyFill="0" applyBorder="0" applyAlignment="0" applyProtection="0"/>
    <xf numFmtId="0" fontId="2" fillId="0" borderId="1"/>
    <xf numFmtId="43" fontId="2" fillId="0" borderId="1" applyFont="0" applyFill="0" applyBorder="0" applyAlignment="0" applyProtection="0"/>
    <xf numFmtId="0" fontId="17" fillId="0" borderId="1"/>
    <xf numFmtId="9" fontId="2" fillId="0" borderId="1" applyFont="0" applyFill="0" applyBorder="0" applyAlignment="0" applyProtection="0"/>
    <xf numFmtId="43" fontId="1" fillId="0" borderId="1" applyFont="0" applyFill="0" applyBorder="0" applyAlignment="0" applyProtection="0"/>
  </cellStyleXfs>
  <cellXfs count="199">
    <xf numFmtId="0" fontId="0" fillId="0" borderId="0" xfId="0" applyFont="1" applyAlignment="1"/>
    <xf numFmtId="0" fontId="6" fillId="0" borderId="1" xfId="1" applyFont="1"/>
    <xf numFmtId="0" fontId="7" fillId="0" borderId="1" xfId="1" applyFont="1"/>
    <xf numFmtId="0" fontId="7" fillId="0" borderId="1" xfId="1" applyFont="1" applyAlignment="1">
      <alignment horizontal="center"/>
    </xf>
    <xf numFmtId="0" fontId="6" fillId="0" borderId="1" xfId="1" applyFont="1" applyAlignment="1">
      <alignment horizontal="center"/>
    </xf>
    <xf numFmtId="0" fontId="3" fillId="0" borderId="1" xfId="1"/>
    <xf numFmtId="0" fontId="8" fillId="2" borderId="7" xfId="1" applyFont="1" applyFill="1" applyBorder="1" applyAlignment="1">
      <alignment horizontal="center" vertical="center" wrapText="1"/>
    </xf>
    <xf numFmtId="165" fontId="8" fillId="2" borderId="8" xfId="1" applyNumberFormat="1" applyFont="1" applyFill="1" applyBorder="1" applyAlignment="1">
      <alignment horizontal="center" vertical="center" wrapText="1"/>
    </xf>
    <xf numFmtId="4" fontId="6" fillId="0" borderId="6" xfId="2" applyNumberFormat="1" applyFont="1" applyBorder="1" applyAlignment="1">
      <alignment horizontal="center" vertical="center"/>
    </xf>
    <xf numFmtId="3" fontId="6" fillId="3" borderId="10" xfId="2" applyNumberFormat="1" applyFont="1" applyFill="1" applyBorder="1" applyAlignment="1">
      <alignment horizontal="center" vertical="center"/>
    </xf>
    <xf numFmtId="3" fontId="6" fillId="3" borderId="11" xfId="2" applyNumberFormat="1" applyFont="1" applyFill="1" applyBorder="1" applyAlignment="1">
      <alignment horizontal="center" vertical="center"/>
    </xf>
    <xf numFmtId="3" fontId="6" fillId="0" borderId="12" xfId="2" applyNumberFormat="1" applyFont="1" applyBorder="1" applyAlignment="1">
      <alignment horizontal="center" vertical="center"/>
    </xf>
    <xf numFmtId="3" fontId="6" fillId="0" borderId="13" xfId="2" applyNumberFormat="1" applyFont="1" applyBorder="1" applyAlignment="1">
      <alignment horizontal="center" vertical="center"/>
    </xf>
    <xf numFmtId="3" fontId="6" fillId="3" borderId="12" xfId="2" applyNumberFormat="1" applyFont="1" applyFill="1" applyBorder="1" applyAlignment="1">
      <alignment horizontal="center" vertical="center"/>
    </xf>
    <xf numFmtId="3" fontId="6" fillId="3" borderId="13" xfId="2" applyNumberFormat="1" applyFont="1" applyFill="1" applyBorder="1" applyAlignment="1">
      <alignment horizontal="center" vertical="center"/>
    </xf>
    <xf numFmtId="4" fontId="6" fillId="3" borderId="12" xfId="2" applyNumberFormat="1" applyFont="1" applyFill="1" applyBorder="1" applyAlignment="1">
      <alignment horizontal="center" vertical="center"/>
    </xf>
    <xf numFmtId="4" fontId="6" fillId="3" borderId="13" xfId="2" applyNumberFormat="1" applyFont="1" applyFill="1" applyBorder="1" applyAlignment="1">
      <alignment horizontal="center" vertical="center"/>
    </xf>
    <xf numFmtId="4" fontId="6" fillId="0" borderId="12" xfId="2" applyNumberFormat="1" applyFont="1" applyBorder="1" applyAlignment="1">
      <alignment horizontal="center" vertical="center"/>
    </xf>
    <xf numFmtId="4" fontId="6" fillId="0" borderId="13" xfId="2" applyNumberFormat="1" applyFont="1" applyBorder="1" applyAlignment="1">
      <alignment horizontal="center" vertical="center"/>
    </xf>
    <xf numFmtId="4" fontId="6" fillId="3" borderId="14" xfId="2" applyNumberFormat="1" applyFont="1" applyFill="1" applyBorder="1" applyAlignment="1">
      <alignment horizontal="center" vertical="center"/>
    </xf>
    <xf numFmtId="4" fontId="6" fillId="3" borderId="15" xfId="2" applyNumberFormat="1" applyFont="1" applyFill="1" applyBorder="1" applyAlignment="1">
      <alignment horizontal="center" vertical="center"/>
    </xf>
    <xf numFmtId="4" fontId="6" fillId="0" borderId="14" xfId="2" applyNumberFormat="1" applyFont="1" applyBorder="1" applyAlignment="1">
      <alignment horizontal="center" vertical="center"/>
    </xf>
    <xf numFmtId="4" fontId="6" fillId="0" borderId="15" xfId="2" applyNumberFormat="1" applyFont="1" applyBorder="1" applyAlignment="1">
      <alignment horizontal="center" vertical="center"/>
    </xf>
    <xf numFmtId="4" fontId="6" fillId="0" borderId="16" xfId="2" applyNumberFormat="1" applyFont="1" applyBorder="1" applyAlignment="1">
      <alignment horizontal="center" vertical="center"/>
    </xf>
    <xf numFmtId="9" fontId="6" fillId="3" borderId="11" xfId="3" applyFont="1" applyFill="1" applyBorder="1" applyAlignment="1">
      <alignment horizontal="center" vertical="center"/>
    </xf>
    <xf numFmtId="9" fontId="6" fillId="0" borderId="14" xfId="3" applyFont="1" applyBorder="1" applyAlignment="1">
      <alignment horizontal="center" vertical="center"/>
    </xf>
    <xf numFmtId="9" fontId="6" fillId="0" borderId="15" xfId="3" applyFont="1" applyBorder="1" applyAlignment="1">
      <alignment horizontal="center" vertical="center"/>
    </xf>
    <xf numFmtId="3" fontId="6" fillId="3" borderId="10" xfId="2" applyNumberFormat="1" applyFont="1" applyFill="1" applyBorder="1" applyAlignment="1" applyProtection="1">
      <alignment horizontal="center" vertical="center"/>
      <protection hidden="1"/>
    </xf>
    <xf numFmtId="3" fontId="6" fillId="3" borderId="11" xfId="2" applyNumberFormat="1" applyFont="1" applyFill="1" applyBorder="1" applyAlignment="1" applyProtection="1">
      <alignment horizontal="center" vertical="center"/>
      <protection hidden="1"/>
    </xf>
    <xf numFmtId="3" fontId="6" fillId="0" borderId="12" xfId="2" applyNumberFormat="1" applyFont="1" applyBorder="1" applyAlignment="1" applyProtection="1">
      <alignment horizontal="center" vertical="center"/>
      <protection hidden="1"/>
    </xf>
    <xf numFmtId="3" fontId="6" fillId="0" borderId="13" xfId="2" applyNumberFormat="1" applyFont="1" applyBorder="1" applyAlignment="1" applyProtection="1">
      <alignment horizontal="center" vertical="center"/>
      <protection hidden="1"/>
    </xf>
    <xf numFmtId="3" fontId="6" fillId="3" borderId="12" xfId="2" applyNumberFormat="1" applyFont="1" applyFill="1" applyBorder="1" applyAlignment="1" applyProtection="1">
      <alignment horizontal="center" vertical="center"/>
      <protection hidden="1"/>
    </xf>
    <xf numFmtId="3" fontId="6" fillId="3" borderId="13" xfId="2" applyNumberFormat="1" applyFont="1" applyFill="1" applyBorder="1" applyAlignment="1" applyProtection="1">
      <alignment horizontal="center" vertical="center"/>
      <protection hidden="1"/>
    </xf>
    <xf numFmtId="3" fontId="6" fillId="0" borderId="17" xfId="2" applyNumberFormat="1" applyFont="1" applyBorder="1" applyAlignment="1" applyProtection="1">
      <alignment horizontal="center" vertical="center"/>
      <protection hidden="1"/>
    </xf>
    <xf numFmtId="3" fontId="6" fillId="0" borderId="18" xfId="2" applyNumberFormat="1" applyFont="1" applyBorder="1" applyAlignment="1" applyProtection="1">
      <alignment horizontal="center" vertical="center"/>
      <protection hidden="1"/>
    </xf>
    <xf numFmtId="3" fontId="6" fillId="0" borderId="14" xfId="2" applyNumberFormat="1" applyFont="1" applyBorder="1" applyAlignment="1" applyProtection="1">
      <alignment horizontal="center" vertical="center"/>
      <protection hidden="1"/>
    </xf>
    <xf numFmtId="3" fontId="6" fillId="0" borderId="15" xfId="2" applyNumberFormat="1" applyFont="1" applyBorder="1" applyAlignment="1" applyProtection="1">
      <alignment horizontal="center" vertical="center"/>
      <protection hidden="1"/>
    </xf>
    <xf numFmtId="4" fontId="6" fillId="0" borderId="19" xfId="2" applyNumberFormat="1" applyFont="1" applyBorder="1" applyAlignment="1">
      <alignment horizontal="center" vertical="center"/>
    </xf>
    <xf numFmtId="3" fontId="9" fillId="0" borderId="19" xfId="1" applyNumberFormat="1" applyFont="1" applyBorder="1" applyAlignment="1">
      <alignment horizontal="center"/>
    </xf>
    <xf numFmtId="166" fontId="6" fillId="3" borderId="13" xfId="2" applyNumberFormat="1" applyFont="1" applyFill="1" applyBorder="1" applyAlignment="1">
      <alignment horizontal="center" vertical="center"/>
    </xf>
    <xf numFmtId="166" fontId="6" fillId="0" borderId="15" xfId="2" applyNumberFormat="1" applyFont="1" applyBorder="1" applyAlignment="1">
      <alignment horizontal="center" vertical="center"/>
    </xf>
    <xf numFmtId="0" fontId="6" fillId="0" borderId="19" xfId="1" applyFont="1" applyBorder="1"/>
    <xf numFmtId="4" fontId="6" fillId="3" borderId="10" xfId="2" applyNumberFormat="1" applyFont="1" applyFill="1" applyBorder="1" applyAlignment="1">
      <alignment horizontal="center" vertical="center"/>
    </xf>
    <xf numFmtId="4" fontId="6" fillId="3" borderId="11" xfId="2" applyNumberFormat="1" applyFont="1" applyFill="1" applyBorder="1" applyAlignment="1">
      <alignment horizontal="center" vertical="center"/>
    </xf>
    <xf numFmtId="3" fontId="6" fillId="3" borderId="15" xfId="2" applyNumberFormat="1" applyFont="1" applyFill="1" applyBorder="1" applyAlignment="1">
      <alignment horizontal="center" vertical="center"/>
    </xf>
    <xf numFmtId="3" fontId="6" fillId="0" borderId="19" xfId="1" applyNumberFormat="1" applyFont="1" applyBorder="1"/>
    <xf numFmtId="3" fontId="12" fillId="0" borderId="6" xfId="2" applyNumberFormat="1" applyFont="1" applyBorder="1" applyAlignment="1">
      <alignment horizontal="center" vertical="center"/>
    </xf>
    <xf numFmtId="4" fontId="13" fillId="0" borderId="20" xfId="1" applyNumberFormat="1" applyFont="1" applyBorder="1" applyAlignment="1">
      <alignment horizontal="center" vertical="center"/>
    </xf>
    <xf numFmtId="3" fontId="7" fillId="0" borderId="1" xfId="1" applyNumberFormat="1" applyFont="1" applyAlignment="1">
      <alignment horizontal="center"/>
    </xf>
    <xf numFmtId="2" fontId="6" fillId="0" borderId="1" xfId="1" applyNumberFormat="1" applyFont="1" applyAlignment="1">
      <alignment horizontal="center"/>
    </xf>
    <xf numFmtId="14" fontId="6" fillId="0" borderId="1" xfId="5" applyNumberFormat="1" applyFont="1" applyAlignment="1">
      <alignment horizontal="center"/>
    </xf>
    <xf numFmtId="4" fontId="6" fillId="0" borderId="1" xfId="5" applyNumberFormat="1" applyFont="1" applyAlignment="1">
      <alignment horizontal="center"/>
    </xf>
    <xf numFmtId="0" fontId="6" fillId="0" borderId="1" xfId="5" applyFont="1"/>
    <xf numFmtId="0" fontId="6" fillId="0" borderId="1" xfId="5" applyFont="1" applyAlignment="1">
      <alignment horizontal="center"/>
    </xf>
    <xf numFmtId="0" fontId="6" fillId="0" borderId="1" xfId="5" applyFont="1" applyAlignment="1">
      <alignment horizontal="center" vertical="center"/>
    </xf>
    <xf numFmtId="0" fontId="15" fillId="4" borderId="7" xfId="5" applyFont="1" applyFill="1" applyBorder="1" applyAlignment="1">
      <alignment horizontal="right" vertical="center" wrapText="1"/>
    </xf>
    <xf numFmtId="4" fontId="6" fillId="0" borderId="6" xfId="6" applyNumberFormat="1" applyFont="1" applyBorder="1" applyAlignment="1">
      <alignment horizontal="center" vertical="center"/>
    </xf>
    <xf numFmtId="14" fontId="6" fillId="0" borderId="1" xfId="5" applyNumberFormat="1" applyFont="1" applyAlignment="1">
      <alignment vertical="center"/>
    </xf>
    <xf numFmtId="1" fontId="6" fillId="0" borderId="1" xfId="5" applyNumberFormat="1" applyFont="1" applyAlignment="1">
      <alignment horizontal="center"/>
    </xf>
    <xf numFmtId="1" fontId="6" fillId="0" borderId="1" xfId="5" applyNumberFormat="1" applyFont="1" applyAlignment="1">
      <alignment horizontal="center" vertical="center"/>
    </xf>
    <xf numFmtId="14" fontId="6" fillId="0" borderId="6" xfId="6" applyNumberFormat="1" applyFont="1" applyBorder="1" applyAlignment="1">
      <alignment horizontal="center" vertical="center"/>
    </xf>
    <xf numFmtId="2" fontId="6" fillId="0" borderId="1" xfId="5" applyNumberFormat="1" applyFont="1" applyAlignment="1">
      <alignment horizontal="center"/>
    </xf>
    <xf numFmtId="3" fontId="6" fillId="0" borderId="1" xfId="5" applyNumberFormat="1" applyFont="1" applyAlignment="1">
      <alignment horizontal="center"/>
    </xf>
    <xf numFmtId="0" fontId="16" fillId="4" borderId="7" xfId="5" applyFont="1" applyFill="1" applyBorder="1" applyAlignment="1">
      <alignment horizontal="right" vertical="center" wrapText="1"/>
    </xf>
    <xf numFmtId="167" fontId="6" fillId="0" borderId="6" xfId="6" applyNumberFormat="1" applyFont="1" applyBorder="1" applyAlignment="1">
      <alignment horizontal="center" vertical="center"/>
    </xf>
    <xf numFmtId="0" fontId="13" fillId="0" borderId="1" xfId="5" applyFont="1" applyAlignment="1">
      <alignment horizontal="center"/>
    </xf>
    <xf numFmtId="2" fontId="13" fillId="0" borderId="1" xfId="5" applyNumberFormat="1" applyFont="1" applyAlignment="1">
      <alignment horizontal="center"/>
    </xf>
    <xf numFmtId="164" fontId="6" fillId="0" borderId="6" xfId="6" applyNumberFormat="1" applyFont="1" applyBorder="1" applyAlignment="1">
      <alignment horizontal="center" vertical="center"/>
    </xf>
    <xf numFmtId="0" fontId="18" fillId="0" borderId="1" xfId="7" applyFont="1"/>
    <xf numFmtId="0" fontId="19" fillId="0" borderId="9" xfId="5" applyFont="1" applyBorder="1"/>
    <xf numFmtId="2" fontId="13" fillId="0" borderId="19" xfId="5" applyNumberFormat="1" applyFont="1" applyBorder="1" applyAlignment="1">
      <alignment horizontal="center"/>
    </xf>
    <xf numFmtId="164" fontId="6" fillId="5" borderId="6" xfId="6" applyNumberFormat="1" applyFont="1" applyFill="1" applyBorder="1" applyAlignment="1">
      <alignment horizontal="center" vertical="center"/>
    </xf>
    <xf numFmtId="4" fontId="6" fillId="0" borderId="1" xfId="5" applyNumberFormat="1" applyFont="1"/>
    <xf numFmtId="9" fontId="6" fillId="5" borderId="6" xfId="8" applyFont="1" applyFill="1" applyBorder="1" applyAlignment="1">
      <alignment horizontal="center" vertical="center"/>
    </xf>
    <xf numFmtId="10" fontId="6" fillId="0" borderId="1" xfId="8" applyNumberFormat="1" applyFont="1"/>
    <xf numFmtId="0" fontId="16" fillId="4" borderId="7" xfId="5" applyFont="1" applyFill="1" applyBorder="1" applyAlignment="1">
      <alignment horizontal="center" vertical="center" wrapText="1"/>
    </xf>
    <xf numFmtId="0" fontId="20" fillId="0" borderId="1" xfId="5" applyFont="1" applyAlignment="1">
      <alignment vertical="center"/>
    </xf>
    <xf numFmtId="4" fontId="6" fillId="5" borderId="6" xfId="6" applyNumberFormat="1" applyFont="1" applyFill="1" applyBorder="1" applyAlignment="1">
      <alignment horizontal="center" vertical="center"/>
    </xf>
    <xf numFmtId="0" fontId="20" fillId="0" borderId="1" xfId="5" applyFont="1" applyAlignment="1">
      <alignment horizontal="center" vertical="center"/>
    </xf>
    <xf numFmtId="4" fontId="20" fillId="0" borderId="1" xfId="5" applyNumberFormat="1" applyFont="1" applyAlignment="1">
      <alignment vertical="center"/>
    </xf>
    <xf numFmtId="4" fontId="20" fillId="0" borderId="21" xfId="5" applyNumberFormat="1" applyFont="1" applyBorder="1" applyAlignment="1">
      <alignment vertical="center"/>
    </xf>
    <xf numFmtId="4" fontId="6" fillId="0" borderId="1" xfId="5" applyNumberFormat="1" applyFont="1" applyAlignment="1">
      <alignment horizontal="center" vertical="center"/>
    </xf>
    <xf numFmtId="0" fontId="6" fillId="0" borderId="9" xfId="5" applyFont="1" applyBorder="1"/>
    <xf numFmtId="0" fontId="6" fillId="0" borderId="19" xfId="5" applyFont="1" applyBorder="1"/>
    <xf numFmtId="3" fontId="6" fillId="0" borderId="1" xfId="5" applyNumberFormat="1" applyFont="1" applyAlignment="1">
      <alignment horizontal="center" vertical="center"/>
    </xf>
    <xf numFmtId="3" fontId="6" fillId="0" borderId="1" xfId="8" applyNumberFormat="1" applyFont="1" applyFill="1" applyBorder="1" applyAlignment="1">
      <alignment horizontal="center" vertical="center"/>
    </xf>
    <xf numFmtId="4" fontId="6" fillId="0" borderId="1" xfId="8" applyNumberFormat="1" applyFont="1" applyFill="1" applyBorder="1" applyAlignment="1">
      <alignment horizontal="center" vertical="center"/>
    </xf>
    <xf numFmtId="10" fontId="6" fillId="0" borderId="1" xfId="8" applyNumberFormat="1" applyFont="1" applyFill="1" applyBorder="1" applyAlignment="1">
      <alignment horizontal="center" vertical="center"/>
    </xf>
    <xf numFmtId="3" fontId="20" fillId="0" borderId="1" xfId="5" applyNumberFormat="1" applyFont="1" applyAlignment="1">
      <alignment horizontal="center" vertical="center"/>
    </xf>
    <xf numFmtId="164" fontId="6" fillId="0" borderId="22" xfId="6" applyNumberFormat="1" applyFont="1" applyBorder="1" applyAlignment="1">
      <alignment horizontal="center" vertical="center"/>
    </xf>
    <xf numFmtId="168" fontId="6" fillId="0" borderId="1" xfId="5" applyNumberFormat="1" applyFont="1"/>
    <xf numFmtId="1" fontId="21" fillId="0" borderId="1" xfId="5" applyNumberFormat="1" applyFont="1" applyAlignment="1">
      <alignment horizontal="center" vertical="center"/>
    </xf>
    <xf numFmtId="4" fontId="6" fillId="0" borderId="1" xfId="1" applyNumberFormat="1" applyFont="1"/>
    <xf numFmtId="10" fontId="6" fillId="0" borderId="1" xfId="4" applyNumberFormat="1" applyFont="1" applyBorder="1"/>
    <xf numFmtId="0" fontId="6" fillId="0" borderId="21" xfId="1" applyFont="1" applyBorder="1"/>
    <xf numFmtId="9" fontId="6" fillId="0" borderId="21" xfId="4" applyFont="1" applyBorder="1" applyAlignment="1">
      <alignment horizontal="center"/>
    </xf>
    <xf numFmtId="4" fontId="6" fillId="0" borderId="21" xfId="1" applyNumberFormat="1" applyFont="1" applyBorder="1" applyAlignment="1">
      <alignment horizontal="center"/>
    </xf>
    <xf numFmtId="166" fontId="6" fillId="0" borderId="24" xfId="2" applyNumberFormat="1" applyFont="1" applyBorder="1" applyAlignment="1">
      <alignment horizontal="center" vertical="center"/>
    </xf>
    <xf numFmtId="166" fontId="6" fillId="3" borderId="6" xfId="2" applyNumberFormat="1" applyFont="1" applyFill="1" applyBorder="1" applyAlignment="1">
      <alignment horizontal="center" vertical="center"/>
    </xf>
    <xf numFmtId="0" fontId="6" fillId="0" borderId="25" xfId="1" applyFont="1" applyBorder="1"/>
    <xf numFmtId="0" fontId="6" fillId="0" borderId="26" xfId="1" applyFont="1" applyBorder="1"/>
    <xf numFmtId="0" fontId="6" fillId="0" borderId="1" xfId="1" applyFont="1" applyBorder="1"/>
    <xf numFmtId="4" fontId="6" fillId="3" borderId="23" xfId="2" applyNumberFormat="1" applyFont="1" applyFill="1" applyBorder="1" applyAlignment="1">
      <alignment horizontal="center" vertical="center"/>
    </xf>
    <xf numFmtId="4" fontId="6" fillId="3" borderId="24" xfId="2" applyNumberFormat="1" applyFont="1" applyFill="1" applyBorder="1" applyAlignment="1">
      <alignment horizontal="center" vertical="center"/>
    </xf>
    <xf numFmtId="0" fontId="6" fillId="0" borderId="21" xfId="1" applyFont="1" applyBorder="1" applyAlignment="1">
      <alignment horizontal="center"/>
    </xf>
    <xf numFmtId="9" fontId="12" fillId="0" borderId="6" xfId="4" applyFont="1" applyBorder="1" applyAlignment="1">
      <alignment horizontal="center" vertical="center"/>
    </xf>
    <xf numFmtId="9" fontId="13" fillId="0" borderId="20" xfId="4" applyFont="1" applyBorder="1" applyAlignment="1">
      <alignment horizontal="center" vertical="center"/>
    </xf>
    <xf numFmtId="0" fontId="9" fillId="0" borderId="1" xfId="1" applyFont="1" applyBorder="1"/>
    <xf numFmtId="0" fontId="9" fillId="0" borderId="19" xfId="1" applyFont="1" applyBorder="1"/>
    <xf numFmtId="0" fontId="10" fillId="0" borderId="1" xfId="1" applyFont="1" applyBorder="1"/>
    <xf numFmtId="2" fontId="5" fillId="3" borderId="3" xfId="0" applyNumberFormat="1" applyFont="1" applyFill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3" fontId="5" fillId="0" borderId="3" xfId="0" applyNumberFormat="1" applyFont="1" applyBorder="1" applyAlignment="1">
      <alignment horizontal="center" vertical="center"/>
    </xf>
    <xf numFmtId="1" fontId="5" fillId="3" borderId="3" xfId="0" applyNumberFormat="1" applyFont="1" applyFill="1" applyBorder="1" applyAlignment="1">
      <alignment horizontal="center" vertical="center"/>
    </xf>
    <xf numFmtId="2" fontId="4" fillId="3" borderId="2" xfId="0" applyNumberFormat="1" applyFont="1" applyFill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/>
    </xf>
    <xf numFmtId="2" fontId="5" fillId="0" borderId="3" xfId="5" applyNumberFormat="1" applyFont="1" applyBorder="1" applyAlignment="1">
      <alignment horizontal="center" vertical="center"/>
    </xf>
    <xf numFmtId="3" fontId="6" fillId="3" borderId="12" xfId="9" applyNumberFormat="1" applyFont="1" applyFill="1" applyBorder="1" applyAlignment="1">
      <alignment horizontal="center" vertical="center"/>
    </xf>
    <xf numFmtId="3" fontId="6" fillId="3" borderId="13" xfId="9" applyNumberFormat="1" applyFont="1" applyFill="1" applyBorder="1" applyAlignment="1">
      <alignment horizontal="center" vertical="center"/>
    </xf>
    <xf numFmtId="3" fontId="5" fillId="0" borderId="3" xfId="5" applyNumberFormat="1" applyFont="1" applyBorder="1" applyAlignment="1">
      <alignment horizontal="center" vertical="center"/>
    </xf>
    <xf numFmtId="3" fontId="23" fillId="0" borderId="2" xfId="0" applyNumberFormat="1" applyFont="1" applyBorder="1" applyAlignment="1">
      <alignment horizontal="center" vertical="center"/>
    </xf>
    <xf numFmtId="0" fontId="23" fillId="0" borderId="2" xfId="0" applyFont="1" applyBorder="1"/>
    <xf numFmtId="3" fontId="24" fillId="0" borderId="3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9" fontId="6" fillId="6" borderId="6" xfId="3" applyFont="1" applyFill="1" applyBorder="1" applyAlignment="1">
      <alignment horizontal="center" vertical="center"/>
    </xf>
    <xf numFmtId="4" fontId="6" fillId="6" borderId="13" xfId="2" applyNumberFormat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 wrapText="1"/>
    </xf>
    <xf numFmtId="164" fontId="7" fillId="2" borderId="6" xfId="2" applyNumberFormat="1" applyFont="1" applyFill="1" applyBorder="1" applyAlignment="1">
      <alignment horizontal="center" vertical="center"/>
    </xf>
    <xf numFmtId="164" fontId="7" fillId="2" borderId="22" xfId="2" applyNumberFormat="1" applyFont="1" applyFill="1" applyBorder="1" applyAlignment="1">
      <alignment horizontal="center" vertical="center"/>
    </xf>
    <xf numFmtId="164" fontId="7" fillId="2" borderId="5" xfId="2" applyNumberFormat="1" applyFont="1" applyFill="1" applyBorder="1" applyAlignment="1" applyProtection="1">
      <alignment horizontal="center" vertical="center"/>
      <protection hidden="1"/>
    </xf>
    <xf numFmtId="164" fontId="7" fillId="2" borderId="25" xfId="2" applyNumberFormat="1" applyFont="1" applyFill="1" applyBorder="1" applyAlignment="1" applyProtection="1">
      <alignment horizontal="center" vertical="center"/>
      <protection hidden="1"/>
    </xf>
    <xf numFmtId="164" fontId="7" fillId="2" borderId="16" xfId="2" applyNumberFormat="1" applyFont="1" applyFill="1" applyBorder="1" applyAlignment="1">
      <alignment horizontal="center" vertical="center"/>
    </xf>
    <xf numFmtId="164" fontId="11" fillId="2" borderId="6" xfId="2" applyNumberFormat="1" applyFont="1" applyFill="1" applyBorder="1" applyAlignment="1">
      <alignment horizontal="center" vertical="center"/>
    </xf>
    <xf numFmtId="4" fontId="6" fillId="0" borderId="21" xfId="1" applyNumberFormat="1" applyFont="1" applyBorder="1" applyAlignment="1">
      <alignment horizontal="center" vertical="center"/>
    </xf>
    <xf numFmtId="169" fontId="6" fillId="0" borderId="21" xfId="4" applyNumberFormat="1" applyFont="1" applyBorder="1" applyAlignment="1">
      <alignment horizontal="center" vertical="center"/>
    </xf>
    <xf numFmtId="0" fontId="6" fillId="0" borderId="1" xfId="1" applyFont="1" applyAlignment="1">
      <alignment horizontal="center" vertical="center"/>
    </xf>
    <xf numFmtId="10" fontId="7" fillId="0" borderId="1" xfId="4" applyNumberFormat="1" applyFont="1" applyBorder="1"/>
    <xf numFmtId="4" fontId="6" fillId="0" borderId="5" xfId="2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3" fontId="6" fillId="3" borderId="33" xfId="2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4" fontId="6" fillId="3" borderId="34" xfId="2" applyNumberFormat="1" applyFont="1" applyFill="1" applyBorder="1" applyAlignment="1">
      <alignment horizontal="center" vertical="center"/>
    </xf>
    <xf numFmtId="4" fontId="6" fillId="0" borderId="34" xfId="2" applyNumberFormat="1" applyFont="1" applyBorder="1" applyAlignment="1">
      <alignment horizontal="center" vertical="center"/>
    </xf>
    <xf numFmtId="2" fontId="4" fillId="0" borderId="35" xfId="0" applyNumberFormat="1" applyFont="1" applyBorder="1" applyAlignment="1">
      <alignment horizontal="center"/>
    </xf>
    <xf numFmtId="4" fontId="6" fillId="3" borderId="36" xfId="2" applyNumberFormat="1" applyFont="1" applyFill="1" applyBorder="1" applyAlignment="1">
      <alignment horizontal="center" vertical="center"/>
    </xf>
    <xf numFmtId="3" fontId="6" fillId="3" borderId="37" xfId="2" applyNumberFormat="1" applyFont="1" applyFill="1" applyBorder="1" applyAlignment="1">
      <alignment horizontal="center" vertical="center"/>
    </xf>
    <xf numFmtId="3" fontId="6" fillId="0" borderId="34" xfId="2" applyNumberFormat="1" applyFont="1" applyBorder="1" applyAlignment="1">
      <alignment horizontal="center" vertical="center"/>
    </xf>
    <xf numFmtId="3" fontId="6" fillId="3" borderId="34" xfId="2" applyNumberFormat="1" applyFont="1" applyFill="1" applyBorder="1" applyAlignment="1">
      <alignment horizontal="center" vertical="center"/>
    </xf>
    <xf numFmtId="0" fontId="7" fillId="0" borderId="1" xfId="1" applyFont="1" applyBorder="1"/>
    <xf numFmtId="4" fontId="7" fillId="0" borderId="1" xfId="1" applyNumberFormat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9" fontId="7" fillId="0" borderId="1" xfId="4" applyFont="1" applyBorder="1" applyAlignment="1">
      <alignment horizontal="center"/>
    </xf>
    <xf numFmtId="4" fontId="7" fillId="0" borderId="1" xfId="1" applyNumberFormat="1" applyFont="1" applyBorder="1"/>
    <xf numFmtId="0" fontId="0" fillId="0" borderId="21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0" fillId="0" borderId="21" xfId="0" applyFont="1" applyBorder="1" applyAlignment="1"/>
    <xf numFmtId="3" fontId="4" fillId="0" borderId="21" xfId="0" applyNumberFormat="1" applyFont="1" applyBorder="1" applyAlignment="1">
      <alignment horizontal="center" vertical="center"/>
    </xf>
    <xf numFmtId="4" fontId="0" fillId="0" borderId="21" xfId="0" applyNumberFormat="1" applyFont="1" applyBorder="1" applyAlignment="1">
      <alignment horizontal="center" vertical="center"/>
    </xf>
    <xf numFmtId="169" fontId="0" fillId="0" borderId="21" xfId="4" applyNumberFormat="1" applyFont="1" applyBorder="1" applyAlignment="1">
      <alignment horizontal="center" vertical="center"/>
    </xf>
    <xf numFmtId="3" fontId="0" fillId="0" borderId="21" xfId="0" applyNumberFormat="1" applyFont="1" applyBorder="1" applyAlignment="1">
      <alignment horizontal="center"/>
    </xf>
    <xf numFmtId="3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5" fillId="0" borderId="27" xfId="1" applyFont="1" applyBorder="1" applyAlignment="1">
      <alignment horizontal="center" vertical="center" textRotation="90"/>
    </xf>
    <xf numFmtId="0" fontId="25" fillId="0" borderId="28" xfId="1" applyFont="1" applyBorder="1" applyAlignment="1">
      <alignment horizontal="center" vertical="center" textRotation="90"/>
    </xf>
    <xf numFmtId="0" fontId="25" fillId="0" borderId="29" xfId="1" applyFont="1" applyBorder="1" applyAlignment="1">
      <alignment horizontal="center" vertical="center" textRotation="90"/>
    </xf>
    <xf numFmtId="0" fontId="25" fillId="0" borderId="30" xfId="1" applyFont="1" applyBorder="1" applyAlignment="1">
      <alignment horizontal="center" vertical="center" textRotation="90"/>
    </xf>
    <xf numFmtId="0" fontId="25" fillId="0" borderId="31" xfId="1" applyFont="1" applyBorder="1" applyAlignment="1">
      <alignment horizontal="center" vertical="center" textRotation="90"/>
    </xf>
    <xf numFmtId="0" fontId="25" fillId="0" borderId="32" xfId="1" applyFont="1" applyBorder="1" applyAlignment="1">
      <alignment horizontal="center" vertical="center" textRotation="90"/>
    </xf>
    <xf numFmtId="164" fontId="22" fillId="0" borderId="5" xfId="2" applyNumberFormat="1" applyFont="1" applyFill="1" applyBorder="1" applyAlignment="1">
      <alignment horizontal="center" vertical="center"/>
    </xf>
    <xf numFmtId="164" fontId="22" fillId="0" borderId="6" xfId="2" applyNumberFormat="1" applyFont="1" applyFill="1" applyBorder="1" applyAlignment="1">
      <alignment horizontal="center" vertical="center"/>
    </xf>
    <xf numFmtId="0" fontId="22" fillId="0" borderId="5" xfId="1" applyFont="1" applyBorder="1" applyAlignment="1">
      <alignment horizontal="center" vertical="center"/>
    </xf>
    <xf numFmtId="0" fontId="22" fillId="0" borderId="6" xfId="1" applyFont="1" applyBorder="1" applyAlignment="1">
      <alignment horizontal="center" vertical="center"/>
    </xf>
    <xf numFmtId="0" fontId="26" fillId="0" borderId="38" xfId="1" applyFont="1" applyBorder="1" applyAlignment="1">
      <alignment horizontal="center" vertical="center" textRotation="90" wrapText="1"/>
    </xf>
    <xf numFmtId="0" fontId="26" fillId="0" borderId="39" xfId="1" applyFont="1" applyBorder="1" applyAlignment="1">
      <alignment horizontal="center" vertical="center" textRotation="90" wrapText="1"/>
    </xf>
    <xf numFmtId="0" fontId="26" fillId="0" borderId="40" xfId="1" applyFont="1" applyBorder="1" applyAlignment="1">
      <alignment horizontal="center" vertical="center" textRotation="90" wrapText="1"/>
    </xf>
    <xf numFmtId="0" fontId="25" fillId="0" borderId="38" xfId="1" applyFont="1" applyBorder="1" applyAlignment="1">
      <alignment horizontal="center" vertical="center" textRotation="90" wrapText="1"/>
    </xf>
    <xf numFmtId="0" fontId="25" fillId="0" borderId="39" xfId="1" applyFont="1" applyBorder="1" applyAlignment="1">
      <alignment horizontal="center" vertical="center" textRotation="90" wrapText="1"/>
    </xf>
    <xf numFmtId="0" fontId="25" fillId="0" borderId="40" xfId="1" applyFont="1" applyBorder="1" applyAlignment="1">
      <alignment horizontal="center" vertical="center" textRotation="90" wrapText="1"/>
    </xf>
    <xf numFmtId="0" fontId="25" fillId="0" borderId="38" xfId="1" applyFont="1" applyBorder="1" applyAlignment="1">
      <alignment horizontal="center" vertical="center" textRotation="90"/>
    </xf>
    <xf numFmtId="0" fontId="25" fillId="0" borderId="39" xfId="1" applyFont="1" applyBorder="1" applyAlignment="1">
      <alignment horizontal="center" vertical="center" textRotation="90"/>
    </xf>
    <xf numFmtId="0" fontId="25" fillId="0" borderId="40" xfId="1" applyFont="1" applyBorder="1" applyAlignment="1">
      <alignment horizontal="center" vertical="center" textRotation="90"/>
    </xf>
    <xf numFmtId="0" fontId="16" fillId="4" borderId="4" xfId="5" applyFont="1" applyFill="1" applyBorder="1" applyAlignment="1">
      <alignment horizontal="center" vertical="center" wrapText="1"/>
    </xf>
    <xf numFmtId="0" fontId="16" fillId="4" borderId="5" xfId="5" applyFont="1" applyFill="1" applyBorder="1" applyAlignment="1">
      <alignment horizontal="center" vertical="center" wrapText="1"/>
    </xf>
    <xf numFmtId="0" fontId="16" fillId="4" borderId="6" xfId="5" applyFont="1" applyFill="1" applyBorder="1" applyAlignment="1">
      <alignment horizontal="center" vertical="center" wrapText="1"/>
    </xf>
    <xf numFmtId="4" fontId="6" fillId="5" borderId="4" xfId="6" applyNumberFormat="1" applyFont="1" applyFill="1" applyBorder="1" applyAlignment="1">
      <alignment horizontal="center" vertical="center"/>
    </xf>
    <xf numFmtId="4" fontId="6" fillId="5" borderId="6" xfId="6" applyNumberFormat="1" applyFont="1" applyFill="1" applyBorder="1" applyAlignment="1">
      <alignment horizontal="center" vertical="center"/>
    </xf>
    <xf numFmtId="9" fontId="6" fillId="5" borderId="4" xfId="8" applyFont="1" applyFill="1" applyBorder="1" applyAlignment="1">
      <alignment horizontal="center" vertical="center"/>
    </xf>
    <xf numFmtId="9" fontId="6" fillId="5" borderId="6" xfId="8" applyFont="1" applyFill="1" applyBorder="1" applyAlignment="1">
      <alignment horizontal="center" vertical="center"/>
    </xf>
    <xf numFmtId="4" fontId="6" fillId="0" borderId="26" xfId="2" applyNumberFormat="1" applyFont="1" applyBorder="1" applyAlignment="1">
      <alignment horizontal="center" vertical="center"/>
    </xf>
    <xf numFmtId="2" fontId="4" fillId="3" borderId="41" xfId="0" applyNumberFormat="1" applyFont="1" applyFill="1" applyBorder="1" applyAlignment="1">
      <alignment horizontal="center" vertical="center"/>
    </xf>
    <xf numFmtId="2" fontId="5" fillId="3" borderId="42" xfId="0" applyNumberFormat="1" applyFont="1" applyFill="1" applyBorder="1" applyAlignment="1">
      <alignment horizontal="center" vertical="center"/>
    </xf>
    <xf numFmtId="164" fontId="6" fillId="7" borderId="5" xfId="2" applyNumberFormat="1" applyFont="1" applyFill="1" applyBorder="1" applyAlignment="1" applyProtection="1">
      <alignment horizontal="center" vertical="center"/>
      <protection hidden="1"/>
    </xf>
    <xf numFmtId="4" fontId="13" fillId="0" borderId="1" xfId="8" applyNumberFormat="1" applyFont="1" applyFill="1" applyBorder="1" applyAlignment="1">
      <alignment horizontal="center" vertical="center"/>
    </xf>
    <xf numFmtId="4" fontId="20" fillId="0" borderId="1" xfId="5" applyNumberFormat="1" applyFont="1" applyAlignment="1">
      <alignment horizontal="center" vertical="center"/>
    </xf>
    <xf numFmtId="9" fontId="20" fillId="0" borderId="1" xfId="5" applyNumberFormat="1" applyFont="1" applyAlignment="1">
      <alignment horizontal="center" vertical="center"/>
    </xf>
    <xf numFmtId="4" fontId="13" fillId="0" borderId="1" xfId="5" applyNumberFormat="1" applyFont="1" applyAlignment="1">
      <alignment horizontal="center"/>
    </xf>
    <xf numFmtId="169" fontId="0" fillId="7" borderId="21" xfId="4" applyNumberFormat="1" applyFont="1" applyFill="1" applyBorder="1" applyAlignment="1">
      <alignment horizontal="center" vertical="center"/>
    </xf>
  </cellXfs>
  <cellStyles count="10">
    <cellStyle name="Normal" xfId="0" builtinId="0"/>
    <cellStyle name="Normal 2" xfId="1" xr:uid="{00000000-0005-0000-0000-000001000000}"/>
    <cellStyle name="Normal 2 2" xfId="7" xr:uid="{00000000-0005-0000-0000-000002000000}"/>
    <cellStyle name="Normal 3" xfId="5" xr:uid="{00000000-0005-0000-0000-000003000000}"/>
    <cellStyle name="Porcentagem" xfId="4" builtinId="5"/>
    <cellStyle name="Porcentagem 2" xfId="3" xr:uid="{00000000-0005-0000-0000-000005000000}"/>
    <cellStyle name="Porcentagem 3" xfId="8" xr:uid="{00000000-0005-0000-0000-000006000000}"/>
    <cellStyle name="Vírgula 2" xfId="2" xr:uid="{00000000-0005-0000-0000-000007000000}"/>
    <cellStyle name="Vírgula 2 2" xfId="9" xr:uid="{00000000-0005-0000-0000-000008000000}"/>
    <cellStyle name="Vírgula 3" xfId="6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5" Type="http://customschemas.google.com/relationships/workbookmetadata" Target="metadata"/><Relationship Id="rId2" Type="http://schemas.openxmlformats.org/officeDocument/2006/relationships/worksheet" Target="worksheets/sheet2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27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pt-BR" sz="1800" b="1"/>
              <a:t>Fator</a:t>
            </a:r>
            <a:r>
              <a:rPr lang="pt-BR" sz="1800" b="1" baseline="0"/>
              <a:t> de Carga</a:t>
            </a:r>
            <a:r>
              <a:rPr lang="pt-BR" sz="1800" b="1"/>
              <a:t> Vs</a:t>
            </a:r>
            <a:r>
              <a:rPr lang="pt-BR" sz="1800" b="1" baseline="0"/>
              <a:t> Desconto TUSD</a:t>
            </a:r>
            <a:endParaRPr lang="pt-BR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Tarifas!$R$2</c:f>
              <c:strCache>
                <c:ptCount val="1"/>
                <c:pt idx="0">
                  <c:v>AZUL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Tarifas!$O$3:$O$89</c:f>
              <c:numCache>
                <c:formatCode>0.00</c:formatCode>
                <c:ptCount val="87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  <c:pt idx="16">
                  <c:v>0.21</c:v>
                </c:pt>
                <c:pt idx="17">
                  <c:v>0.22</c:v>
                </c:pt>
                <c:pt idx="18">
                  <c:v>0.23</c:v>
                </c:pt>
                <c:pt idx="19">
                  <c:v>0.24</c:v>
                </c:pt>
                <c:pt idx="20">
                  <c:v>0.25</c:v>
                </c:pt>
                <c:pt idx="21">
                  <c:v>0.26</c:v>
                </c:pt>
                <c:pt idx="22">
                  <c:v>0.27</c:v>
                </c:pt>
                <c:pt idx="23">
                  <c:v>0.28000000000000003</c:v>
                </c:pt>
                <c:pt idx="24">
                  <c:v>0.28999999999999998</c:v>
                </c:pt>
                <c:pt idx="25">
                  <c:v>0.3</c:v>
                </c:pt>
                <c:pt idx="26">
                  <c:v>0.31</c:v>
                </c:pt>
                <c:pt idx="27">
                  <c:v>0.32</c:v>
                </c:pt>
                <c:pt idx="28">
                  <c:v>0.33</c:v>
                </c:pt>
                <c:pt idx="29">
                  <c:v>0.34</c:v>
                </c:pt>
                <c:pt idx="30">
                  <c:v>0.35</c:v>
                </c:pt>
                <c:pt idx="31">
                  <c:v>0.36</c:v>
                </c:pt>
                <c:pt idx="32">
                  <c:v>0.37</c:v>
                </c:pt>
                <c:pt idx="33">
                  <c:v>0.38</c:v>
                </c:pt>
                <c:pt idx="34">
                  <c:v>0.39</c:v>
                </c:pt>
                <c:pt idx="35">
                  <c:v>0.4</c:v>
                </c:pt>
                <c:pt idx="36">
                  <c:v>0.41</c:v>
                </c:pt>
                <c:pt idx="37">
                  <c:v>0.42</c:v>
                </c:pt>
                <c:pt idx="38">
                  <c:v>0.43</c:v>
                </c:pt>
                <c:pt idx="39">
                  <c:v>0.44</c:v>
                </c:pt>
                <c:pt idx="40">
                  <c:v>0.45</c:v>
                </c:pt>
                <c:pt idx="41">
                  <c:v>0.46</c:v>
                </c:pt>
                <c:pt idx="42">
                  <c:v>0.47</c:v>
                </c:pt>
                <c:pt idx="43">
                  <c:v>0.48</c:v>
                </c:pt>
                <c:pt idx="44">
                  <c:v>0.49</c:v>
                </c:pt>
                <c:pt idx="45">
                  <c:v>0.5</c:v>
                </c:pt>
                <c:pt idx="46">
                  <c:v>0.51</c:v>
                </c:pt>
                <c:pt idx="47">
                  <c:v>0.52</c:v>
                </c:pt>
                <c:pt idx="48">
                  <c:v>0.53</c:v>
                </c:pt>
                <c:pt idx="49">
                  <c:v>0.54</c:v>
                </c:pt>
                <c:pt idx="50">
                  <c:v>0.55000000000000004</c:v>
                </c:pt>
                <c:pt idx="51">
                  <c:v>0.56000000000000005</c:v>
                </c:pt>
                <c:pt idx="52">
                  <c:v>0.56999999999999995</c:v>
                </c:pt>
                <c:pt idx="53">
                  <c:v>0.57999999999999996</c:v>
                </c:pt>
                <c:pt idx="54">
                  <c:v>0.59</c:v>
                </c:pt>
                <c:pt idx="55">
                  <c:v>0.6</c:v>
                </c:pt>
                <c:pt idx="56">
                  <c:v>0.61</c:v>
                </c:pt>
                <c:pt idx="57">
                  <c:v>0.62</c:v>
                </c:pt>
                <c:pt idx="58">
                  <c:v>0.63</c:v>
                </c:pt>
                <c:pt idx="59">
                  <c:v>0.64</c:v>
                </c:pt>
                <c:pt idx="60">
                  <c:v>0.65</c:v>
                </c:pt>
                <c:pt idx="61">
                  <c:v>0.66</c:v>
                </c:pt>
                <c:pt idx="62">
                  <c:v>0.67</c:v>
                </c:pt>
                <c:pt idx="63">
                  <c:v>0.68</c:v>
                </c:pt>
                <c:pt idx="64">
                  <c:v>0.69</c:v>
                </c:pt>
                <c:pt idx="65">
                  <c:v>0.7</c:v>
                </c:pt>
                <c:pt idx="66">
                  <c:v>0.71</c:v>
                </c:pt>
                <c:pt idx="67">
                  <c:v>0.72</c:v>
                </c:pt>
                <c:pt idx="68">
                  <c:v>0.73</c:v>
                </c:pt>
                <c:pt idx="69">
                  <c:v>0.74</c:v>
                </c:pt>
                <c:pt idx="70">
                  <c:v>0.75</c:v>
                </c:pt>
                <c:pt idx="71">
                  <c:v>0.76</c:v>
                </c:pt>
                <c:pt idx="72">
                  <c:v>0.77</c:v>
                </c:pt>
                <c:pt idx="73">
                  <c:v>0.78</c:v>
                </c:pt>
                <c:pt idx="74">
                  <c:v>0.79</c:v>
                </c:pt>
                <c:pt idx="75">
                  <c:v>0.8</c:v>
                </c:pt>
                <c:pt idx="76">
                  <c:v>0.81</c:v>
                </c:pt>
                <c:pt idx="77">
                  <c:v>0.82</c:v>
                </c:pt>
                <c:pt idx="78">
                  <c:v>0.83</c:v>
                </c:pt>
                <c:pt idx="79">
                  <c:v>0.84</c:v>
                </c:pt>
                <c:pt idx="80">
                  <c:v>0.85</c:v>
                </c:pt>
                <c:pt idx="81">
                  <c:v>0.86</c:v>
                </c:pt>
                <c:pt idx="82">
                  <c:v>0.87</c:v>
                </c:pt>
                <c:pt idx="83">
                  <c:v>0.88</c:v>
                </c:pt>
                <c:pt idx="84">
                  <c:v>0.89</c:v>
                </c:pt>
                <c:pt idx="85">
                  <c:v>0.9</c:v>
                </c:pt>
                <c:pt idx="86">
                  <c:v>0.91</c:v>
                </c:pt>
              </c:numCache>
            </c:numRef>
          </c:cat>
          <c:val>
            <c:numRef>
              <c:f>Tarifas!$R$3:$R$89</c:f>
              <c:numCache>
                <c:formatCode>#,##0</c:formatCode>
                <c:ptCount val="87"/>
                <c:pt idx="0">
                  <c:v>946.57534246575347</c:v>
                </c:pt>
                <c:pt idx="1">
                  <c:v>788.81278538812808</c:v>
                </c:pt>
                <c:pt idx="2">
                  <c:v>676.12524461839541</c:v>
                </c:pt>
                <c:pt idx="3">
                  <c:v>591.609589041096</c:v>
                </c:pt>
                <c:pt idx="4">
                  <c:v>525.87519025875201</c:v>
                </c:pt>
                <c:pt idx="5">
                  <c:v>473.28767123287673</c:v>
                </c:pt>
                <c:pt idx="6">
                  <c:v>430.26151930261528</c:v>
                </c:pt>
                <c:pt idx="7">
                  <c:v>394.40639269406404</c:v>
                </c:pt>
                <c:pt idx="8">
                  <c:v>364.06743940990521</c:v>
                </c:pt>
                <c:pt idx="9">
                  <c:v>338.06262230919771</c:v>
                </c:pt>
                <c:pt idx="10">
                  <c:v>315.52511415525123</c:v>
                </c:pt>
                <c:pt idx="11">
                  <c:v>295.804794520548</c:v>
                </c:pt>
                <c:pt idx="12">
                  <c:v>278.40451248992753</c:v>
                </c:pt>
                <c:pt idx="13">
                  <c:v>262.93759512937601</c:v>
                </c:pt>
                <c:pt idx="14">
                  <c:v>249.09877433309305</c:v>
                </c:pt>
                <c:pt idx="15">
                  <c:v>236.64383561643837</c:v>
                </c:pt>
                <c:pt idx="16">
                  <c:v>225.37508153946516</c:v>
                </c:pt>
                <c:pt idx="17">
                  <c:v>215.13075965130764</c:v>
                </c:pt>
                <c:pt idx="18">
                  <c:v>205.77724836212033</c:v>
                </c:pt>
                <c:pt idx="19">
                  <c:v>197.20319634703202</c:v>
                </c:pt>
                <c:pt idx="20">
                  <c:v>189.31506849315073</c:v>
                </c:pt>
                <c:pt idx="21">
                  <c:v>182.0337197049526</c:v>
                </c:pt>
                <c:pt idx="22">
                  <c:v>175.29173008625065</c:v>
                </c:pt>
                <c:pt idx="23">
                  <c:v>169.03131115459885</c:v>
                </c:pt>
                <c:pt idx="24">
                  <c:v>163.20264525271617</c:v>
                </c:pt>
                <c:pt idx="25">
                  <c:v>157.76255707762562</c:v>
                </c:pt>
                <c:pt idx="26">
                  <c:v>152.67344233318607</c:v>
                </c:pt>
                <c:pt idx="27">
                  <c:v>147.902397260274</c:v>
                </c:pt>
                <c:pt idx="28">
                  <c:v>143.42050643420509</c:v>
                </c:pt>
                <c:pt idx="29">
                  <c:v>139.20225624496376</c:v>
                </c:pt>
                <c:pt idx="30">
                  <c:v>135.22504892367911</c:v>
                </c:pt>
                <c:pt idx="31">
                  <c:v>131.468797564688</c:v>
                </c:pt>
                <c:pt idx="32">
                  <c:v>127.91558681969644</c:v>
                </c:pt>
                <c:pt idx="33">
                  <c:v>124.54938716654652</c:v>
                </c:pt>
                <c:pt idx="34">
                  <c:v>121.35581313663506</c:v>
                </c:pt>
                <c:pt idx="35">
                  <c:v>118.32191780821918</c:v>
                </c:pt>
                <c:pt idx="36">
                  <c:v>115.43601737387239</c:v>
                </c:pt>
                <c:pt idx="37">
                  <c:v>112.68754076973258</c:v>
                </c:pt>
                <c:pt idx="38">
                  <c:v>110.06690028671554</c:v>
                </c:pt>
                <c:pt idx="39">
                  <c:v>107.56537982565382</c:v>
                </c:pt>
                <c:pt idx="40">
                  <c:v>105.17503805175039</c:v>
                </c:pt>
                <c:pt idx="41">
                  <c:v>102.88862418106017</c:v>
                </c:pt>
                <c:pt idx="42">
                  <c:v>100.69950451763337</c:v>
                </c:pt>
                <c:pt idx="43">
                  <c:v>98.60159817351601</c:v>
                </c:pt>
                <c:pt idx="44">
                  <c:v>96.589320659770777</c:v>
                </c:pt>
                <c:pt idx="45">
                  <c:v>94.657534246575366</c:v>
                </c:pt>
                <c:pt idx="46">
                  <c:v>92.801504163309176</c:v>
                </c:pt>
                <c:pt idx="47">
                  <c:v>91.016859852476301</c:v>
                </c:pt>
                <c:pt idx="48">
                  <c:v>89.299560609976751</c:v>
                </c:pt>
                <c:pt idx="49">
                  <c:v>87.645865043125326</c:v>
                </c:pt>
                <c:pt idx="50">
                  <c:v>86.052303860523054</c:v>
                </c:pt>
                <c:pt idx="51">
                  <c:v>84.515655577299427</c:v>
                </c:pt>
                <c:pt idx="52">
                  <c:v>83.032924777697701</c:v>
                </c:pt>
                <c:pt idx="53">
                  <c:v>81.601322626358083</c:v>
                </c:pt>
                <c:pt idx="54">
                  <c:v>80.218249361504547</c:v>
                </c:pt>
                <c:pt idx="55">
                  <c:v>78.881278538812808</c:v>
                </c:pt>
                <c:pt idx="56">
                  <c:v>77.58814282506178</c:v>
                </c:pt>
                <c:pt idx="57">
                  <c:v>76.336721166593037</c:v>
                </c:pt>
                <c:pt idx="58">
                  <c:v>75.125027179821714</c:v>
                </c:pt>
                <c:pt idx="59">
                  <c:v>73.951198630137</c:v>
                </c:pt>
                <c:pt idx="60">
                  <c:v>72.813487881981047</c:v>
                </c:pt>
                <c:pt idx="61">
                  <c:v>71.710253217102547</c:v>
                </c:pt>
                <c:pt idx="62">
                  <c:v>70.639950930280122</c:v>
                </c:pt>
                <c:pt idx="63">
                  <c:v>69.601128122481882</c:v>
                </c:pt>
                <c:pt idx="64">
                  <c:v>68.592416120706787</c:v>
                </c:pt>
                <c:pt idx="65">
                  <c:v>67.612524461839556</c:v>
                </c:pt>
                <c:pt idx="66">
                  <c:v>66.660235384912227</c:v>
                </c:pt>
                <c:pt idx="67">
                  <c:v>65.734398782344002</c:v>
                </c:pt>
                <c:pt idx="68">
                  <c:v>64.833927566147509</c:v>
                </c:pt>
                <c:pt idx="69">
                  <c:v>63.957793409848222</c:v>
                </c:pt>
                <c:pt idx="70">
                  <c:v>63.105022831050242</c:v>
                </c:pt>
                <c:pt idx="71">
                  <c:v>62.274693583273262</c:v>
                </c:pt>
                <c:pt idx="72">
                  <c:v>61.465931328945032</c:v>
                </c:pt>
                <c:pt idx="73">
                  <c:v>60.677906568317532</c:v>
                </c:pt>
                <c:pt idx="74">
                  <c:v>59.90983180162997</c:v>
                </c:pt>
                <c:pt idx="75">
                  <c:v>59.160958904109592</c:v>
                </c:pt>
                <c:pt idx="76">
                  <c:v>58.430576695416882</c:v>
                </c:pt>
                <c:pt idx="77">
                  <c:v>57.718008686936194</c:v>
                </c:pt>
                <c:pt idx="78">
                  <c:v>57.02261099191287</c:v>
                </c:pt>
                <c:pt idx="79">
                  <c:v>56.343770384866289</c:v>
                </c:pt>
                <c:pt idx="80">
                  <c:v>55.680902497985507</c:v>
                </c:pt>
                <c:pt idx="81">
                  <c:v>55.033450143357769</c:v>
                </c:pt>
                <c:pt idx="82">
                  <c:v>54.400881750905377</c:v>
                </c:pt>
                <c:pt idx="83">
                  <c:v>53.78268991282691</c:v>
                </c:pt>
                <c:pt idx="84">
                  <c:v>53.178390026165928</c:v>
                </c:pt>
                <c:pt idx="85">
                  <c:v>52.587519025875196</c:v>
                </c:pt>
                <c:pt idx="86">
                  <c:v>52.009634201415032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42-45F6-9013-A4F624D999DE}"/>
            </c:ext>
          </c:extLst>
        </c:ser>
        <c:ser>
          <c:idx val="1"/>
          <c:order val="1"/>
          <c:tx>
            <c:strRef>
              <c:f>Tarifas!$Z$2</c:f>
              <c:strCache>
                <c:ptCount val="1"/>
                <c:pt idx="0">
                  <c:v>VERDE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Tarifas!$O$3:$O$89</c:f>
              <c:numCache>
                <c:formatCode>0.00</c:formatCode>
                <c:ptCount val="87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  <c:pt idx="8">
                  <c:v>0.13</c:v>
                </c:pt>
                <c:pt idx="9">
                  <c:v>0.14000000000000001</c:v>
                </c:pt>
                <c:pt idx="10">
                  <c:v>0.15</c:v>
                </c:pt>
                <c:pt idx="11">
                  <c:v>0.16</c:v>
                </c:pt>
                <c:pt idx="12">
                  <c:v>0.17</c:v>
                </c:pt>
                <c:pt idx="13">
                  <c:v>0.18</c:v>
                </c:pt>
                <c:pt idx="14">
                  <c:v>0.19</c:v>
                </c:pt>
                <c:pt idx="15">
                  <c:v>0.2</c:v>
                </c:pt>
                <c:pt idx="16">
                  <c:v>0.21</c:v>
                </c:pt>
                <c:pt idx="17">
                  <c:v>0.22</c:v>
                </c:pt>
                <c:pt idx="18">
                  <c:v>0.23</c:v>
                </c:pt>
                <c:pt idx="19">
                  <c:v>0.24</c:v>
                </c:pt>
                <c:pt idx="20">
                  <c:v>0.25</c:v>
                </c:pt>
                <c:pt idx="21">
                  <c:v>0.26</c:v>
                </c:pt>
                <c:pt idx="22">
                  <c:v>0.27</c:v>
                </c:pt>
                <c:pt idx="23">
                  <c:v>0.28000000000000003</c:v>
                </c:pt>
                <c:pt idx="24">
                  <c:v>0.28999999999999998</c:v>
                </c:pt>
                <c:pt idx="25">
                  <c:v>0.3</c:v>
                </c:pt>
                <c:pt idx="26">
                  <c:v>0.31</c:v>
                </c:pt>
                <c:pt idx="27">
                  <c:v>0.32</c:v>
                </c:pt>
                <c:pt idx="28">
                  <c:v>0.33</c:v>
                </c:pt>
                <c:pt idx="29">
                  <c:v>0.34</c:v>
                </c:pt>
                <c:pt idx="30">
                  <c:v>0.35</c:v>
                </c:pt>
                <c:pt idx="31">
                  <c:v>0.36</c:v>
                </c:pt>
                <c:pt idx="32">
                  <c:v>0.37</c:v>
                </c:pt>
                <c:pt idx="33">
                  <c:v>0.38</c:v>
                </c:pt>
                <c:pt idx="34">
                  <c:v>0.39</c:v>
                </c:pt>
                <c:pt idx="35">
                  <c:v>0.4</c:v>
                </c:pt>
                <c:pt idx="36">
                  <c:v>0.41</c:v>
                </c:pt>
                <c:pt idx="37">
                  <c:v>0.42</c:v>
                </c:pt>
                <c:pt idx="38">
                  <c:v>0.43</c:v>
                </c:pt>
                <c:pt idx="39">
                  <c:v>0.44</c:v>
                </c:pt>
                <c:pt idx="40">
                  <c:v>0.45</c:v>
                </c:pt>
                <c:pt idx="41">
                  <c:v>0.46</c:v>
                </c:pt>
                <c:pt idx="42">
                  <c:v>0.47</c:v>
                </c:pt>
                <c:pt idx="43">
                  <c:v>0.48</c:v>
                </c:pt>
                <c:pt idx="44">
                  <c:v>0.49</c:v>
                </c:pt>
                <c:pt idx="45">
                  <c:v>0.5</c:v>
                </c:pt>
                <c:pt idx="46">
                  <c:v>0.51</c:v>
                </c:pt>
                <c:pt idx="47">
                  <c:v>0.52</c:v>
                </c:pt>
                <c:pt idx="48">
                  <c:v>0.53</c:v>
                </c:pt>
                <c:pt idx="49">
                  <c:v>0.54</c:v>
                </c:pt>
                <c:pt idx="50">
                  <c:v>0.55000000000000004</c:v>
                </c:pt>
                <c:pt idx="51">
                  <c:v>0.56000000000000005</c:v>
                </c:pt>
                <c:pt idx="52">
                  <c:v>0.56999999999999995</c:v>
                </c:pt>
                <c:pt idx="53">
                  <c:v>0.57999999999999996</c:v>
                </c:pt>
                <c:pt idx="54">
                  <c:v>0.59</c:v>
                </c:pt>
                <c:pt idx="55">
                  <c:v>0.6</c:v>
                </c:pt>
                <c:pt idx="56">
                  <c:v>0.61</c:v>
                </c:pt>
                <c:pt idx="57">
                  <c:v>0.62</c:v>
                </c:pt>
                <c:pt idx="58">
                  <c:v>0.63</c:v>
                </c:pt>
                <c:pt idx="59">
                  <c:v>0.64</c:v>
                </c:pt>
                <c:pt idx="60">
                  <c:v>0.65</c:v>
                </c:pt>
                <c:pt idx="61">
                  <c:v>0.66</c:v>
                </c:pt>
                <c:pt idx="62">
                  <c:v>0.67</c:v>
                </c:pt>
                <c:pt idx="63">
                  <c:v>0.68</c:v>
                </c:pt>
                <c:pt idx="64">
                  <c:v>0.69</c:v>
                </c:pt>
                <c:pt idx="65">
                  <c:v>0.7</c:v>
                </c:pt>
                <c:pt idx="66">
                  <c:v>0.71</c:v>
                </c:pt>
                <c:pt idx="67">
                  <c:v>0.72</c:v>
                </c:pt>
                <c:pt idx="68">
                  <c:v>0.73</c:v>
                </c:pt>
                <c:pt idx="69">
                  <c:v>0.74</c:v>
                </c:pt>
                <c:pt idx="70">
                  <c:v>0.75</c:v>
                </c:pt>
                <c:pt idx="71">
                  <c:v>0.76</c:v>
                </c:pt>
                <c:pt idx="72">
                  <c:v>0.77</c:v>
                </c:pt>
                <c:pt idx="73">
                  <c:v>0.78</c:v>
                </c:pt>
                <c:pt idx="74">
                  <c:v>0.79</c:v>
                </c:pt>
                <c:pt idx="75">
                  <c:v>0.8</c:v>
                </c:pt>
                <c:pt idx="76">
                  <c:v>0.81</c:v>
                </c:pt>
                <c:pt idx="77">
                  <c:v>0.82</c:v>
                </c:pt>
                <c:pt idx="78">
                  <c:v>0.83</c:v>
                </c:pt>
                <c:pt idx="79">
                  <c:v>0.84</c:v>
                </c:pt>
                <c:pt idx="80">
                  <c:v>0.85</c:v>
                </c:pt>
                <c:pt idx="81">
                  <c:v>0.86</c:v>
                </c:pt>
                <c:pt idx="82">
                  <c:v>0.87</c:v>
                </c:pt>
                <c:pt idx="83">
                  <c:v>0.88</c:v>
                </c:pt>
                <c:pt idx="84">
                  <c:v>0.89</c:v>
                </c:pt>
                <c:pt idx="85">
                  <c:v>0.9</c:v>
                </c:pt>
                <c:pt idx="86">
                  <c:v>0.91</c:v>
                </c:pt>
              </c:numCache>
            </c:numRef>
          </c:cat>
          <c:val>
            <c:numRef>
              <c:f>Tarifas!$Z$3:$Z$89</c:f>
              <c:numCache>
                <c:formatCode>#,##0</c:formatCode>
                <c:ptCount val="87"/>
                <c:pt idx="0">
                  <c:v>346.08637643835618</c:v>
                </c:pt>
                <c:pt idx="1">
                  <c:v>302.11377369863015</c:v>
                </c:pt>
                <c:pt idx="2">
                  <c:v>270.70477174168298</c:v>
                </c:pt>
                <c:pt idx="3">
                  <c:v>247.14802027397263</c:v>
                </c:pt>
                <c:pt idx="4">
                  <c:v>228.82610246575348</c:v>
                </c:pt>
                <c:pt idx="5">
                  <c:v>214.16856821917807</c:v>
                </c:pt>
                <c:pt idx="6">
                  <c:v>202.17604019925284</c:v>
                </c:pt>
                <c:pt idx="7">
                  <c:v>192.18226684931508</c:v>
                </c:pt>
                <c:pt idx="8">
                  <c:v>183.72599709167545</c:v>
                </c:pt>
                <c:pt idx="9">
                  <c:v>176.47776587084149</c:v>
                </c:pt>
                <c:pt idx="10">
                  <c:v>170.19596547945207</c:v>
                </c:pt>
                <c:pt idx="11">
                  <c:v>164.69939013698632</c:v>
                </c:pt>
                <c:pt idx="12">
                  <c:v>159.8494707171636</c:v>
                </c:pt>
                <c:pt idx="13">
                  <c:v>155.53843123287672</c:v>
                </c:pt>
                <c:pt idx="14">
                  <c:v>151.68118537851478</c:v>
                </c:pt>
                <c:pt idx="15">
                  <c:v>148.20966410958906</c:v>
                </c:pt>
                <c:pt idx="16">
                  <c:v>145.06876391389432</c:v>
                </c:pt>
                <c:pt idx="17">
                  <c:v>142.2134000996264</c:v>
                </c:pt>
                <c:pt idx="18">
                  <c:v>139.606328790947</c:v>
                </c:pt>
                <c:pt idx="19">
                  <c:v>137.21651342465753</c:v>
                </c:pt>
                <c:pt idx="20">
                  <c:v>135.01788328767125</c:v>
                </c:pt>
                <c:pt idx="21">
                  <c:v>132.98837854583772</c:v>
                </c:pt>
                <c:pt idx="22">
                  <c:v>131.10920748858447</c:v>
                </c:pt>
                <c:pt idx="23">
                  <c:v>129.36426293542075</c:v>
                </c:pt>
                <c:pt idx="24">
                  <c:v>127.73965938592349</c:v>
                </c:pt>
                <c:pt idx="25">
                  <c:v>126.22336273972603</c:v>
                </c:pt>
                <c:pt idx="26">
                  <c:v>124.80489168360586</c:v>
                </c:pt>
                <c:pt idx="27">
                  <c:v>123.47507506849315</c:v>
                </c:pt>
                <c:pt idx="28">
                  <c:v>122.22585339975095</c:v>
                </c:pt>
                <c:pt idx="29">
                  <c:v>121.05011535858181</c:v>
                </c:pt>
                <c:pt idx="30">
                  <c:v>119.94156234833662</c:v>
                </c:pt>
                <c:pt idx="31">
                  <c:v>118.89459561643837</c:v>
                </c:pt>
                <c:pt idx="32">
                  <c:v>117.90422168085895</c:v>
                </c:pt>
                <c:pt idx="33">
                  <c:v>116.96597268925738</c:v>
                </c:pt>
                <c:pt idx="34">
                  <c:v>116.07583903055848</c:v>
                </c:pt>
                <c:pt idx="35">
                  <c:v>115.23021205479452</c:v>
                </c:pt>
                <c:pt idx="36">
                  <c:v>114.42583517540929</c:v>
                </c:pt>
                <c:pt idx="37">
                  <c:v>113.65976195694718</c:v>
                </c:pt>
                <c:pt idx="38">
                  <c:v>112.92932005097167</c:v>
                </c:pt>
                <c:pt idx="39">
                  <c:v>112.23208004981321</c:v>
                </c:pt>
                <c:pt idx="40">
                  <c:v>111.56582849315069</c:v>
                </c:pt>
                <c:pt idx="41">
                  <c:v>110.92854439547351</c:v>
                </c:pt>
                <c:pt idx="42">
                  <c:v>110.3183787700379</c:v>
                </c:pt>
                <c:pt idx="43">
                  <c:v>109.73363671232879</c:v>
                </c:pt>
                <c:pt idx="44">
                  <c:v>109.17276167738329</c:v>
                </c:pt>
                <c:pt idx="45">
                  <c:v>108.63432164383562</c:v>
                </c:pt>
                <c:pt idx="46">
                  <c:v>108.11699690572121</c:v>
                </c:pt>
                <c:pt idx="47">
                  <c:v>107.61956927291887</c:v>
                </c:pt>
                <c:pt idx="48">
                  <c:v>107.14091249418455</c:v>
                </c:pt>
                <c:pt idx="49">
                  <c:v>106.67998374429224</c:v>
                </c:pt>
                <c:pt idx="50">
                  <c:v>106.23581603985056</c:v>
                </c:pt>
                <c:pt idx="51">
                  <c:v>105.80751146771037</c:v>
                </c:pt>
                <c:pt idx="52">
                  <c:v>105.39423512617159</c:v>
                </c:pt>
                <c:pt idx="53">
                  <c:v>104.99520969296174</c:v>
                </c:pt>
                <c:pt idx="54">
                  <c:v>104.60971054562341</c:v>
                </c:pt>
                <c:pt idx="55">
                  <c:v>104.23706136986301</c:v>
                </c:pt>
                <c:pt idx="56">
                  <c:v>103.87663019986526</c:v>
                </c:pt>
                <c:pt idx="57">
                  <c:v>103.52782584180294</c:v>
                </c:pt>
                <c:pt idx="58">
                  <c:v>103.19009463796478</c:v>
                </c:pt>
                <c:pt idx="59">
                  <c:v>102.86291753424658</c:v>
                </c:pt>
                <c:pt idx="60">
                  <c:v>102.5458074183351</c:v>
                </c:pt>
                <c:pt idx="61">
                  <c:v>102.23830669987547</c:v>
                </c:pt>
                <c:pt idx="62">
                  <c:v>101.93998510734001</c:v>
                </c:pt>
                <c:pt idx="63">
                  <c:v>101.6504376792909</c:v>
                </c:pt>
                <c:pt idx="64">
                  <c:v>101.36928293031566</c:v>
                </c:pt>
                <c:pt idx="65">
                  <c:v>101.09616117416832</c:v>
                </c:pt>
                <c:pt idx="66">
                  <c:v>100.83073298861663</c:v>
                </c:pt>
                <c:pt idx="67">
                  <c:v>100.57267780821917</c:v>
                </c:pt>
                <c:pt idx="68">
                  <c:v>100.32169263276413</c:v>
                </c:pt>
                <c:pt idx="69">
                  <c:v>100.07749084042948</c:v>
                </c:pt>
                <c:pt idx="70">
                  <c:v>99.839801095890408</c:v>
                </c:pt>
                <c:pt idx="71">
                  <c:v>99.608366344628692</c:v>
                </c:pt>
                <c:pt idx="72">
                  <c:v>99.382942885607548</c:v>
                </c:pt>
                <c:pt idx="73">
                  <c:v>99.163299515279235</c:v>
                </c:pt>
                <c:pt idx="74">
                  <c:v>98.949216736604825</c:v>
                </c:pt>
                <c:pt idx="75">
                  <c:v>98.740486027397267</c:v>
                </c:pt>
                <c:pt idx="76">
                  <c:v>98.536909162861491</c:v>
                </c:pt>
                <c:pt idx="77">
                  <c:v>98.338297587704645</c:v>
                </c:pt>
                <c:pt idx="78">
                  <c:v>98.144471833635933</c:v>
                </c:pt>
                <c:pt idx="79">
                  <c:v>97.955260978473589</c:v>
                </c:pt>
                <c:pt idx="80">
                  <c:v>97.770502143432722</c:v>
                </c:pt>
                <c:pt idx="81">
                  <c:v>97.590040025485834</c:v>
                </c:pt>
                <c:pt idx="82">
                  <c:v>97.413726461974491</c:v>
                </c:pt>
                <c:pt idx="83">
                  <c:v>97.241420024906603</c:v>
                </c:pt>
                <c:pt idx="84">
                  <c:v>97.072985642604294</c:v>
                </c:pt>
                <c:pt idx="85">
                  <c:v>96.908294246575352</c:v>
                </c:pt>
                <c:pt idx="86">
                  <c:v>96.747222441667915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42-45F6-9013-A4F624D99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292160"/>
        <c:axId val="63293696"/>
      </c:lineChart>
      <c:catAx>
        <c:axId val="6329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pt-BR"/>
          </a:p>
        </c:txPr>
        <c:crossAx val="63293696"/>
        <c:crosses val="autoZero"/>
        <c:auto val="1"/>
        <c:lblAlgn val="ctr"/>
        <c:lblOffset val="100"/>
        <c:noMultiLvlLbl val="0"/>
      </c:catAx>
      <c:valAx>
        <c:axId val="6329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pt-BR"/>
          </a:p>
        </c:txPr>
        <c:crossAx val="6329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entury Gothic" panose="020B0502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525475</xdr:colOff>
      <xdr:row>4</xdr:row>
      <xdr:rowOff>201704</xdr:rowOff>
    </xdr:from>
    <xdr:to>
      <xdr:col>31</xdr:col>
      <xdr:colOff>145677</xdr:colOff>
      <xdr:row>32</xdr:row>
      <xdr:rowOff>11206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2E79945-1D1C-4BBF-A171-6624364F48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idor\usuarios\DOCUME~1\User\CONFIG~1\Temp\Solicitacao_de_acesso_Prim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16_CONTRATA&#199;&#195;O%20DE%20ENERGIA\Demanda%20Client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mercial\10_REH-TARIFAS\Proje&#231;&#227;o%20de%20Tarifas\_Tarifas%20Vigentes%20vs%20Tarifas%20Projetadas_12_17_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ulário"/>
      <sheetName val="Paramet."/>
    </sheetNames>
    <sheetDataSet>
      <sheetData sheetId="0"/>
      <sheetData sheetId="1">
        <row r="3">
          <cell r="A3" t="str">
            <v>Comutação</v>
          </cell>
        </row>
        <row r="4">
          <cell r="A4" t="str">
            <v>Transmissão</v>
          </cell>
        </row>
        <row r="5">
          <cell r="A5" t="str">
            <v>Infra-Estrutura</v>
          </cell>
        </row>
        <row r="6">
          <cell r="A6" t="str">
            <v>DG</v>
          </cell>
        </row>
        <row r="7">
          <cell r="A7" t="str">
            <v>RICD</v>
          </cell>
        </row>
        <row r="8">
          <cell r="A8" t="str">
            <v>BTS da OI</v>
          </cell>
        </row>
        <row r="9">
          <cell r="A9" t="str">
            <v>Porão de cabos</v>
          </cell>
        </row>
        <row r="10">
          <cell r="A10" t="str">
            <v>Pressurização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MIDORES"/>
      <sheetName val="Índices"/>
      <sheetName val="RESUMO (2)"/>
      <sheetName val="RESUMO"/>
      <sheetName val="Planilha1"/>
      <sheetName val="Planilha2"/>
    </sheetNames>
    <sheetDataSet>
      <sheetData sheetId="0"/>
      <sheetData sheetId="1"/>
      <sheetData sheetId="2">
        <row r="4">
          <cell r="V4">
            <v>2017</v>
          </cell>
          <cell r="W4">
            <v>1.0209999999999999</v>
          </cell>
        </row>
        <row r="5">
          <cell r="W5">
            <v>1.0209999999999999</v>
          </cell>
        </row>
        <row r="6">
          <cell r="W6">
            <v>1.0209999999999999</v>
          </cell>
        </row>
        <row r="7">
          <cell r="W7">
            <v>1.1200000000000001</v>
          </cell>
        </row>
        <row r="8">
          <cell r="W8">
            <v>1.1200000000000001</v>
          </cell>
        </row>
        <row r="9">
          <cell r="W9">
            <v>1.1200000000000001</v>
          </cell>
        </row>
        <row r="10">
          <cell r="W10">
            <v>0</v>
          </cell>
        </row>
        <row r="11">
          <cell r="W11">
            <v>0</v>
          </cell>
        </row>
        <row r="12">
          <cell r="W12">
            <v>0</v>
          </cell>
        </row>
        <row r="13">
          <cell r="W13">
            <v>0</v>
          </cell>
        </row>
        <row r="14">
          <cell r="W14">
            <v>0</v>
          </cell>
        </row>
        <row r="15">
          <cell r="W15">
            <v>0</v>
          </cell>
        </row>
        <row r="16">
          <cell r="W16">
            <v>0</v>
          </cell>
        </row>
        <row r="17">
          <cell r="W17">
            <v>0</v>
          </cell>
        </row>
      </sheetData>
      <sheetData sheetId="3"/>
      <sheetData sheetId="4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CO DE DADOS"/>
      <sheetName val="BANCO TARIFAS MÉDIAS"/>
      <sheetName val="COMPARATIVO VIGENTExPROJ"/>
      <sheetName val="PREVISÃO E COMPARATIVO - CATIVO"/>
      <sheetName val="TARIFAS MÉDIAS - CATIVO"/>
      <sheetName val="PREVISÃO E COMPARATIVO - LIVRE"/>
      <sheetName val="TARIFAS MÉDIAS - LIVRE"/>
      <sheetName val="Valor Desconto_v2"/>
      <sheetName val="premissas"/>
    </sheetNames>
    <sheetDataSet>
      <sheetData sheetId="0">
        <row r="1">
          <cell r="U1" t="str">
            <v>Empresa</v>
          </cell>
          <cell r="V1" t="str">
            <v>Subgrupo</v>
          </cell>
          <cell r="W1" t="str">
            <v>Modalidade</v>
          </cell>
        </row>
        <row r="2">
          <cell r="U2" t="str">
            <v>AmE</v>
          </cell>
          <cell r="V2" t="str">
            <v>A1</v>
          </cell>
          <cell r="W2" t="str">
            <v>USO CARGA</v>
          </cell>
          <cell r="X2">
            <v>44136</v>
          </cell>
        </row>
        <row r="3">
          <cell r="U3" t="str">
            <v>CAIUA</v>
          </cell>
          <cell r="V3" t="str">
            <v>A2</v>
          </cell>
          <cell r="W3" t="str">
            <v>USO GERAÇÃO</v>
          </cell>
          <cell r="X3" t="e">
            <v>#N/A</v>
          </cell>
        </row>
        <row r="4">
          <cell r="U4" t="str">
            <v>Equatorial AL</v>
          </cell>
          <cell r="V4" t="str">
            <v>A3</v>
          </cell>
          <cell r="W4" t="str">
            <v>AZUL</v>
          </cell>
          <cell r="X4">
            <v>43954</v>
          </cell>
        </row>
        <row r="5">
          <cell r="U5" t="str">
            <v>CEB</v>
          </cell>
          <cell r="V5" t="str">
            <v>A4</v>
          </cell>
          <cell r="W5" t="str">
            <v>CONVENCIONAL</v>
          </cell>
          <cell r="X5">
            <v>44126</v>
          </cell>
        </row>
        <row r="6">
          <cell r="U6" t="str">
            <v>CELESC</v>
          </cell>
          <cell r="V6" t="str">
            <v>AS</v>
          </cell>
          <cell r="W6" t="str">
            <v>VERDE</v>
          </cell>
          <cell r="X6">
            <v>44065</v>
          </cell>
        </row>
        <row r="7">
          <cell r="U7" t="str">
            <v>Equatorial PA</v>
          </cell>
          <cell r="V7" t="str">
            <v>B1</v>
          </cell>
          <cell r="W7" t="str">
            <v>BRANCA</v>
          </cell>
          <cell r="X7">
            <v>44050</v>
          </cell>
        </row>
        <row r="8">
          <cell r="U8" t="str">
            <v>CELPE</v>
          </cell>
          <cell r="V8" t="str">
            <v>B2</v>
          </cell>
          <cell r="W8" t="str">
            <v>SUPRIMENTO</v>
          </cell>
          <cell r="X8">
            <v>43950</v>
          </cell>
        </row>
        <row r="9">
          <cell r="U9" t="str">
            <v>CEMIG</v>
          </cell>
          <cell r="V9" t="str">
            <v>B3</v>
          </cell>
          <cell r="X9">
            <v>44062</v>
          </cell>
        </row>
        <row r="10">
          <cell r="U10" t="str">
            <v>CFLO</v>
          </cell>
          <cell r="V10" t="str">
            <v>B4</v>
          </cell>
          <cell r="X10" t="e">
            <v>#N/A</v>
          </cell>
        </row>
        <row r="11">
          <cell r="U11" t="str">
            <v>CNEE</v>
          </cell>
          <cell r="X11" t="e">
            <v>#N/A</v>
          </cell>
        </row>
        <row r="12">
          <cell r="U12" t="str">
            <v>COELBA</v>
          </cell>
          <cell r="X12">
            <v>43943</v>
          </cell>
        </row>
        <row r="13">
          <cell r="U13" t="str">
            <v>COPEL</v>
          </cell>
          <cell r="X13">
            <v>44006</v>
          </cell>
        </row>
        <row r="14">
          <cell r="U14" t="str">
            <v>COSERN</v>
          </cell>
          <cell r="X14">
            <v>43943</v>
          </cell>
        </row>
        <row r="15">
          <cell r="U15" t="str">
            <v>CPFL-Paulista</v>
          </cell>
          <cell r="X15">
            <v>43929</v>
          </cell>
        </row>
        <row r="16">
          <cell r="U16" t="str">
            <v>CPFL-Piratininga</v>
          </cell>
          <cell r="X16">
            <v>44127</v>
          </cell>
        </row>
        <row r="17">
          <cell r="U17" t="str">
            <v>EDEVP</v>
          </cell>
          <cell r="X17" t="e">
            <v>#N/A</v>
          </cell>
        </row>
        <row r="18">
          <cell r="U18" t="str">
            <v>EDP SP</v>
          </cell>
          <cell r="X18">
            <v>44127</v>
          </cell>
        </row>
        <row r="19">
          <cell r="U19" t="str">
            <v>EEB</v>
          </cell>
          <cell r="X19" t="e">
            <v>#N/A</v>
          </cell>
        </row>
        <row r="20">
          <cell r="U20" t="str">
            <v>ELEKTRO</v>
          </cell>
          <cell r="X20">
            <v>44070</v>
          </cell>
        </row>
        <row r="21">
          <cell r="U21" t="str">
            <v>EMS</v>
          </cell>
          <cell r="X21">
            <v>43929</v>
          </cell>
        </row>
        <row r="22">
          <cell r="U22" t="str">
            <v>EMT</v>
          </cell>
          <cell r="X22">
            <v>43929</v>
          </cell>
        </row>
        <row r="23">
          <cell r="U23" t="str">
            <v>ENEL CE</v>
          </cell>
          <cell r="X23">
            <v>43943</v>
          </cell>
        </row>
        <row r="24">
          <cell r="U24" t="str">
            <v>ENEL GO</v>
          </cell>
          <cell r="X24">
            <v>44126</v>
          </cell>
        </row>
        <row r="25">
          <cell r="U25" t="str">
            <v>ENEL RJ</v>
          </cell>
          <cell r="X25">
            <v>43905</v>
          </cell>
        </row>
        <row r="26">
          <cell r="U26" t="str">
            <v>ENEL SP</v>
          </cell>
          <cell r="X26">
            <v>44016</v>
          </cell>
        </row>
        <row r="27">
          <cell r="U27" t="str">
            <v>ESS</v>
          </cell>
          <cell r="X27">
            <v>44024</v>
          </cell>
        </row>
        <row r="28">
          <cell r="U28" t="str">
            <v>LIGHT</v>
          </cell>
          <cell r="X28">
            <v>43905</v>
          </cell>
        </row>
        <row r="29">
          <cell r="U29" t="str">
            <v>RGE</v>
          </cell>
          <cell r="X29" t="e">
            <v>#N/A</v>
          </cell>
        </row>
        <row r="30">
          <cell r="U30" t="str">
            <v>RGE Nova</v>
          </cell>
          <cell r="X30">
            <v>44001</v>
          </cell>
        </row>
        <row r="31">
          <cell r="U31" t="str">
            <v>RGE Sul</v>
          </cell>
          <cell r="X31" t="e">
            <v>#N/A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2">
          <cell r="R2" t="str">
            <v>AZUL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Sheets">
  <a:themeElements>
    <a:clrScheme name="Personalizada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22B35"/>
      </a:accent1>
      <a:accent2>
        <a:srgbClr val="5B9BD5"/>
      </a:accent2>
      <a:accent3>
        <a:srgbClr val="DDEBF7"/>
      </a:accent3>
      <a:accent4>
        <a:srgbClr val="00206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L21"/>
  <sheetViews>
    <sheetView showGridLines="0" tabSelected="1" zoomScale="80" zoomScaleNormal="80" workbookViewId="0">
      <selection activeCell="J15" sqref="J15:J17"/>
    </sheetView>
  </sheetViews>
  <sheetFormatPr defaultRowHeight="14.25" x14ac:dyDescent="0.2"/>
  <cols>
    <col min="3" max="3" width="19" bestFit="1" customWidth="1"/>
    <col min="4" max="4" width="10.125" bestFit="1" customWidth="1"/>
    <col min="5" max="5" width="13.25" bestFit="1" customWidth="1"/>
    <col min="6" max="6" width="25.125" bestFit="1" customWidth="1"/>
    <col min="7" max="7" width="23.25" customWidth="1"/>
    <col min="8" max="8" width="9.625" customWidth="1"/>
    <col min="9" max="9" width="21.25" customWidth="1"/>
    <col min="10" max="10" width="10.125" customWidth="1"/>
    <col min="11" max="11" width="22.125" customWidth="1"/>
    <col min="12" max="12" width="10.625" customWidth="1"/>
    <col min="14" max="14" width="9" customWidth="1"/>
  </cols>
  <sheetData>
    <row r="5" spans="3:12" ht="16.5" x14ac:dyDescent="0.3">
      <c r="C5" s="94" t="s">
        <v>92</v>
      </c>
      <c r="D5" s="96" t="s">
        <v>96</v>
      </c>
      <c r="E5" s="94" t="s">
        <v>97</v>
      </c>
      <c r="F5" s="104" t="s">
        <v>108</v>
      </c>
    </row>
    <row r="6" spans="3:12" ht="16.5" x14ac:dyDescent="0.3">
      <c r="C6" s="94" t="s">
        <v>93</v>
      </c>
      <c r="D6" s="95">
        <v>0</v>
      </c>
      <c r="E6" s="96">
        <v>175</v>
      </c>
      <c r="F6" s="104">
        <v>13.43</v>
      </c>
    </row>
    <row r="7" spans="3:12" ht="16.5" x14ac:dyDescent="0.3">
      <c r="C7" s="94" t="s">
        <v>94</v>
      </c>
      <c r="D7" s="95">
        <v>0.5</v>
      </c>
      <c r="E7" s="96">
        <v>220</v>
      </c>
      <c r="F7" s="104">
        <v>41.69</v>
      </c>
    </row>
    <row r="8" spans="3:12" ht="16.5" x14ac:dyDescent="0.3">
      <c r="C8" s="94" t="s">
        <v>95</v>
      </c>
      <c r="D8" s="95">
        <v>1</v>
      </c>
      <c r="E8" s="96">
        <v>310</v>
      </c>
      <c r="F8" s="104">
        <v>62.43</v>
      </c>
    </row>
    <row r="14" spans="3:12" ht="28.5" customHeight="1" x14ac:dyDescent="0.2">
      <c r="C14" s="155" t="s">
        <v>113</v>
      </c>
      <c r="D14" s="155" t="s">
        <v>120</v>
      </c>
      <c r="E14" s="155" t="s">
        <v>121</v>
      </c>
      <c r="F14" s="155" t="str">
        <f>'SIMULADOR - UC1 682856 PRONTA'!AI6</f>
        <v>Custo anual Mercado cativo</v>
      </c>
      <c r="G14" s="155" t="str">
        <f>'SIMULADOR - UC1 682856 PRONTA'!AI8</f>
        <v>Custo anual Mercado livre Convencional</v>
      </c>
      <c r="H14" s="156" t="s">
        <v>125</v>
      </c>
      <c r="I14" s="155" t="str">
        <f>'SIMULADOR - UC1 682856 PRONTA'!AI11</f>
        <v>Custo anual Mercado livre Incentivada 50%</v>
      </c>
      <c r="J14" s="156" t="s">
        <v>125</v>
      </c>
      <c r="K14" s="155" t="str">
        <f>'SIMULADOR - UC1 682856 PRONTA'!AI14</f>
        <v>Custo anual Mercado livre Incentivada 100%</v>
      </c>
      <c r="L14" s="156" t="s">
        <v>125</v>
      </c>
    </row>
    <row r="15" spans="3:12" ht="15" x14ac:dyDescent="0.2">
      <c r="C15" s="157" t="s">
        <v>114</v>
      </c>
      <c r="D15" s="158">
        <f>'SIMULADOR - UC1 682856 PRONTA'!AA9</f>
        <v>5000</v>
      </c>
      <c r="E15" s="162" t="str">
        <f>'SIMULADOR - UC1 682856 PRONTA'!AA19</f>
        <v>Verde</v>
      </c>
      <c r="F15" s="159">
        <f>'SIMULADOR - UC1 682856 PRONTA'!AJ6</f>
        <v>21749890.817647059</v>
      </c>
      <c r="G15" s="159">
        <f>'SIMULADOR - UC1 682856 PRONTA'!AJ8</f>
        <v>17643811.606849317</v>
      </c>
      <c r="H15" s="160">
        <f>'SIMULADOR - UC1 682856 PRONTA'!AJ9</f>
        <v>0.1887861987549023</v>
      </c>
      <c r="I15" s="159">
        <f>'SIMULADOR - UC1 682856 PRONTA'!AJ11</f>
        <v>16567762.910753421</v>
      </c>
      <c r="J15" s="198">
        <f>'SIMULADOR - UC1 682856 PRONTA'!AJ12</f>
        <v>0.23825995037589107</v>
      </c>
      <c r="K15" s="159">
        <f>'SIMULADOR - UC1 682856 PRONTA'!AJ14</f>
        <v>17133425.173561644</v>
      </c>
      <c r="L15" s="160">
        <f>'SIMULADOR - UC1 682856 PRONTA'!AJ15</f>
        <v>0.21225235946195117</v>
      </c>
    </row>
    <row r="16" spans="3:12" x14ac:dyDescent="0.2">
      <c r="C16" s="157" t="s">
        <v>115</v>
      </c>
      <c r="D16" s="161">
        <f>'SIMULADOR - UC2 112369 PRONTA'!AA9</f>
        <v>705</v>
      </c>
      <c r="E16" s="163" t="s">
        <v>42</v>
      </c>
      <c r="F16" s="159">
        <f>'SIMULADOR - UC2 112369 PRONTA'!AL6</f>
        <v>3772877.1970588244</v>
      </c>
      <c r="G16" s="159">
        <f>'SIMULADOR - UC2 112369 PRONTA'!AL8</f>
        <v>3079704.2538517318</v>
      </c>
      <c r="H16" s="160">
        <f>'SIMULADOR - UC2 112369 PRONTA'!AL9</f>
        <v>0.18372528630072055</v>
      </c>
      <c r="I16" s="159">
        <f>'SIMULADOR - UC2 112369 PRONTA'!AL11</f>
        <v>2863477.4375531017</v>
      </c>
      <c r="J16" s="198">
        <f>'SIMULADOR - UC2 112369 PRONTA'!AL12</f>
        <v>0.24103614085681144</v>
      </c>
      <c r="K16" s="159">
        <f>'SIMULADOR - UC2 112369 PRONTA'!AL14</f>
        <v>2913507.6075558416</v>
      </c>
      <c r="L16" s="160">
        <f>'SIMULADOR - UC2 112369 PRONTA'!AL15</f>
        <v>0.22777565889844256</v>
      </c>
    </row>
    <row r="17" spans="3:12" x14ac:dyDescent="0.2">
      <c r="C17" s="157" t="s">
        <v>116</v>
      </c>
      <c r="D17" s="161">
        <f>'SIMULADOR - UC3 1169414 PRONTA'!AA9</f>
        <v>700</v>
      </c>
      <c r="E17" s="163" t="s">
        <v>42</v>
      </c>
      <c r="F17" s="159">
        <f>'SIMULADOR - UC3 1169414 PRONTA'!AK6</f>
        <v>3110206.1576470598</v>
      </c>
      <c r="G17" s="159">
        <f>'SIMULADOR - UC3 1169414 PRONTA'!AK8</f>
        <v>2527045.7532312651</v>
      </c>
      <c r="H17" s="160">
        <f>'SIMULADOR - UC3 1169414 PRONTA'!AK9</f>
        <v>0.18749895500720393</v>
      </c>
      <c r="I17" s="159">
        <f>'SIMULADOR - UC3 1169414 PRONTA'!AK11</f>
        <v>2370320.3691024981</v>
      </c>
      <c r="J17" s="198">
        <f>'SIMULADOR - UC3 1169414 PRONTA'!AK12</f>
        <v>0.23788962886765738</v>
      </c>
      <c r="K17" s="159">
        <f>'SIMULADOR - UC3 1169414 PRONTA'!AK14</f>
        <v>2445738.272644964</v>
      </c>
      <c r="L17" s="160">
        <f>'SIMULADOR - UC3 1169414 PRONTA'!AK15</f>
        <v>0.21364110651262438</v>
      </c>
    </row>
    <row r="18" spans="3:12" x14ac:dyDescent="0.2">
      <c r="C18" s="157" t="s">
        <v>117</v>
      </c>
      <c r="D18" s="161">
        <f>'SIMULADOR - UC4 1377100 PRONTA'!AA9</f>
        <v>500</v>
      </c>
      <c r="E18" s="163" t="s">
        <v>42</v>
      </c>
      <c r="F18" s="159">
        <f>'SIMULADOR - UC4 1377100 PRONTA'!AI6</f>
        <v>1898643.1089264709</v>
      </c>
      <c r="G18" s="159">
        <f>'SIMULADOR - UC4 1377100 PRONTA'!AI8</f>
        <v>1564868.287055399</v>
      </c>
      <c r="H18" s="160">
        <f>'SIMULADOR - UC4 1377100 PRONTA'!AI9</f>
        <v>0.1757965045151611</v>
      </c>
      <c r="I18" s="159">
        <f>'SIMULADOR - UC4 1377100 PRONTA'!AI11</f>
        <v>1411127.3056759464</v>
      </c>
      <c r="J18" s="160">
        <f>'SIMULADOR - UC4 1377100 PRONTA'!AI12</f>
        <v>0.25677063844093123</v>
      </c>
      <c r="K18" s="159">
        <f>'SIMULADOR - UC4 1377100 PRONTA'!AI14</f>
        <v>1383549.618817043</v>
      </c>
      <c r="L18" s="198">
        <f>'SIMULADOR - UC4 1377100 PRONTA'!AI15</f>
        <v>0.27129558350788291</v>
      </c>
    </row>
    <row r="19" spans="3:12" x14ac:dyDescent="0.2">
      <c r="C19" s="157" t="s">
        <v>118</v>
      </c>
      <c r="D19" s="161">
        <f>'SIMULADOR - UC5 1849938 PRONTA'!AA9</f>
        <v>250</v>
      </c>
      <c r="E19" s="163" t="s">
        <v>42</v>
      </c>
      <c r="F19" s="159">
        <f>'SIMULADOR - UC5 1849938 PRONTA'!AJ6</f>
        <v>285621.85147058824</v>
      </c>
      <c r="G19" s="159">
        <f>'SIMULADOR - UC5 1849938 PRONTA'!AJ8</f>
        <v>259284.53535455282</v>
      </c>
      <c r="H19" s="160">
        <f>'SIMULADOR - UC5 1849938 PRONTA'!AJ9</f>
        <v>9.2210438313566817E-2</v>
      </c>
      <c r="I19" s="159">
        <f>'SIMULADOR - UC5 1849938 PRONTA'!AJ11</f>
        <v>203364.88078605966</v>
      </c>
      <c r="J19" s="160">
        <f>'SIMULADOR - UC5 1849938 PRONTA'!AJ12</f>
        <v>0.28799256870932705</v>
      </c>
      <c r="K19" s="159">
        <f>'SIMULADOR - UC5 1849938 PRONTA'!AJ14</f>
        <v>158195.91114907333</v>
      </c>
      <c r="L19" s="198">
        <f>'SIMULADOR - UC5 1849938 PRONTA'!AJ15</f>
        <v>0.44613512469523547</v>
      </c>
    </row>
    <row r="20" spans="3:12" x14ac:dyDescent="0.2">
      <c r="C20" s="157" t="s">
        <v>119</v>
      </c>
      <c r="D20" s="161">
        <f>'SIMULADOR - UC6 65139 PRONTA'!AA9</f>
        <v>240</v>
      </c>
      <c r="E20" s="163" t="s">
        <v>42</v>
      </c>
      <c r="F20" s="159">
        <f>'SIMULADOR - UC6 65139 PRONTA'!AJ6</f>
        <v>768445.77867647051</v>
      </c>
      <c r="G20" s="159">
        <f>'SIMULADOR - UC6 65139 PRONTA'!AJ8</f>
        <v>648800.88359186135</v>
      </c>
      <c r="H20" s="160">
        <f>'SIMULADOR - UC6 65139 PRONTA'!AJ9</f>
        <v>0.15569725074250401</v>
      </c>
      <c r="I20" s="159">
        <f>'SIMULADOR - UC6 65139 PRONTA'!AJ11</f>
        <v>548644.78918775183</v>
      </c>
      <c r="J20" s="160">
        <f>'SIMULADOR - UC6 65139 PRONTA'!AJ12</f>
        <v>0.2860331796828815</v>
      </c>
      <c r="K20" s="159">
        <f>'SIMULADOR - UC6 65139 PRONTA'!AJ14</f>
        <v>488652.73587953264</v>
      </c>
      <c r="L20" s="198">
        <f>'SIMULADOR - UC6 65139 PRONTA'!AJ15</f>
        <v>0.36410251778445357</v>
      </c>
    </row>
    <row r="21" spans="3:12" x14ac:dyDescent="0.2">
      <c r="G21" s="125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  <pageSetUpPr fitToPage="1"/>
  </sheetPr>
  <dimension ref="A1:XCN1008"/>
  <sheetViews>
    <sheetView showGridLines="0" topLeftCell="A10" zoomScale="70" zoomScaleNormal="70" zoomScaleSheetLayoutView="85" workbookViewId="0">
      <pane xSplit="3" topLeftCell="D1" activePane="topRight" state="frozen"/>
      <selection activeCell="F188" sqref="F188"/>
      <selection pane="topRight" activeCell="D41" sqref="D41"/>
    </sheetView>
  </sheetViews>
  <sheetFormatPr defaultRowHeight="16.5" outlineLevelRow="1" x14ac:dyDescent="0.3"/>
  <cols>
    <col min="1" max="1" width="9" style="1"/>
    <col min="2" max="2" width="4.375" style="1" customWidth="1"/>
    <col min="3" max="3" width="39.25" style="1" bestFit="1" customWidth="1"/>
    <col min="4" max="27" width="13.25" style="1" customWidth="1"/>
    <col min="28" max="28" width="6.625" style="1" customWidth="1"/>
    <col min="29" max="29" width="18.75" style="1" bestFit="1" customWidth="1"/>
    <col min="30" max="31" width="11.25" style="1" customWidth="1"/>
    <col min="32" max="32" width="25.375" style="1" bestFit="1" customWidth="1"/>
    <col min="33" max="34" width="9" style="1"/>
    <col min="35" max="35" width="42.25" style="1" bestFit="1" customWidth="1"/>
    <col min="36" max="36" width="15" style="1" bestFit="1" customWidth="1"/>
    <col min="37" max="37" width="9" style="1" customWidth="1"/>
    <col min="38" max="16384" width="9" style="1"/>
  </cols>
  <sheetData>
    <row r="1" spans="1:36 16314:16316" ht="21" customHeight="1" thickBot="1" x14ac:dyDescent="0.35">
      <c r="D1" s="2" t="str">
        <f>$D$2&amp;D3</f>
        <v>43101</v>
      </c>
      <c r="E1" s="2" t="str">
        <f t="shared" ref="E1:I1" si="0">$D$2&amp;E3</f>
        <v>43133</v>
      </c>
      <c r="F1" s="2" t="str">
        <f t="shared" si="0"/>
        <v>43165</v>
      </c>
      <c r="G1" s="2" t="str">
        <f t="shared" si="0"/>
        <v>43197</v>
      </c>
      <c r="H1" s="2" t="str">
        <f t="shared" si="0"/>
        <v>43229</v>
      </c>
      <c r="I1" s="2" t="str">
        <f t="shared" si="0"/>
        <v>43261</v>
      </c>
      <c r="AA1" s="3">
        <v>4</v>
      </c>
      <c r="AE1" s="4">
        <f>IF(SUM(D12:D13)&gt;D45,D45,IF(SUM(D12:D13)&lt;D46,D46,SUM(D12:D13)))</f>
        <v>1293.5999999999999</v>
      </c>
      <c r="AF1" s="1" t="s">
        <v>2</v>
      </c>
    </row>
    <row r="2" spans="1:36 16314:16316" ht="62.25" customHeight="1" x14ac:dyDescent="0.3">
      <c r="A2" s="164" t="s">
        <v>122</v>
      </c>
      <c r="B2" s="165"/>
      <c r="C2" s="170" t="s">
        <v>100</v>
      </c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1"/>
      <c r="AC2" s="5"/>
    </row>
    <row r="3" spans="1:36 16314:16316" ht="25.5" customHeight="1" x14ac:dyDescent="0.3">
      <c r="A3" s="166"/>
      <c r="B3" s="167"/>
      <c r="C3" s="128" t="s">
        <v>3</v>
      </c>
      <c r="D3" s="7">
        <v>43101</v>
      </c>
      <c r="E3" s="7">
        <v>43133</v>
      </c>
      <c r="F3" s="7">
        <v>43165</v>
      </c>
      <c r="G3" s="7">
        <v>43197</v>
      </c>
      <c r="H3" s="7">
        <v>43229</v>
      </c>
      <c r="I3" s="7">
        <v>43261</v>
      </c>
      <c r="J3" s="7">
        <v>43293</v>
      </c>
      <c r="K3" s="7">
        <v>43325</v>
      </c>
      <c r="L3" s="7">
        <v>43357</v>
      </c>
      <c r="M3" s="7">
        <v>43389</v>
      </c>
      <c r="N3" s="7">
        <v>43421</v>
      </c>
      <c r="O3" s="7">
        <v>43453</v>
      </c>
      <c r="P3" s="7">
        <v>43485</v>
      </c>
      <c r="Q3" s="7">
        <v>43517</v>
      </c>
      <c r="R3" s="7">
        <v>43549</v>
      </c>
      <c r="S3" s="7">
        <v>43581</v>
      </c>
      <c r="T3" s="7">
        <v>43613</v>
      </c>
      <c r="U3" s="7">
        <v>43645</v>
      </c>
      <c r="V3" s="7">
        <v>43677</v>
      </c>
      <c r="W3" s="7">
        <v>43709</v>
      </c>
      <c r="X3" s="7">
        <v>43741</v>
      </c>
      <c r="Y3" s="7">
        <v>43773</v>
      </c>
      <c r="Z3" s="7">
        <v>43805</v>
      </c>
      <c r="AA3" s="7">
        <v>43806</v>
      </c>
      <c r="XCL3" s="4">
        <v>2</v>
      </c>
      <c r="XCM3" s="4">
        <v>672</v>
      </c>
      <c r="XCN3" s="4">
        <f t="shared" ref="XCN3:XCN16" si="1">XCM3/24</f>
        <v>28</v>
      </c>
    </row>
    <row r="4" spans="1:36 16314:16316" ht="25.5" customHeight="1" x14ac:dyDescent="0.3">
      <c r="A4" s="166"/>
      <c r="B4" s="167"/>
      <c r="C4" s="128" t="s">
        <v>4</v>
      </c>
      <c r="D4" s="6">
        <v>744</v>
      </c>
      <c r="E4" s="6">
        <v>696</v>
      </c>
      <c r="F4" s="6">
        <v>744</v>
      </c>
      <c r="G4" s="6">
        <v>720</v>
      </c>
      <c r="H4" s="6">
        <v>744</v>
      </c>
      <c r="I4" s="6">
        <v>720</v>
      </c>
      <c r="J4" s="6">
        <v>744</v>
      </c>
      <c r="K4" s="6">
        <v>744</v>
      </c>
      <c r="L4" s="6">
        <v>720</v>
      </c>
      <c r="M4" s="6">
        <v>744</v>
      </c>
      <c r="N4" s="6">
        <v>720</v>
      </c>
      <c r="O4" s="6">
        <v>744</v>
      </c>
      <c r="P4" s="6">
        <v>744</v>
      </c>
      <c r="Q4" s="6">
        <v>672</v>
      </c>
      <c r="R4" s="6">
        <v>744</v>
      </c>
      <c r="S4" s="6">
        <v>720</v>
      </c>
      <c r="T4" s="6">
        <v>744</v>
      </c>
      <c r="U4" s="6">
        <v>720</v>
      </c>
      <c r="V4" s="6">
        <v>744</v>
      </c>
      <c r="W4" s="6">
        <v>744</v>
      </c>
      <c r="X4" s="6">
        <v>720</v>
      </c>
      <c r="Y4" s="6">
        <v>744</v>
      </c>
      <c r="Z4" s="6">
        <v>720</v>
      </c>
      <c r="AA4" s="6">
        <v>744</v>
      </c>
      <c r="XCL4" s="4"/>
      <c r="XCM4" s="4"/>
      <c r="XCN4" s="4"/>
    </row>
    <row r="5" spans="1:36 16314:16316" ht="9.75" customHeight="1" x14ac:dyDescent="0.3">
      <c r="A5" s="166"/>
      <c r="B5" s="16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8"/>
      <c r="XCL5" s="4"/>
      <c r="XCM5" s="4"/>
      <c r="XCN5" s="4"/>
    </row>
    <row r="6" spans="1:36 16314:16316" x14ac:dyDescent="0.3">
      <c r="A6" s="166"/>
      <c r="B6" s="167"/>
      <c r="C6" s="129" t="s">
        <v>5</v>
      </c>
      <c r="D6" s="115">
        <v>2352</v>
      </c>
      <c r="E6" s="115">
        <v>2352</v>
      </c>
      <c r="F6" s="115">
        <v>2436</v>
      </c>
      <c r="G6" s="115">
        <v>2436</v>
      </c>
      <c r="H6" s="115">
        <v>2646</v>
      </c>
      <c r="I6" s="115">
        <v>1890</v>
      </c>
      <c r="J6" s="115">
        <v>2142</v>
      </c>
      <c r="K6" s="115">
        <v>2226</v>
      </c>
      <c r="L6" s="115">
        <v>2814</v>
      </c>
      <c r="M6" s="115">
        <v>3150</v>
      </c>
      <c r="N6" s="115">
        <v>3066</v>
      </c>
      <c r="O6" s="115">
        <v>2730</v>
      </c>
      <c r="P6" s="111">
        <v>2520</v>
      </c>
      <c r="Q6" s="111">
        <v>2352</v>
      </c>
      <c r="R6" s="111">
        <v>2982</v>
      </c>
      <c r="S6" s="111">
        <v>2982</v>
      </c>
      <c r="T6" s="111">
        <v>2394</v>
      </c>
      <c r="U6" s="111">
        <v>2772</v>
      </c>
      <c r="V6" s="111">
        <v>2604</v>
      </c>
      <c r="W6" s="111">
        <v>2394</v>
      </c>
      <c r="X6" s="111">
        <v>2772</v>
      </c>
      <c r="Y6" s="111">
        <v>2688</v>
      </c>
      <c r="Z6" s="111">
        <v>2772</v>
      </c>
      <c r="AA6" s="111">
        <v>2772</v>
      </c>
      <c r="AB6" s="2"/>
      <c r="AC6" s="94" t="s">
        <v>92</v>
      </c>
      <c r="AD6" s="96" t="s">
        <v>96</v>
      </c>
      <c r="AE6" s="94" t="s">
        <v>97</v>
      </c>
      <c r="AF6" s="104" t="s">
        <v>108</v>
      </c>
      <c r="AI6" s="94" t="s">
        <v>124</v>
      </c>
      <c r="AJ6" s="135">
        <f>AC64</f>
        <v>21749890.817647059</v>
      </c>
      <c r="XCL6" s="4">
        <v>3</v>
      </c>
      <c r="XCM6" s="4">
        <v>744</v>
      </c>
      <c r="XCN6" s="4">
        <f t="shared" si="1"/>
        <v>31</v>
      </c>
    </row>
    <row r="7" spans="1:36 16314:16316" x14ac:dyDescent="0.3">
      <c r="A7" s="166"/>
      <c r="B7" s="167"/>
      <c r="C7" s="129" t="s">
        <v>41</v>
      </c>
      <c r="D7" s="115">
        <v>4578</v>
      </c>
      <c r="E7" s="115">
        <v>4536</v>
      </c>
      <c r="F7" s="115">
        <v>4662</v>
      </c>
      <c r="G7" s="115">
        <v>4326</v>
      </c>
      <c r="H7" s="115">
        <v>4452</v>
      </c>
      <c r="I7" s="115">
        <v>3864</v>
      </c>
      <c r="J7" s="115">
        <v>3108</v>
      </c>
      <c r="K7" s="115">
        <v>3318</v>
      </c>
      <c r="L7" s="115">
        <v>4242</v>
      </c>
      <c r="M7" s="115">
        <v>4662</v>
      </c>
      <c r="N7" s="115">
        <v>4578</v>
      </c>
      <c r="O7" s="115">
        <v>4872</v>
      </c>
      <c r="P7" s="111">
        <v>4536</v>
      </c>
      <c r="Q7" s="111">
        <v>4284</v>
      </c>
      <c r="R7" s="111">
        <v>4746</v>
      </c>
      <c r="S7" s="111">
        <v>4452</v>
      </c>
      <c r="T7" s="111">
        <v>3990</v>
      </c>
      <c r="U7" s="111">
        <v>4116</v>
      </c>
      <c r="V7" s="111">
        <v>3864</v>
      </c>
      <c r="W7" s="111">
        <v>3696</v>
      </c>
      <c r="X7" s="111">
        <v>4326</v>
      </c>
      <c r="Y7" s="111">
        <v>4620</v>
      </c>
      <c r="Z7" s="111">
        <v>4788</v>
      </c>
      <c r="AA7" s="111">
        <v>4704</v>
      </c>
      <c r="AB7" s="2"/>
      <c r="AC7" s="94" t="s">
        <v>93</v>
      </c>
      <c r="AD7" s="95">
        <v>0</v>
      </c>
      <c r="AE7" s="96">
        <v>175</v>
      </c>
      <c r="AF7" s="104">
        <v>13.43</v>
      </c>
      <c r="AJ7" s="137"/>
      <c r="XCL7" s="4">
        <v>4</v>
      </c>
      <c r="XCM7" s="4">
        <v>720</v>
      </c>
      <c r="XCN7" s="4">
        <f t="shared" si="1"/>
        <v>30</v>
      </c>
    </row>
    <row r="8" spans="1:36 16314:16316" x14ac:dyDescent="0.3">
      <c r="A8" s="166"/>
      <c r="B8" s="167"/>
      <c r="C8" s="129" t="s">
        <v>6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2"/>
      <c r="AC8" s="94" t="s">
        <v>94</v>
      </c>
      <c r="AD8" s="95">
        <v>0.5</v>
      </c>
      <c r="AE8" s="96">
        <v>220</v>
      </c>
      <c r="AF8" s="104">
        <v>41.69</v>
      </c>
      <c r="AI8" s="94" t="s">
        <v>127</v>
      </c>
      <c r="AJ8" s="135">
        <f>AC188</f>
        <v>17643811.606849317</v>
      </c>
      <c r="XCL8" s="4">
        <v>5</v>
      </c>
      <c r="XCM8" s="4">
        <v>744</v>
      </c>
      <c r="XCN8" s="4">
        <f t="shared" si="1"/>
        <v>31</v>
      </c>
    </row>
    <row r="9" spans="1:36 16314:16316" x14ac:dyDescent="0.3">
      <c r="A9" s="166"/>
      <c r="B9" s="167"/>
      <c r="C9" s="129" t="s">
        <v>7</v>
      </c>
      <c r="D9" s="116">
        <v>5000</v>
      </c>
      <c r="E9" s="116">
        <v>5000</v>
      </c>
      <c r="F9" s="116">
        <v>5000</v>
      </c>
      <c r="G9" s="116">
        <v>5000</v>
      </c>
      <c r="H9" s="116">
        <v>5000</v>
      </c>
      <c r="I9" s="116">
        <v>5000</v>
      </c>
      <c r="J9" s="116">
        <v>5000</v>
      </c>
      <c r="K9" s="116">
        <v>5000</v>
      </c>
      <c r="L9" s="116">
        <v>5000</v>
      </c>
      <c r="M9" s="116">
        <v>5000</v>
      </c>
      <c r="N9" s="116">
        <v>5000</v>
      </c>
      <c r="O9" s="116">
        <v>5000</v>
      </c>
      <c r="P9" s="112">
        <v>5000</v>
      </c>
      <c r="Q9" s="112">
        <v>5000</v>
      </c>
      <c r="R9" s="112">
        <v>5000</v>
      </c>
      <c r="S9" s="112">
        <v>5000</v>
      </c>
      <c r="T9" s="112">
        <v>5000</v>
      </c>
      <c r="U9" s="112">
        <v>5000</v>
      </c>
      <c r="V9" s="112">
        <v>5000</v>
      </c>
      <c r="W9" s="112">
        <v>5000</v>
      </c>
      <c r="X9" s="112">
        <v>5000</v>
      </c>
      <c r="Y9" s="112">
        <v>5000</v>
      </c>
      <c r="Z9" s="112">
        <v>5000</v>
      </c>
      <c r="AA9" s="112">
        <v>5000</v>
      </c>
      <c r="AB9" s="2"/>
      <c r="AC9" s="94" t="s">
        <v>95</v>
      </c>
      <c r="AD9" s="95">
        <v>1</v>
      </c>
      <c r="AE9" s="96">
        <v>310</v>
      </c>
      <c r="AF9" s="104">
        <v>62.43</v>
      </c>
      <c r="AI9" s="94" t="s">
        <v>125</v>
      </c>
      <c r="AJ9" s="136">
        <f>(AJ6-AJ8)/AJ6</f>
        <v>0.1887861987549023</v>
      </c>
      <c r="XCL9" s="4">
        <v>6</v>
      </c>
      <c r="XCM9" s="4">
        <v>720</v>
      </c>
      <c r="XCN9" s="4">
        <f t="shared" si="1"/>
        <v>30</v>
      </c>
    </row>
    <row r="10" spans="1:36 16314:16316" x14ac:dyDescent="0.3">
      <c r="A10" s="166"/>
      <c r="B10" s="167"/>
      <c r="C10" s="129" t="s">
        <v>8</v>
      </c>
      <c r="D10" s="16">
        <f t="shared" ref="D10:AA10" si="2">IF(D19="Verde",0,IF(D6&gt;D8*1.05,D6-D8,0))</f>
        <v>0</v>
      </c>
      <c r="E10" s="16">
        <f t="shared" si="2"/>
        <v>0</v>
      </c>
      <c r="F10" s="16">
        <f t="shared" si="2"/>
        <v>0</v>
      </c>
      <c r="G10" s="16">
        <f t="shared" si="2"/>
        <v>0</v>
      </c>
      <c r="H10" s="16">
        <f t="shared" si="2"/>
        <v>0</v>
      </c>
      <c r="I10" s="16">
        <f t="shared" si="2"/>
        <v>0</v>
      </c>
      <c r="J10" s="16">
        <f t="shared" si="2"/>
        <v>0</v>
      </c>
      <c r="K10" s="16">
        <f t="shared" si="2"/>
        <v>0</v>
      </c>
      <c r="L10" s="16">
        <f t="shared" si="2"/>
        <v>0</v>
      </c>
      <c r="M10" s="16">
        <f t="shared" si="2"/>
        <v>0</v>
      </c>
      <c r="N10" s="16">
        <f t="shared" si="2"/>
        <v>0</v>
      </c>
      <c r="O10" s="16">
        <f t="shared" si="2"/>
        <v>0</v>
      </c>
      <c r="P10" s="16">
        <f t="shared" si="2"/>
        <v>0</v>
      </c>
      <c r="Q10" s="16">
        <f t="shared" si="2"/>
        <v>0</v>
      </c>
      <c r="R10" s="16">
        <f t="shared" si="2"/>
        <v>0</v>
      </c>
      <c r="S10" s="16">
        <f t="shared" si="2"/>
        <v>0</v>
      </c>
      <c r="T10" s="16">
        <f t="shared" si="2"/>
        <v>0</v>
      </c>
      <c r="U10" s="16">
        <f t="shared" si="2"/>
        <v>0</v>
      </c>
      <c r="V10" s="16">
        <f t="shared" si="2"/>
        <v>0</v>
      </c>
      <c r="W10" s="16">
        <f t="shared" si="2"/>
        <v>0</v>
      </c>
      <c r="X10" s="16">
        <f t="shared" si="2"/>
        <v>0</v>
      </c>
      <c r="Y10" s="16">
        <f t="shared" si="2"/>
        <v>0</v>
      </c>
      <c r="Z10" s="16">
        <f t="shared" si="2"/>
        <v>0</v>
      </c>
      <c r="AA10" s="16">
        <f t="shared" si="2"/>
        <v>0</v>
      </c>
      <c r="AB10" s="2"/>
      <c r="XCL10" s="4">
        <v>7</v>
      </c>
      <c r="XCM10" s="4">
        <v>744</v>
      </c>
      <c r="XCN10" s="4">
        <f t="shared" si="1"/>
        <v>31</v>
      </c>
    </row>
    <row r="11" spans="1:36 16314:16316" x14ac:dyDescent="0.3">
      <c r="A11" s="166"/>
      <c r="B11" s="167"/>
      <c r="C11" s="129" t="s">
        <v>9</v>
      </c>
      <c r="D11" s="18">
        <f t="shared" ref="D11:AA11" si="3">IF(D7&gt;D9*1.05,D7-D9,0)</f>
        <v>0</v>
      </c>
      <c r="E11" s="18">
        <f t="shared" si="3"/>
        <v>0</v>
      </c>
      <c r="F11" s="18">
        <f t="shared" si="3"/>
        <v>0</v>
      </c>
      <c r="G11" s="18">
        <f t="shared" si="3"/>
        <v>0</v>
      </c>
      <c r="H11" s="18">
        <f t="shared" si="3"/>
        <v>0</v>
      </c>
      <c r="I11" s="18">
        <f t="shared" si="3"/>
        <v>0</v>
      </c>
      <c r="J11" s="18">
        <f t="shared" si="3"/>
        <v>0</v>
      </c>
      <c r="K11" s="18">
        <f t="shared" si="3"/>
        <v>0</v>
      </c>
      <c r="L11" s="18">
        <f t="shared" si="3"/>
        <v>0</v>
      </c>
      <c r="M11" s="18">
        <f t="shared" si="3"/>
        <v>0</v>
      </c>
      <c r="N11" s="18">
        <f t="shared" si="3"/>
        <v>0</v>
      </c>
      <c r="O11" s="18">
        <f t="shared" si="3"/>
        <v>0</v>
      </c>
      <c r="P11" s="18">
        <f t="shared" si="3"/>
        <v>0</v>
      </c>
      <c r="Q11" s="18">
        <f t="shared" si="3"/>
        <v>0</v>
      </c>
      <c r="R11" s="18">
        <f t="shared" si="3"/>
        <v>0</v>
      </c>
      <c r="S11" s="18">
        <f t="shared" si="3"/>
        <v>0</v>
      </c>
      <c r="T11" s="18">
        <f t="shared" si="3"/>
        <v>0</v>
      </c>
      <c r="U11" s="18">
        <f t="shared" si="3"/>
        <v>0</v>
      </c>
      <c r="V11" s="18">
        <f t="shared" si="3"/>
        <v>0</v>
      </c>
      <c r="W11" s="18">
        <f t="shared" si="3"/>
        <v>0</v>
      </c>
      <c r="X11" s="18">
        <f t="shared" si="3"/>
        <v>0</v>
      </c>
      <c r="Y11" s="18">
        <f t="shared" si="3"/>
        <v>0</v>
      </c>
      <c r="Z11" s="18">
        <f t="shared" si="3"/>
        <v>0</v>
      </c>
      <c r="AA11" s="18">
        <f t="shared" si="3"/>
        <v>0</v>
      </c>
      <c r="AB11" s="1" t="s">
        <v>43</v>
      </c>
      <c r="AI11" s="94" t="s">
        <v>123</v>
      </c>
      <c r="AJ11" s="135">
        <f>$AC$52</f>
        <v>16567762.910753421</v>
      </c>
      <c r="XCL11" s="4">
        <v>8</v>
      </c>
      <c r="XCM11" s="4">
        <v>744</v>
      </c>
      <c r="XCN11" s="4">
        <f t="shared" si="1"/>
        <v>31</v>
      </c>
    </row>
    <row r="12" spans="1:36 16314:16316" x14ac:dyDescent="0.3">
      <c r="A12" s="166"/>
      <c r="B12" s="167"/>
      <c r="C12" s="129" t="s">
        <v>10</v>
      </c>
      <c r="D12" s="117">
        <v>100.8</v>
      </c>
      <c r="E12" s="117">
        <v>79.8</v>
      </c>
      <c r="F12" s="117">
        <v>88.2</v>
      </c>
      <c r="G12" s="117">
        <v>100.8</v>
      </c>
      <c r="H12" s="117">
        <v>105</v>
      </c>
      <c r="I12" s="117">
        <v>75.599999999999994</v>
      </c>
      <c r="J12" s="117">
        <v>92.4</v>
      </c>
      <c r="K12" s="117">
        <v>88.2</v>
      </c>
      <c r="L12" s="117">
        <v>105</v>
      </c>
      <c r="M12" s="117">
        <v>147</v>
      </c>
      <c r="N12" s="117">
        <v>117.6</v>
      </c>
      <c r="O12" s="117">
        <v>121.8</v>
      </c>
      <c r="P12" s="117">
        <v>88.2</v>
      </c>
      <c r="Q12" s="117">
        <v>67.2</v>
      </c>
      <c r="R12" s="117">
        <v>113.4</v>
      </c>
      <c r="S12" s="117">
        <v>147</v>
      </c>
      <c r="T12" s="117">
        <v>109.2</v>
      </c>
      <c r="U12" s="117">
        <v>113.4</v>
      </c>
      <c r="V12" s="117">
        <v>121.8</v>
      </c>
      <c r="W12" s="117">
        <v>121.8</v>
      </c>
      <c r="X12" s="117">
        <v>117.6</v>
      </c>
      <c r="Y12" s="117">
        <v>105</v>
      </c>
      <c r="Z12" s="117">
        <v>134.4</v>
      </c>
      <c r="AA12" s="117">
        <v>121.8</v>
      </c>
      <c r="AB12" s="2"/>
      <c r="AI12" s="94" t="s">
        <v>125</v>
      </c>
      <c r="AJ12" s="136">
        <f>(AJ6-AJ11)/AJ6</f>
        <v>0.23825995037589107</v>
      </c>
      <c r="XCL12" s="4">
        <v>9</v>
      </c>
      <c r="XCM12" s="4">
        <v>720</v>
      </c>
      <c r="XCN12" s="4">
        <f t="shared" si="1"/>
        <v>30</v>
      </c>
    </row>
    <row r="13" spans="1:36 16314:16316" x14ac:dyDescent="0.3">
      <c r="A13" s="166"/>
      <c r="B13" s="167"/>
      <c r="C13" s="129" t="s">
        <v>11</v>
      </c>
      <c r="D13" s="117">
        <v>1192.8</v>
      </c>
      <c r="E13" s="117">
        <v>1008</v>
      </c>
      <c r="F13" s="117">
        <v>1045.8</v>
      </c>
      <c r="G13" s="117">
        <v>1125.5999999999999</v>
      </c>
      <c r="H13" s="117">
        <v>1096.2</v>
      </c>
      <c r="I13" s="117">
        <v>856.8</v>
      </c>
      <c r="J13" s="117">
        <v>739.2</v>
      </c>
      <c r="K13" s="117">
        <v>756</v>
      </c>
      <c r="L13" s="117">
        <v>852.6</v>
      </c>
      <c r="M13" s="117">
        <v>1192.8</v>
      </c>
      <c r="N13" s="117">
        <v>1096.2</v>
      </c>
      <c r="O13" s="117">
        <v>1138.2</v>
      </c>
      <c r="P13" s="117">
        <v>919.8</v>
      </c>
      <c r="Q13" s="117">
        <v>856.8</v>
      </c>
      <c r="R13" s="117">
        <v>1012.2</v>
      </c>
      <c r="S13" s="117">
        <v>1163.4000000000001</v>
      </c>
      <c r="T13" s="117">
        <v>1041.5999999999999</v>
      </c>
      <c r="U13" s="117">
        <v>898.8</v>
      </c>
      <c r="V13" s="117">
        <v>903</v>
      </c>
      <c r="W13" s="117">
        <v>890.4</v>
      </c>
      <c r="X13" s="117">
        <v>1029</v>
      </c>
      <c r="Y13" s="117">
        <v>995.4</v>
      </c>
      <c r="Z13" s="117">
        <v>1159.2</v>
      </c>
      <c r="AA13" s="117">
        <v>1079.4000000000001</v>
      </c>
      <c r="AB13" s="2"/>
      <c r="AC13" s="1" t="s">
        <v>45</v>
      </c>
      <c r="AD13" s="1">
        <f>SUM(P12:AA13)/SUM(P4:AA4)</f>
        <v>1.5193835616438358</v>
      </c>
      <c r="AF13" s="1">
        <v>145</v>
      </c>
      <c r="AJ13" s="137"/>
      <c r="XCL13" s="4">
        <v>10</v>
      </c>
      <c r="XCM13" s="4">
        <v>744</v>
      </c>
      <c r="XCN13" s="4">
        <f t="shared" si="1"/>
        <v>31</v>
      </c>
    </row>
    <row r="14" spans="1:36 16314:16316" x14ac:dyDescent="0.3">
      <c r="A14" s="166"/>
      <c r="B14" s="167"/>
      <c r="C14" s="129" t="s">
        <v>0</v>
      </c>
      <c r="D14" s="19" t="s">
        <v>44</v>
      </c>
      <c r="E14" s="20" t="s">
        <v>44</v>
      </c>
      <c r="F14" s="20" t="s">
        <v>44</v>
      </c>
      <c r="G14" s="20" t="s">
        <v>44</v>
      </c>
      <c r="H14" s="20" t="s">
        <v>44</v>
      </c>
      <c r="I14" s="20" t="s">
        <v>44</v>
      </c>
      <c r="J14" s="19" t="s">
        <v>44</v>
      </c>
      <c r="K14" s="20" t="s">
        <v>44</v>
      </c>
      <c r="L14" s="20" t="s">
        <v>44</v>
      </c>
      <c r="M14" s="20" t="s">
        <v>44</v>
      </c>
      <c r="N14" s="20" t="s">
        <v>44</v>
      </c>
      <c r="O14" s="20" t="s">
        <v>44</v>
      </c>
      <c r="P14" s="20" t="s">
        <v>44</v>
      </c>
      <c r="Q14" s="20" t="s">
        <v>44</v>
      </c>
      <c r="R14" s="20" t="s">
        <v>44</v>
      </c>
      <c r="S14" s="20" t="s">
        <v>44</v>
      </c>
      <c r="T14" s="20" t="s">
        <v>44</v>
      </c>
      <c r="U14" s="20" t="s">
        <v>44</v>
      </c>
      <c r="V14" s="20" t="s">
        <v>44</v>
      </c>
      <c r="W14" s="20" t="s">
        <v>44</v>
      </c>
      <c r="X14" s="20" t="s">
        <v>44</v>
      </c>
      <c r="Y14" s="20" t="s">
        <v>44</v>
      </c>
      <c r="Z14" s="20" t="s">
        <v>44</v>
      </c>
      <c r="AA14" s="20" t="s">
        <v>44</v>
      </c>
      <c r="AB14" s="2"/>
      <c r="AC14" s="1" t="s">
        <v>91</v>
      </c>
      <c r="AD14" s="93">
        <f>SUM(P12:AA12)/SUM(P12:AA13)</f>
        <v>0.10224045440201955</v>
      </c>
      <c r="AF14" s="1">
        <v>17.64</v>
      </c>
      <c r="AI14" s="94" t="s">
        <v>126</v>
      </c>
      <c r="AJ14" s="135">
        <f>AC120</f>
        <v>17133425.173561644</v>
      </c>
      <c r="XCL14" s="4"/>
      <c r="XCM14" s="4"/>
      <c r="XCN14" s="4"/>
    </row>
    <row r="15" spans="1:36 16314:16316" ht="17.25" customHeight="1" x14ac:dyDescent="0.3">
      <c r="A15" s="166"/>
      <c r="B15" s="167"/>
      <c r="C15" s="107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8"/>
      <c r="AD15" s="1">
        <v>0.12392200974878137</v>
      </c>
      <c r="AF15" s="1">
        <f>AF13+AF14</f>
        <v>162.63999999999999</v>
      </c>
      <c r="AI15" s="94" t="s">
        <v>125</v>
      </c>
      <c r="AJ15" s="136">
        <f>(AJ6-AJ14)/AJ6</f>
        <v>0.21225235946195117</v>
      </c>
      <c r="XCL15" s="4">
        <v>11</v>
      </c>
      <c r="XCM15" s="4">
        <v>720</v>
      </c>
      <c r="XCN15" s="4">
        <f t="shared" si="1"/>
        <v>30</v>
      </c>
    </row>
    <row r="16" spans="1:36 16314:16316" x14ac:dyDescent="0.3">
      <c r="A16" s="166"/>
      <c r="B16" s="167"/>
      <c r="C16" s="129" t="s">
        <v>12</v>
      </c>
      <c r="D16" s="126">
        <f>'SIMULAÇÃO CENÁRIOS'!$D$7</f>
        <v>0.5</v>
      </c>
      <c r="E16" s="126">
        <f>'SIMULAÇÃO CENÁRIOS'!$D$7</f>
        <v>0.5</v>
      </c>
      <c r="F16" s="126">
        <f>'SIMULAÇÃO CENÁRIOS'!$D$7</f>
        <v>0.5</v>
      </c>
      <c r="G16" s="126">
        <f>'SIMULAÇÃO CENÁRIOS'!$D$7</f>
        <v>0.5</v>
      </c>
      <c r="H16" s="126">
        <f>'SIMULAÇÃO CENÁRIOS'!$D$7</f>
        <v>0.5</v>
      </c>
      <c r="I16" s="126">
        <f>'SIMULAÇÃO CENÁRIOS'!$D$7</f>
        <v>0.5</v>
      </c>
      <c r="J16" s="126">
        <f>'SIMULAÇÃO CENÁRIOS'!$D$7</f>
        <v>0.5</v>
      </c>
      <c r="K16" s="126">
        <f>'SIMULAÇÃO CENÁRIOS'!$D$7</f>
        <v>0.5</v>
      </c>
      <c r="L16" s="126">
        <f>'SIMULAÇÃO CENÁRIOS'!$D$7</f>
        <v>0.5</v>
      </c>
      <c r="M16" s="126">
        <f>'SIMULAÇÃO CENÁRIOS'!$D$7</f>
        <v>0.5</v>
      </c>
      <c r="N16" s="126">
        <f>'SIMULAÇÃO CENÁRIOS'!$D$7</f>
        <v>0.5</v>
      </c>
      <c r="O16" s="126">
        <f>'SIMULAÇÃO CENÁRIOS'!$D$7</f>
        <v>0.5</v>
      </c>
      <c r="P16" s="126">
        <f>'SIMULAÇÃO CENÁRIOS'!$D$7</f>
        <v>0.5</v>
      </c>
      <c r="Q16" s="126">
        <f>'SIMULAÇÃO CENÁRIOS'!$D$7</f>
        <v>0.5</v>
      </c>
      <c r="R16" s="126">
        <f>'SIMULAÇÃO CENÁRIOS'!$D$7</f>
        <v>0.5</v>
      </c>
      <c r="S16" s="126">
        <f>'SIMULAÇÃO CENÁRIOS'!$D$7</f>
        <v>0.5</v>
      </c>
      <c r="T16" s="126">
        <f>'SIMULAÇÃO CENÁRIOS'!$D$7</f>
        <v>0.5</v>
      </c>
      <c r="U16" s="126">
        <f>'SIMULAÇÃO CENÁRIOS'!$D$7</f>
        <v>0.5</v>
      </c>
      <c r="V16" s="126">
        <f>'SIMULAÇÃO CENÁRIOS'!$D$7</f>
        <v>0.5</v>
      </c>
      <c r="W16" s="126">
        <f>'SIMULAÇÃO CENÁRIOS'!$D$7</f>
        <v>0.5</v>
      </c>
      <c r="X16" s="126">
        <f>'SIMULAÇÃO CENÁRIOS'!$D$7</f>
        <v>0.5</v>
      </c>
      <c r="Y16" s="126">
        <f>'SIMULAÇÃO CENÁRIOS'!$D$7</f>
        <v>0.5</v>
      </c>
      <c r="Z16" s="126">
        <f>'SIMULAÇÃO CENÁRIOS'!$D$7</f>
        <v>0.5</v>
      </c>
      <c r="AA16" s="126">
        <f>'SIMULAÇÃO CENÁRIOS'!$D$7</f>
        <v>0.5</v>
      </c>
      <c r="XCL16" s="4">
        <v>12</v>
      </c>
      <c r="XCM16" s="4">
        <v>744</v>
      </c>
      <c r="XCN16" s="4">
        <f t="shared" si="1"/>
        <v>31</v>
      </c>
    </row>
    <row r="17" spans="1:32" ht="9.75" customHeight="1" x14ac:dyDescent="0.3">
      <c r="A17" s="166"/>
      <c r="B17" s="167"/>
      <c r="C17" s="107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8"/>
    </row>
    <row r="18" spans="1:32" ht="18.75" customHeight="1" x14ac:dyDescent="0.3">
      <c r="A18" s="166"/>
      <c r="B18" s="167"/>
      <c r="C18" s="129" t="s">
        <v>13</v>
      </c>
      <c r="D18" s="9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9" t="s">
        <v>1</v>
      </c>
      <c r="K18" s="10" t="s">
        <v>1</v>
      </c>
      <c r="L18" s="10" t="s">
        <v>1</v>
      </c>
      <c r="M18" s="10" t="s">
        <v>1</v>
      </c>
      <c r="N18" s="10" t="s">
        <v>1</v>
      </c>
      <c r="O18" s="10" t="s">
        <v>1</v>
      </c>
      <c r="P18" s="9" t="s">
        <v>1</v>
      </c>
      <c r="Q18" s="9" t="s">
        <v>1</v>
      </c>
      <c r="R18" s="9" t="s">
        <v>1</v>
      </c>
      <c r="S18" s="9" t="s">
        <v>1</v>
      </c>
      <c r="T18" s="9" t="s">
        <v>1</v>
      </c>
      <c r="U18" s="9" t="s">
        <v>1</v>
      </c>
      <c r="V18" s="9" t="s">
        <v>1</v>
      </c>
      <c r="W18" s="9" t="s">
        <v>1</v>
      </c>
      <c r="X18" s="9" t="s">
        <v>1</v>
      </c>
      <c r="Y18" s="9" t="s">
        <v>1</v>
      </c>
      <c r="Z18" s="9" t="s">
        <v>1</v>
      </c>
      <c r="AA18" s="9" t="s">
        <v>1</v>
      </c>
      <c r="AF18" s="92">
        <f>AF15*1000</f>
        <v>162640</v>
      </c>
    </row>
    <row r="19" spans="1:32" x14ac:dyDescent="0.3">
      <c r="A19" s="166"/>
      <c r="B19" s="167"/>
      <c r="C19" s="129" t="s">
        <v>14</v>
      </c>
      <c r="D19" s="11" t="s">
        <v>42</v>
      </c>
      <c r="E19" s="12" t="s">
        <v>42</v>
      </c>
      <c r="F19" s="12" t="s">
        <v>42</v>
      </c>
      <c r="G19" s="12" t="s">
        <v>42</v>
      </c>
      <c r="H19" s="12" t="s">
        <v>42</v>
      </c>
      <c r="I19" s="12" t="s">
        <v>42</v>
      </c>
      <c r="J19" s="11" t="s">
        <v>42</v>
      </c>
      <c r="K19" s="12" t="s">
        <v>42</v>
      </c>
      <c r="L19" s="12" t="s">
        <v>42</v>
      </c>
      <c r="M19" s="12" t="s">
        <v>42</v>
      </c>
      <c r="N19" s="12" t="s">
        <v>42</v>
      </c>
      <c r="O19" s="12" t="s">
        <v>42</v>
      </c>
      <c r="P19" s="12" t="s">
        <v>42</v>
      </c>
      <c r="Q19" s="12" t="s">
        <v>42</v>
      </c>
      <c r="R19" s="12" t="s">
        <v>42</v>
      </c>
      <c r="S19" s="12" t="s">
        <v>42</v>
      </c>
      <c r="T19" s="12" t="s">
        <v>42</v>
      </c>
      <c r="U19" s="12" t="s">
        <v>42</v>
      </c>
      <c r="V19" s="12" t="s">
        <v>42</v>
      </c>
      <c r="W19" s="12" t="s">
        <v>42</v>
      </c>
      <c r="X19" s="12" t="s">
        <v>42</v>
      </c>
      <c r="Y19" s="12" t="s">
        <v>42</v>
      </c>
      <c r="Z19" s="12" t="s">
        <v>42</v>
      </c>
      <c r="AA19" s="12" t="s">
        <v>42</v>
      </c>
      <c r="AF19" s="92">
        <f>AF18/100</f>
        <v>1626.4</v>
      </c>
    </row>
    <row r="20" spans="1:32" outlineLevel="1" x14ac:dyDescent="0.3">
      <c r="A20" s="166"/>
      <c r="B20" s="167"/>
      <c r="C20" s="129" t="s">
        <v>15</v>
      </c>
      <c r="D20" s="13">
        <v>49.84</v>
      </c>
      <c r="E20" s="14">
        <v>49.84</v>
      </c>
      <c r="F20" s="14">
        <v>49.84</v>
      </c>
      <c r="G20" s="14">
        <v>49.84</v>
      </c>
      <c r="H20" s="14">
        <v>49.84</v>
      </c>
      <c r="I20" s="14">
        <v>49.84</v>
      </c>
      <c r="J20" s="13">
        <v>49.84</v>
      </c>
      <c r="K20" s="14">
        <v>49.84</v>
      </c>
      <c r="L20" s="14">
        <v>49.84</v>
      </c>
      <c r="M20" s="14">
        <v>49.84</v>
      </c>
      <c r="N20" s="14">
        <v>49.84</v>
      </c>
      <c r="O20" s="14">
        <v>49.84</v>
      </c>
      <c r="P20" s="14">
        <v>49.84</v>
      </c>
      <c r="Q20" s="14">
        <v>49.84</v>
      </c>
      <c r="R20" s="14">
        <v>49.84</v>
      </c>
      <c r="S20" s="14">
        <v>49.84</v>
      </c>
      <c r="T20" s="14">
        <v>49.84</v>
      </c>
      <c r="U20" s="14">
        <v>49.84</v>
      </c>
      <c r="V20" s="14">
        <v>49.84</v>
      </c>
      <c r="W20" s="14">
        <v>49.84</v>
      </c>
      <c r="X20" s="14">
        <v>49.84</v>
      </c>
      <c r="Y20" s="14">
        <v>49.84</v>
      </c>
      <c r="Z20" s="14">
        <v>49.84</v>
      </c>
      <c r="AA20" s="14">
        <v>49.84</v>
      </c>
      <c r="AF20" s="1">
        <f>AF19*1.343</f>
        <v>2184.2552000000001</v>
      </c>
    </row>
    <row r="21" spans="1:32" outlineLevel="1" x14ac:dyDescent="0.3">
      <c r="A21" s="166"/>
      <c r="B21" s="167"/>
      <c r="C21" s="129" t="s">
        <v>16</v>
      </c>
      <c r="D21" s="11">
        <v>19.260000000000002</v>
      </c>
      <c r="E21" s="12">
        <v>19.260000000000002</v>
      </c>
      <c r="F21" s="12">
        <v>19.260000000000002</v>
      </c>
      <c r="G21" s="12">
        <v>19.260000000000002</v>
      </c>
      <c r="H21" s="12">
        <v>19.260000000000002</v>
      </c>
      <c r="I21" s="12">
        <v>19.260000000000002</v>
      </c>
      <c r="J21" s="11">
        <v>19.260000000000002</v>
      </c>
      <c r="K21" s="12">
        <v>19.260000000000002</v>
      </c>
      <c r="L21" s="12">
        <v>19.260000000000002</v>
      </c>
      <c r="M21" s="12">
        <v>19.260000000000002</v>
      </c>
      <c r="N21" s="12">
        <v>19.260000000000002</v>
      </c>
      <c r="O21" s="12">
        <v>19.260000000000002</v>
      </c>
      <c r="P21" s="12">
        <v>19.260000000000002</v>
      </c>
      <c r="Q21" s="12">
        <v>19.260000000000002</v>
      </c>
      <c r="R21" s="12">
        <v>19.260000000000002</v>
      </c>
      <c r="S21" s="12">
        <v>19.260000000000002</v>
      </c>
      <c r="T21" s="12">
        <v>19.260000000000002</v>
      </c>
      <c r="U21" s="12">
        <v>19.260000000000002</v>
      </c>
      <c r="V21" s="12">
        <v>19.260000000000002</v>
      </c>
      <c r="W21" s="12">
        <v>19.260000000000002</v>
      </c>
      <c r="X21" s="12">
        <v>19.260000000000002</v>
      </c>
      <c r="Y21" s="12">
        <v>19.260000000000002</v>
      </c>
      <c r="Z21" s="12">
        <v>19.260000000000002</v>
      </c>
      <c r="AA21" s="12">
        <v>19.260000000000002</v>
      </c>
    </row>
    <row r="22" spans="1:32" outlineLevel="1" x14ac:dyDescent="0.3">
      <c r="A22" s="166"/>
      <c r="B22" s="167"/>
      <c r="C22" s="129" t="s">
        <v>17</v>
      </c>
      <c r="D22" s="15">
        <v>1292.96</v>
      </c>
      <c r="E22" s="16">
        <v>1292.96</v>
      </c>
      <c r="F22" s="16">
        <v>1292.96</v>
      </c>
      <c r="G22" s="16">
        <v>1292.96</v>
      </c>
      <c r="H22" s="16">
        <v>1292.96</v>
      </c>
      <c r="I22" s="16">
        <v>1292.96</v>
      </c>
      <c r="J22" s="15">
        <v>1292.96</v>
      </c>
      <c r="K22" s="16">
        <v>1292.96</v>
      </c>
      <c r="L22" s="16">
        <v>1292.96</v>
      </c>
      <c r="M22" s="16">
        <v>1292.96</v>
      </c>
      <c r="N22" s="16">
        <v>1292.96</v>
      </c>
      <c r="O22" s="16">
        <v>1292.96</v>
      </c>
      <c r="P22" s="16">
        <v>1292.96</v>
      </c>
      <c r="Q22" s="16">
        <v>1292.96</v>
      </c>
      <c r="R22" s="16">
        <v>1292.96</v>
      </c>
      <c r="S22" s="16">
        <v>1292.96</v>
      </c>
      <c r="T22" s="16">
        <v>1292.96</v>
      </c>
      <c r="U22" s="16">
        <v>1292.96</v>
      </c>
      <c r="V22" s="16">
        <v>1292.96</v>
      </c>
      <c r="W22" s="16">
        <v>1292.96</v>
      </c>
      <c r="X22" s="16">
        <v>1292.96</v>
      </c>
      <c r="Y22" s="16">
        <v>1292.96</v>
      </c>
      <c r="Z22" s="16">
        <v>1292.96</v>
      </c>
      <c r="AA22" s="16">
        <v>1292.96</v>
      </c>
    </row>
    <row r="23" spans="1:32" outlineLevel="1" x14ac:dyDescent="0.3">
      <c r="A23" s="166"/>
      <c r="B23" s="167"/>
      <c r="C23" s="129" t="s">
        <v>18</v>
      </c>
      <c r="D23" s="17">
        <v>83.39</v>
      </c>
      <c r="E23" s="18">
        <v>83.39</v>
      </c>
      <c r="F23" s="18">
        <v>83.39</v>
      </c>
      <c r="G23" s="18">
        <v>83.39</v>
      </c>
      <c r="H23" s="18">
        <v>83.39</v>
      </c>
      <c r="I23" s="18">
        <v>83.39</v>
      </c>
      <c r="J23" s="17">
        <v>83.39</v>
      </c>
      <c r="K23" s="18">
        <v>83.39</v>
      </c>
      <c r="L23" s="18">
        <v>83.39</v>
      </c>
      <c r="M23" s="18">
        <v>83.39</v>
      </c>
      <c r="N23" s="18">
        <v>83.39</v>
      </c>
      <c r="O23" s="18">
        <v>83.39</v>
      </c>
      <c r="P23" s="18">
        <v>83.39</v>
      </c>
      <c r="Q23" s="18">
        <v>83.39</v>
      </c>
      <c r="R23" s="18">
        <v>83.39</v>
      </c>
      <c r="S23" s="18">
        <v>83.39</v>
      </c>
      <c r="T23" s="18">
        <v>83.39</v>
      </c>
      <c r="U23" s="18">
        <v>83.39</v>
      </c>
      <c r="V23" s="18">
        <v>83.39</v>
      </c>
      <c r="W23" s="18">
        <v>83.39</v>
      </c>
      <c r="X23" s="18">
        <v>83.39</v>
      </c>
      <c r="Y23" s="18">
        <v>83.39</v>
      </c>
      <c r="Z23" s="18">
        <v>83.39</v>
      </c>
      <c r="AA23" s="18">
        <v>83.39</v>
      </c>
    </row>
    <row r="24" spans="1:32" outlineLevel="1" x14ac:dyDescent="0.3">
      <c r="A24" s="166"/>
      <c r="B24" s="167"/>
      <c r="C24" s="129" t="s">
        <v>19</v>
      </c>
      <c r="D24" s="15">
        <v>420.68</v>
      </c>
      <c r="E24" s="16">
        <v>420.68</v>
      </c>
      <c r="F24" s="16">
        <v>420.68</v>
      </c>
      <c r="G24" s="16">
        <v>420.68</v>
      </c>
      <c r="H24" s="16">
        <v>420.68</v>
      </c>
      <c r="I24" s="16">
        <v>420.68</v>
      </c>
      <c r="J24" s="15">
        <v>420.68</v>
      </c>
      <c r="K24" s="16">
        <v>420.68</v>
      </c>
      <c r="L24" s="16">
        <v>420.68</v>
      </c>
      <c r="M24" s="16">
        <v>420.68</v>
      </c>
      <c r="N24" s="16">
        <v>420.68</v>
      </c>
      <c r="O24" s="16">
        <v>420.68</v>
      </c>
      <c r="P24" s="16">
        <v>420.68</v>
      </c>
      <c r="Q24" s="16">
        <v>420.68</v>
      </c>
      <c r="R24" s="16">
        <v>420.68</v>
      </c>
      <c r="S24" s="16">
        <v>420.68</v>
      </c>
      <c r="T24" s="16">
        <v>420.68</v>
      </c>
      <c r="U24" s="16">
        <v>420.68</v>
      </c>
      <c r="V24" s="16">
        <v>420.68</v>
      </c>
      <c r="W24" s="16">
        <v>420.68</v>
      </c>
      <c r="X24" s="16">
        <v>420.68</v>
      </c>
      <c r="Y24" s="16">
        <v>420.68</v>
      </c>
      <c r="Z24" s="16">
        <v>420.68</v>
      </c>
      <c r="AA24" s="16">
        <v>420.68</v>
      </c>
    </row>
    <row r="25" spans="1:32" outlineLevel="1" x14ac:dyDescent="0.3">
      <c r="A25" s="166"/>
      <c r="B25" s="167"/>
      <c r="C25" s="130" t="s">
        <v>20</v>
      </c>
      <c r="D25" s="21">
        <v>251.44</v>
      </c>
      <c r="E25" s="22">
        <v>251.44</v>
      </c>
      <c r="F25" s="22">
        <v>251.44</v>
      </c>
      <c r="G25" s="22">
        <v>251.44</v>
      </c>
      <c r="H25" s="22">
        <v>251.44</v>
      </c>
      <c r="I25" s="22">
        <v>251.44</v>
      </c>
      <c r="J25" s="21">
        <v>251.44</v>
      </c>
      <c r="K25" s="22">
        <v>251.44</v>
      </c>
      <c r="L25" s="22">
        <v>251.44</v>
      </c>
      <c r="M25" s="22">
        <v>251.44</v>
      </c>
      <c r="N25" s="22">
        <v>251.44</v>
      </c>
      <c r="O25" s="22">
        <v>251.44</v>
      </c>
      <c r="P25" s="22">
        <v>251.44</v>
      </c>
      <c r="Q25" s="22">
        <v>251.44</v>
      </c>
      <c r="R25" s="22">
        <v>251.44</v>
      </c>
      <c r="S25" s="22">
        <v>251.44</v>
      </c>
      <c r="T25" s="22">
        <v>251.44</v>
      </c>
      <c r="U25" s="22">
        <v>251.44</v>
      </c>
      <c r="V25" s="22">
        <v>251.44</v>
      </c>
      <c r="W25" s="22">
        <v>251.44</v>
      </c>
      <c r="X25" s="22">
        <v>251.44</v>
      </c>
      <c r="Y25" s="22">
        <v>251.44</v>
      </c>
      <c r="Z25" s="22">
        <v>251.44</v>
      </c>
      <c r="AA25" s="22">
        <v>251.44</v>
      </c>
    </row>
    <row r="26" spans="1:32" ht="8.25" customHeight="1" x14ac:dyDescent="0.3">
      <c r="A26" s="166"/>
      <c r="B26" s="16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23"/>
    </row>
    <row r="27" spans="1:32" x14ac:dyDescent="0.3">
      <c r="A27" s="166"/>
      <c r="B27" s="167"/>
      <c r="C27" s="129" t="s">
        <v>21</v>
      </c>
      <c r="D27" s="24">
        <v>0.27</v>
      </c>
      <c r="E27" s="24">
        <v>0.27</v>
      </c>
      <c r="F27" s="24">
        <v>0.27</v>
      </c>
      <c r="G27" s="24">
        <v>0.27</v>
      </c>
      <c r="H27" s="24">
        <v>0.27</v>
      </c>
      <c r="I27" s="24">
        <v>0.27</v>
      </c>
      <c r="J27" s="24">
        <v>0.27</v>
      </c>
      <c r="K27" s="24">
        <v>0.27</v>
      </c>
      <c r="L27" s="24">
        <v>0.27</v>
      </c>
      <c r="M27" s="24">
        <v>0.27</v>
      </c>
      <c r="N27" s="24">
        <v>0.27</v>
      </c>
      <c r="O27" s="24">
        <v>0.27</v>
      </c>
      <c r="P27" s="24">
        <v>0.27</v>
      </c>
      <c r="Q27" s="24">
        <v>0.27</v>
      </c>
      <c r="R27" s="24">
        <v>0.27</v>
      </c>
      <c r="S27" s="24">
        <v>0.27</v>
      </c>
      <c r="T27" s="24">
        <v>0.27</v>
      </c>
      <c r="U27" s="24">
        <v>0.27</v>
      </c>
      <c r="V27" s="24">
        <v>0.27</v>
      </c>
      <c r="W27" s="24">
        <v>0.27</v>
      </c>
      <c r="X27" s="24">
        <v>0.27</v>
      </c>
      <c r="Y27" s="24">
        <v>0.27</v>
      </c>
      <c r="Z27" s="24">
        <v>0.27</v>
      </c>
      <c r="AA27" s="24">
        <v>0.27</v>
      </c>
    </row>
    <row r="28" spans="1:32" x14ac:dyDescent="0.3">
      <c r="A28" s="166"/>
      <c r="B28" s="167"/>
      <c r="C28" s="129" t="s">
        <v>22</v>
      </c>
      <c r="D28" s="25">
        <v>0.05</v>
      </c>
      <c r="E28" s="26">
        <v>0.05</v>
      </c>
      <c r="F28" s="26">
        <v>0.05</v>
      </c>
      <c r="G28" s="26">
        <v>0.05</v>
      </c>
      <c r="H28" s="26">
        <v>0.05</v>
      </c>
      <c r="I28" s="26">
        <v>0.05</v>
      </c>
      <c r="J28" s="25">
        <v>0.05</v>
      </c>
      <c r="K28" s="26">
        <v>0.05</v>
      </c>
      <c r="L28" s="26">
        <v>0.05</v>
      </c>
      <c r="M28" s="26">
        <v>0.05</v>
      </c>
      <c r="N28" s="26">
        <v>0.05</v>
      </c>
      <c r="O28" s="26">
        <v>0.05</v>
      </c>
      <c r="P28" s="26">
        <v>0.05</v>
      </c>
      <c r="Q28" s="26">
        <v>0.05</v>
      </c>
      <c r="R28" s="26">
        <v>0.05</v>
      </c>
      <c r="S28" s="26">
        <v>0.05</v>
      </c>
      <c r="T28" s="26">
        <v>0.05</v>
      </c>
      <c r="U28" s="26">
        <v>0.05</v>
      </c>
      <c r="V28" s="26">
        <v>0.05</v>
      </c>
      <c r="W28" s="26">
        <v>0.05</v>
      </c>
      <c r="X28" s="26">
        <v>0.05</v>
      </c>
      <c r="Y28" s="26">
        <v>0.05</v>
      </c>
      <c r="Z28" s="26">
        <v>0.05</v>
      </c>
      <c r="AA28" s="26">
        <v>0.05</v>
      </c>
    </row>
    <row r="29" spans="1:32" ht="9.75" customHeight="1" x14ac:dyDescent="0.3">
      <c r="A29" s="166"/>
      <c r="B29" s="167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23"/>
    </row>
    <row r="30" spans="1:32" outlineLevel="1" x14ac:dyDescent="0.3">
      <c r="A30" s="166"/>
      <c r="B30" s="167"/>
      <c r="C30" s="131" t="s">
        <v>23</v>
      </c>
      <c r="D30" s="27">
        <f>IF(D19="Azul",D8*D20*(1-D16),0)</f>
        <v>0</v>
      </c>
      <c r="E30" s="28">
        <f t="shared" ref="E30:AA30" si="4">IF(E19="Azul",E8*E20*(1-E16),0)</f>
        <v>0</v>
      </c>
      <c r="F30" s="28">
        <f t="shared" si="4"/>
        <v>0</v>
      </c>
      <c r="G30" s="28">
        <f t="shared" si="4"/>
        <v>0</v>
      </c>
      <c r="H30" s="28">
        <f t="shared" si="4"/>
        <v>0</v>
      </c>
      <c r="I30" s="28">
        <f t="shared" si="4"/>
        <v>0</v>
      </c>
      <c r="J30" s="27">
        <f t="shared" si="4"/>
        <v>0</v>
      </c>
      <c r="K30" s="28">
        <f t="shared" si="4"/>
        <v>0</v>
      </c>
      <c r="L30" s="28">
        <f t="shared" si="4"/>
        <v>0</v>
      </c>
      <c r="M30" s="28">
        <f t="shared" si="4"/>
        <v>0</v>
      </c>
      <c r="N30" s="28">
        <f t="shared" si="4"/>
        <v>0</v>
      </c>
      <c r="O30" s="28">
        <f t="shared" si="4"/>
        <v>0</v>
      </c>
      <c r="P30" s="27">
        <f>IF(P19="Azul",P8*P20*(1-P16),0)</f>
        <v>0</v>
      </c>
      <c r="Q30" s="28">
        <f t="shared" si="4"/>
        <v>0</v>
      </c>
      <c r="R30" s="28">
        <f t="shared" si="4"/>
        <v>0</v>
      </c>
      <c r="S30" s="28">
        <f t="shared" si="4"/>
        <v>0</v>
      </c>
      <c r="T30" s="28">
        <f t="shared" si="4"/>
        <v>0</v>
      </c>
      <c r="U30" s="28">
        <f t="shared" si="4"/>
        <v>0</v>
      </c>
      <c r="V30" s="28">
        <f t="shared" si="4"/>
        <v>0</v>
      </c>
      <c r="W30" s="28">
        <f t="shared" si="4"/>
        <v>0</v>
      </c>
      <c r="X30" s="28">
        <f t="shared" si="4"/>
        <v>0</v>
      </c>
      <c r="Y30" s="28">
        <f t="shared" si="4"/>
        <v>0</v>
      </c>
      <c r="Z30" s="28">
        <f t="shared" si="4"/>
        <v>0</v>
      </c>
      <c r="AA30" s="28">
        <f t="shared" si="4"/>
        <v>0</v>
      </c>
    </row>
    <row r="31" spans="1:32" outlineLevel="1" x14ac:dyDescent="0.3">
      <c r="A31" s="166"/>
      <c r="B31" s="167"/>
      <c r="C31" s="131" t="s">
        <v>24</v>
      </c>
      <c r="D31" s="29">
        <f>D10*D20*2</f>
        <v>0</v>
      </c>
      <c r="E31" s="30">
        <f t="shared" ref="E31:AA31" si="5">E10*E20*2</f>
        <v>0</v>
      </c>
      <c r="F31" s="30">
        <f t="shared" si="5"/>
        <v>0</v>
      </c>
      <c r="G31" s="30">
        <f t="shared" si="5"/>
        <v>0</v>
      </c>
      <c r="H31" s="30">
        <f t="shared" si="5"/>
        <v>0</v>
      </c>
      <c r="I31" s="30">
        <f t="shared" si="5"/>
        <v>0</v>
      </c>
      <c r="J31" s="29">
        <f t="shared" si="5"/>
        <v>0</v>
      </c>
      <c r="K31" s="30">
        <f t="shared" si="5"/>
        <v>0</v>
      </c>
      <c r="L31" s="30">
        <f t="shared" si="5"/>
        <v>0</v>
      </c>
      <c r="M31" s="30">
        <f t="shared" si="5"/>
        <v>0</v>
      </c>
      <c r="N31" s="30">
        <f t="shared" si="5"/>
        <v>0</v>
      </c>
      <c r="O31" s="30">
        <f t="shared" si="5"/>
        <v>0</v>
      </c>
      <c r="P31" s="29">
        <f>P10*P20*2</f>
        <v>0</v>
      </c>
      <c r="Q31" s="30">
        <f t="shared" si="5"/>
        <v>0</v>
      </c>
      <c r="R31" s="30">
        <f t="shared" si="5"/>
        <v>0</v>
      </c>
      <c r="S31" s="30">
        <f t="shared" si="5"/>
        <v>0</v>
      </c>
      <c r="T31" s="30">
        <f t="shared" si="5"/>
        <v>0</v>
      </c>
      <c r="U31" s="30">
        <f t="shared" si="5"/>
        <v>0</v>
      </c>
      <c r="V31" s="30">
        <f t="shared" si="5"/>
        <v>0</v>
      </c>
      <c r="W31" s="30">
        <f t="shared" si="5"/>
        <v>0</v>
      </c>
      <c r="X31" s="30">
        <f t="shared" si="5"/>
        <v>0</v>
      </c>
      <c r="Y31" s="30">
        <f t="shared" si="5"/>
        <v>0</v>
      </c>
      <c r="Z31" s="30">
        <f t="shared" si="5"/>
        <v>0</v>
      </c>
      <c r="AA31" s="30">
        <f t="shared" si="5"/>
        <v>0</v>
      </c>
    </row>
    <row r="32" spans="1:32" outlineLevel="1" x14ac:dyDescent="0.3">
      <c r="A32" s="166"/>
      <c r="B32" s="167"/>
      <c r="C32" s="131" t="s">
        <v>25</v>
      </c>
      <c r="D32" s="31">
        <f>D9*D21*(1-D16)</f>
        <v>48150.000000000007</v>
      </c>
      <c r="E32" s="32">
        <f t="shared" ref="E32:AA32" si="6">E9*E21*(1-E16)</f>
        <v>48150.000000000007</v>
      </c>
      <c r="F32" s="32">
        <f t="shared" si="6"/>
        <v>48150.000000000007</v>
      </c>
      <c r="G32" s="32">
        <f t="shared" si="6"/>
        <v>48150.000000000007</v>
      </c>
      <c r="H32" s="32">
        <f t="shared" si="6"/>
        <v>48150.000000000007</v>
      </c>
      <c r="I32" s="32">
        <f t="shared" si="6"/>
        <v>48150.000000000007</v>
      </c>
      <c r="J32" s="31">
        <f t="shared" si="6"/>
        <v>48150.000000000007</v>
      </c>
      <c r="K32" s="32">
        <f t="shared" si="6"/>
        <v>48150.000000000007</v>
      </c>
      <c r="L32" s="32">
        <f t="shared" si="6"/>
        <v>48150.000000000007</v>
      </c>
      <c r="M32" s="32">
        <f t="shared" si="6"/>
        <v>48150.000000000007</v>
      </c>
      <c r="N32" s="32">
        <f t="shared" si="6"/>
        <v>48150.000000000007</v>
      </c>
      <c r="O32" s="32">
        <f t="shared" si="6"/>
        <v>48150.000000000007</v>
      </c>
      <c r="P32" s="31">
        <f>P9*P21*(1-P16)</f>
        <v>48150.000000000007</v>
      </c>
      <c r="Q32" s="32">
        <f t="shared" si="6"/>
        <v>48150.000000000007</v>
      </c>
      <c r="R32" s="32">
        <f t="shared" si="6"/>
        <v>48150.000000000007</v>
      </c>
      <c r="S32" s="32">
        <f t="shared" si="6"/>
        <v>48150.000000000007</v>
      </c>
      <c r="T32" s="32">
        <f t="shared" si="6"/>
        <v>48150.000000000007</v>
      </c>
      <c r="U32" s="32">
        <f t="shared" si="6"/>
        <v>48150.000000000007</v>
      </c>
      <c r="V32" s="32">
        <f t="shared" si="6"/>
        <v>48150.000000000007</v>
      </c>
      <c r="W32" s="32">
        <f t="shared" si="6"/>
        <v>48150.000000000007</v>
      </c>
      <c r="X32" s="32">
        <f t="shared" si="6"/>
        <v>48150.000000000007</v>
      </c>
      <c r="Y32" s="32">
        <f t="shared" si="6"/>
        <v>48150.000000000007</v>
      </c>
      <c r="Z32" s="32">
        <f t="shared" si="6"/>
        <v>48150.000000000007</v>
      </c>
      <c r="AA32" s="32">
        <f t="shared" si="6"/>
        <v>48150.000000000007</v>
      </c>
    </row>
    <row r="33" spans="1:29" outlineLevel="1" x14ac:dyDescent="0.3">
      <c r="A33" s="166"/>
      <c r="B33" s="167"/>
      <c r="C33" s="131" t="s">
        <v>26</v>
      </c>
      <c r="D33" s="29">
        <f>D11*D21*2</f>
        <v>0</v>
      </c>
      <c r="E33" s="30">
        <f t="shared" ref="E33:AA33" si="7">E11*E21*2</f>
        <v>0</v>
      </c>
      <c r="F33" s="30">
        <f t="shared" si="7"/>
        <v>0</v>
      </c>
      <c r="G33" s="30">
        <f t="shared" si="7"/>
        <v>0</v>
      </c>
      <c r="H33" s="30">
        <f t="shared" si="7"/>
        <v>0</v>
      </c>
      <c r="I33" s="30">
        <f t="shared" si="7"/>
        <v>0</v>
      </c>
      <c r="J33" s="29">
        <f t="shared" si="7"/>
        <v>0</v>
      </c>
      <c r="K33" s="30">
        <f t="shared" si="7"/>
        <v>0</v>
      </c>
      <c r="L33" s="30">
        <f t="shared" si="7"/>
        <v>0</v>
      </c>
      <c r="M33" s="30">
        <f t="shared" si="7"/>
        <v>0</v>
      </c>
      <c r="N33" s="30">
        <f t="shared" si="7"/>
        <v>0</v>
      </c>
      <c r="O33" s="30">
        <f t="shared" si="7"/>
        <v>0</v>
      </c>
      <c r="P33" s="29">
        <f>P11*P21*2</f>
        <v>0</v>
      </c>
      <c r="Q33" s="30">
        <f t="shared" si="7"/>
        <v>0</v>
      </c>
      <c r="R33" s="30">
        <f t="shared" si="7"/>
        <v>0</v>
      </c>
      <c r="S33" s="30">
        <f t="shared" si="7"/>
        <v>0</v>
      </c>
      <c r="T33" s="30">
        <f t="shared" si="7"/>
        <v>0</v>
      </c>
      <c r="U33" s="30">
        <f t="shared" si="7"/>
        <v>0</v>
      </c>
      <c r="V33" s="30">
        <f t="shared" si="7"/>
        <v>0</v>
      </c>
      <c r="W33" s="30">
        <f t="shared" si="7"/>
        <v>0</v>
      </c>
      <c r="X33" s="30">
        <f t="shared" si="7"/>
        <v>0</v>
      </c>
      <c r="Y33" s="30">
        <f t="shared" si="7"/>
        <v>0</v>
      </c>
      <c r="Z33" s="30">
        <f t="shared" si="7"/>
        <v>0</v>
      </c>
      <c r="AA33" s="30">
        <f t="shared" si="7"/>
        <v>0</v>
      </c>
    </row>
    <row r="34" spans="1:29" outlineLevel="1" x14ac:dyDescent="0.3">
      <c r="A34" s="166"/>
      <c r="B34" s="167"/>
      <c r="C34" s="131" t="s">
        <v>27</v>
      </c>
      <c r="D34" s="31">
        <f>IF(D19="Azul",D12*D23,D12*((D22-D23)*(1-D16)+D23))</f>
        <v>69368.039999999994</v>
      </c>
      <c r="E34" s="32">
        <f t="shared" ref="E34:AA34" si="8">IF(E19="Azul",E12*E23,E12*((E22-E23)*(1-E16)+E23))</f>
        <v>54916.364999999998</v>
      </c>
      <c r="F34" s="32">
        <f t="shared" si="8"/>
        <v>60697.034999999996</v>
      </c>
      <c r="G34" s="32">
        <f t="shared" si="8"/>
        <v>69368.039999999994</v>
      </c>
      <c r="H34" s="32">
        <f t="shared" si="8"/>
        <v>72258.375</v>
      </c>
      <c r="I34" s="32">
        <f t="shared" si="8"/>
        <v>52026.029999999992</v>
      </c>
      <c r="J34" s="31">
        <f t="shared" si="8"/>
        <v>63587.37</v>
      </c>
      <c r="K34" s="32">
        <f t="shared" si="8"/>
        <v>60697.034999999996</v>
      </c>
      <c r="L34" s="32">
        <f t="shared" si="8"/>
        <v>72258.375</v>
      </c>
      <c r="M34" s="32">
        <f t="shared" si="8"/>
        <v>101161.72499999999</v>
      </c>
      <c r="N34" s="32">
        <f t="shared" si="8"/>
        <v>80929.37999999999</v>
      </c>
      <c r="O34" s="32">
        <f t="shared" si="8"/>
        <v>83819.714999999997</v>
      </c>
      <c r="P34" s="31">
        <f>IF(P19="Azul",P12*P23,P12*((P22-P23)*(1-P16)+P23))</f>
        <v>60697.034999999996</v>
      </c>
      <c r="Q34" s="32">
        <f t="shared" si="8"/>
        <v>46245.36</v>
      </c>
      <c r="R34" s="32">
        <f t="shared" si="8"/>
        <v>78039.044999999998</v>
      </c>
      <c r="S34" s="32">
        <f t="shared" si="8"/>
        <v>101161.72499999999</v>
      </c>
      <c r="T34" s="32">
        <f t="shared" si="8"/>
        <v>75148.709999999992</v>
      </c>
      <c r="U34" s="32">
        <f t="shared" si="8"/>
        <v>78039.044999999998</v>
      </c>
      <c r="V34" s="32">
        <f t="shared" si="8"/>
        <v>83819.714999999997</v>
      </c>
      <c r="W34" s="32">
        <f t="shared" si="8"/>
        <v>83819.714999999997</v>
      </c>
      <c r="X34" s="32">
        <f t="shared" si="8"/>
        <v>80929.37999999999</v>
      </c>
      <c r="Y34" s="32">
        <f t="shared" si="8"/>
        <v>72258.375</v>
      </c>
      <c r="Z34" s="32">
        <f t="shared" si="8"/>
        <v>92490.72</v>
      </c>
      <c r="AA34" s="32">
        <f t="shared" si="8"/>
        <v>83819.714999999997</v>
      </c>
    </row>
    <row r="35" spans="1:29" outlineLevel="1" x14ac:dyDescent="0.3">
      <c r="A35" s="166"/>
      <c r="B35" s="167"/>
      <c r="C35" s="132" t="s">
        <v>28</v>
      </c>
      <c r="D35" s="33">
        <f>D13*D23</f>
        <v>99467.59199999999</v>
      </c>
      <c r="E35" s="34">
        <f t="shared" ref="E35:AA35" si="9">E13*E23</f>
        <v>84057.12</v>
      </c>
      <c r="F35" s="34">
        <f t="shared" si="9"/>
        <v>87209.262000000002</v>
      </c>
      <c r="G35" s="34">
        <f t="shared" si="9"/>
        <v>93863.784</v>
      </c>
      <c r="H35" s="34">
        <f t="shared" si="9"/>
        <v>91412.118000000002</v>
      </c>
      <c r="I35" s="34">
        <f t="shared" si="9"/>
        <v>71448.551999999996</v>
      </c>
      <c r="J35" s="33">
        <f t="shared" si="9"/>
        <v>61641.888000000006</v>
      </c>
      <c r="K35" s="34">
        <f t="shared" si="9"/>
        <v>63042.840000000004</v>
      </c>
      <c r="L35" s="34">
        <f t="shared" si="9"/>
        <v>71098.313999999998</v>
      </c>
      <c r="M35" s="34">
        <f t="shared" si="9"/>
        <v>99467.59199999999</v>
      </c>
      <c r="N35" s="34">
        <f t="shared" si="9"/>
        <v>91412.118000000002</v>
      </c>
      <c r="O35" s="34">
        <f t="shared" si="9"/>
        <v>94914.498000000007</v>
      </c>
      <c r="P35" s="33">
        <f>P13*P23</f>
        <v>76702.122000000003</v>
      </c>
      <c r="Q35" s="34">
        <f t="shared" si="9"/>
        <v>71448.551999999996</v>
      </c>
      <c r="R35" s="34">
        <f t="shared" si="9"/>
        <v>84407.358000000007</v>
      </c>
      <c r="S35" s="34">
        <f t="shared" si="9"/>
        <v>97015.926000000007</v>
      </c>
      <c r="T35" s="34">
        <f t="shared" si="9"/>
        <v>86859.02399999999</v>
      </c>
      <c r="U35" s="34">
        <f t="shared" si="9"/>
        <v>74950.932000000001</v>
      </c>
      <c r="V35" s="34">
        <f t="shared" si="9"/>
        <v>75301.17</v>
      </c>
      <c r="W35" s="34">
        <f t="shared" si="9"/>
        <v>74250.456000000006</v>
      </c>
      <c r="X35" s="34">
        <f t="shared" si="9"/>
        <v>85808.31</v>
      </c>
      <c r="Y35" s="34">
        <f t="shared" si="9"/>
        <v>83006.406000000003</v>
      </c>
      <c r="Z35" s="34">
        <f t="shared" si="9"/>
        <v>96665.688000000009</v>
      </c>
      <c r="AA35" s="34">
        <f t="shared" si="9"/>
        <v>90011.166000000012</v>
      </c>
    </row>
    <row r="36" spans="1:29" x14ac:dyDescent="0.3">
      <c r="A36" s="166"/>
      <c r="B36" s="167"/>
      <c r="C36" s="131" t="s">
        <v>29</v>
      </c>
      <c r="D36" s="27">
        <f>SUM(D30:D35)</f>
        <v>216985.63199999998</v>
      </c>
      <c r="E36" s="28">
        <f>SUM(E30:E35)</f>
        <v>187123.48499999999</v>
      </c>
      <c r="F36" s="28">
        <f>SUM(F30:F35)</f>
        <v>196056.29700000002</v>
      </c>
      <c r="G36" s="28">
        <f t="shared" ref="G36:AA36" si="10">SUM(G30:G35)</f>
        <v>211381.82400000002</v>
      </c>
      <c r="H36" s="28">
        <f t="shared" si="10"/>
        <v>211820.49300000002</v>
      </c>
      <c r="I36" s="28">
        <f t="shared" si="10"/>
        <v>171624.58199999999</v>
      </c>
      <c r="J36" s="27">
        <f t="shared" si="10"/>
        <v>173379.25800000003</v>
      </c>
      <c r="K36" s="28">
        <f t="shared" si="10"/>
        <v>171889.875</v>
      </c>
      <c r="L36" s="28">
        <f t="shared" si="10"/>
        <v>191506.68900000001</v>
      </c>
      <c r="M36" s="28">
        <f t="shared" si="10"/>
        <v>248779.31699999998</v>
      </c>
      <c r="N36" s="28">
        <f t="shared" si="10"/>
        <v>220491.49800000002</v>
      </c>
      <c r="O36" s="28">
        <f t="shared" si="10"/>
        <v>226884.21299999999</v>
      </c>
      <c r="P36" s="27">
        <f>SUM(P30:P35)</f>
        <v>185549.15700000001</v>
      </c>
      <c r="Q36" s="28">
        <f t="shared" si="10"/>
        <v>165843.91200000001</v>
      </c>
      <c r="R36" s="28">
        <f t="shared" si="10"/>
        <v>210596.40300000002</v>
      </c>
      <c r="S36" s="28">
        <f t="shared" si="10"/>
        <v>246327.65100000001</v>
      </c>
      <c r="T36" s="28">
        <f t="shared" si="10"/>
        <v>210157.734</v>
      </c>
      <c r="U36" s="28">
        <f t="shared" si="10"/>
        <v>201139.97700000001</v>
      </c>
      <c r="V36" s="28">
        <f t="shared" si="10"/>
        <v>207270.88500000001</v>
      </c>
      <c r="W36" s="28">
        <f t="shared" si="10"/>
        <v>206220.171</v>
      </c>
      <c r="X36" s="28">
        <f t="shared" si="10"/>
        <v>214887.69</v>
      </c>
      <c r="Y36" s="28">
        <f t="shared" si="10"/>
        <v>203414.78100000002</v>
      </c>
      <c r="Z36" s="28">
        <f t="shared" si="10"/>
        <v>237306.408</v>
      </c>
      <c r="AA36" s="28">
        <f t="shared" si="10"/>
        <v>221980.88099999999</v>
      </c>
    </row>
    <row r="37" spans="1:29" x14ac:dyDescent="0.3">
      <c r="A37" s="166"/>
      <c r="B37" s="167"/>
      <c r="C37" s="131" t="s">
        <v>30</v>
      </c>
      <c r="D37" s="35">
        <f>D36/(1-SUM(D27:D28))*SUM(D27:D28)+((D41+D39+D40)/(1-SUM(D27:D28)))*SUM(D27:D28)</f>
        <v>153457.86352941178</v>
      </c>
      <c r="E37" s="36">
        <f t="shared" ref="E37:AA37" si="11">E36/(1-SUM(E27:E28))*SUM(E27:E28)+((E41+E39+E40)/(1-SUM(E27:E28)))*SUM(E27:E28)</f>
        <v>133428.38964705882</v>
      </c>
      <c r="F37" s="36">
        <f t="shared" si="11"/>
        <v>140022.74541176474</v>
      </c>
      <c r="G37" s="36">
        <f t="shared" si="11"/>
        <v>150820.77741176475</v>
      </c>
      <c r="H37" s="36">
        <f t="shared" si="11"/>
        <v>152222.54964705886</v>
      </c>
      <c r="I37" s="36">
        <f t="shared" si="11"/>
        <v>124939.44847058825</v>
      </c>
      <c r="J37" s="35">
        <f t="shared" si="11"/>
        <v>130546.53741176473</v>
      </c>
      <c r="K37" s="36">
        <f t="shared" si="11"/>
        <v>128650.31152941179</v>
      </c>
      <c r="L37" s="36">
        <f t="shared" si="11"/>
        <v>142663.11247058824</v>
      </c>
      <c r="M37" s="36">
        <f t="shared" si="11"/>
        <v>181568.33505882352</v>
      </c>
      <c r="N37" s="36">
        <f t="shared" si="11"/>
        <v>159889.04188235296</v>
      </c>
      <c r="O37" s="36">
        <f t="shared" si="11"/>
        <v>164092.71811764708</v>
      </c>
      <c r="P37" s="35">
        <f t="shared" si="11"/>
        <v>135078.2089411765</v>
      </c>
      <c r="Q37" s="36">
        <f t="shared" si="11"/>
        <v>119828.45364705884</v>
      </c>
      <c r="R37" s="36">
        <f t="shared" si="11"/>
        <v>154037.18682352942</v>
      </c>
      <c r="S37" s="36">
        <f t="shared" si="11"/>
        <v>180414.60988235296</v>
      </c>
      <c r="T37" s="36">
        <f t="shared" si="11"/>
        <v>152635.41458823532</v>
      </c>
      <c r="U37" s="36">
        <f t="shared" si="11"/>
        <v>149587.10400000005</v>
      </c>
      <c r="V37" s="36">
        <f t="shared" si="11"/>
        <v>154862.91670588238</v>
      </c>
      <c r="W37" s="36">
        <f t="shared" si="11"/>
        <v>154368.46305882354</v>
      </c>
      <c r="X37" s="36">
        <f t="shared" si="11"/>
        <v>157251.9557647059</v>
      </c>
      <c r="Y37" s="36">
        <f t="shared" si="11"/>
        <v>148266.92047058826</v>
      </c>
      <c r="Z37" s="36">
        <f t="shared" si="11"/>
        <v>172583.29976470588</v>
      </c>
      <c r="AA37" s="36">
        <f t="shared" si="11"/>
        <v>161785.2677647059</v>
      </c>
    </row>
    <row r="38" spans="1:29" ht="8.25" customHeight="1" x14ac:dyDescent="0.3">
      <c r="A38" s="166"/>
      <c r="B38" s="167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37"/>
    </row>
    <row r="39" spans="1:29" x14ac:dyDescent="0.3">
      <c r="A39" s="166"/>
      <c r="B39" s="167"/>
      <c r="C39" s="131" t="s">
        <v>31</v>
      </c>
      <c r="D39" s="9">
        <f>IF(D19="Azul",D8*D20*(D16),0)</f>
        <v>0</v>
      </c>
      <c r="E39" s="10">
        <f t="shared" ref="E39:AA39" si="12">IF(E19="Azul",E8*E20*(E16),0)</f>
        <v>0</v>
      </c>
      <c r="F39" s="10">
        <f t="shared" si="12"/>
        <v>0</v>
      </c>
      <c r="G39" s="10">
        <f t="shared" si="12"/>
        <v>0</v>
      </c>
      <c r="H39" s="10">
        <f t="shared" si="12"/>
        <v>0</v>
      </c>
      <c r="I39" s="10">
        <f t="shared" si="12"/>
        <v>0</v>
      </c>
      <c r="J39" s="9">
        <f t="shared" si="12"/>
        <v>0</v>
      </c>
      <c r="K39" s="10">
        <f t="shared" si="12"/>
        <v>0</v>
      </c>
      <c r="L39" s="10">
        <f t="shared" si="12"/>
        <v>0</v>
      </c>
      <c r="M39" s="10">
        <f t="shared" si="12"/>
        <v>0</v>
      </c>
      <c r="N39" s="10">
        <f t="shared" si="12"/>
        <v>0</v>
      </c>
      <c r="O39" s="10">
        <f t="shared" si="12"/>
        <v>0</v>
      </c>
      <c r="P39" s="10">
        <f t="shared" si="12"/>
        <v>0</v>
      </c>
      <c r="Q39" s="10">
        <f t="shared" si="12"/>
        <v>0</v>
      </c>
      <c r="R39" s="10">
        <f t="shared" si="12"/>
        <v>0</v>
      </c>
      <c r="S39" s="10">
        <f t="shared" si="12"/>
        <v>0</v>
      </c>
      <c r="T39" s="10">
        <f t="shared" si="12"/>
        <v>0</v>
      </c>
      <c r="U39" s="10">
        <f t="shared" si="12"/>
        <v>0</v>
      </c>
      <c r="V39" s="10">
        <f t="shared" si="12"/>
        <v>0</v>
      </c>
      <c r="W39" s="10">
        <f t="shared" si="12"/>
        <v>0</v>
      </c>
      <c r="X39" s="10">
        <f t="shared" si="12"/>
        <v>0</v>
      </c>
      <c r="Y39" s="10">
        <f t="shared" si="12"/>
        <v>0</v>
      </c>
      <c r="Z39" s="10">
        <f t="shared" si="12"/>
        <v>0</v>
      </c>
      <c r="AA39" s="10">
        <f t="shared" si="12"/>
        <v>0</v>
      </c>
    </row>
    <row r="40" spans="1:29" x14ac:dyDescent="0.3">
      <c r="A40" s="166"/>
      <c r="B40" s="167"/>
      <c r="C40" s="131" t="s">
        <v>32</v>
      </c>
      <c r="D40" s="11">
        <f>D9*D21*(D16)</f>
        <v>48150.000000000007</v>
      </c>
      <c r="E40" s="12">
        <f t="shared" ref="E40:AA40" si="13">E9*E21*(E16)</f>
        <v>48150.000000000007</v>
      </c>
      <c r="F40" s="12">
        <f t="shared" si="13"/>
        <v>48150.000000000007</v>
      </c>
      <c r="G40" s="12">
        <f t="shared" si="13"/>
        <v>48150.000000000007</v>
      </c>
      <c r="H40" s="12">
        <f t="shared" si="13"/>
        <v>48150.000000000007</v>
      </c>
      <c r="I40" s="12">
        <f t="shared" si="13"/>
        <v>48150.000000000007</v>
      </c>
      <c r="J40" s="11">
        <f t="shared" si="13"/>
        <v>48150.000000000007</v>
      </c>
      <c r="K40" s="12">
        <f t="shared" si="13"/>
        <v>48150.000000000007</v>
      </c>
      <c r="L40" s="12">
        <f t="shared" si="13"/>
        <v>48150.000000000007</v>
      </c>
      <c r="M40" s="12">
        <f t="shared" si="13"/>
        <v>48150.000000000007</v>
      </c>
      <c r="N40" s="12">
        <f t="shared" si="13"/>
        <v>48150.000000000007</v>
      </c>
      <c r="O40" s="12">
        <f t="shared" si="13"/>
        <v>48150.000000000007</v>
      </c>
      <c r="P40" s="12">
        <f t="shared" si="13"/>
        <v>48150.000000000007</v>
      </c>
      <c r="Q40" s="12">
        <f t="shared" si="13"/>
        <v>48150.000000000007</v>
      </c>
      <c r="R40" s="12">
        <f t="shared" si="13"/>
        <v>48150.000000000007</v>
      </c>
      <c r="S40" s="12">
        <f t="shared" si="13"/>
        <v>48150.000000000007</v>
      </c>
      <c r="T40" s="12">
        <f t="shared" si="13"/>
        <v>48150.000000000007</v>
      </c>
      <c r="U40" s="12">
        <f t="shared" si="13"/>
        <v>48150.000000000007</v>
      </c>
      <c r="V40" s="12">
        <f t="shared" si="13"/>
        <v>48150.000000000007</v>
      </c>
      <c r="W40" s="12">
        <f t="shared" si="13"/>
        <v>48150.000000000007</v>
      </c>
      <c r="X40" s="12">
        <f t="shared" si="13"/>
        <v>48150.000000000007</v>
      </c>
      <c r="Y40" s="12">
        <f t="shared" si="13"/>
        <v>48150.000000000007</v>
      </c>
      <c r="Z40" s="12">
        <f t="shared" si="13"/>
        <v>48150.000000000007</v>
      </c>
      <c r="AA40" s="12">
        <f t="shared" si="13"/>
        <v>48150.000000000007</v>
      </c>
    </row>
    <row r="41" spans="1:29" x14ac:dyDescent="0.3">
      <c r="A41" s="166"/>
      <c r="B41" s="167"/>
      <c r="C41" s="129" t="s">
        <v>33</v>
      </c>
      <c r="D41" s="19">
        <f>IF(D19="Verde",D12*(D22-D23)*(D16),0)</f>
        <v>60962.327999999994</v>
      </c>
      <c r="E41" s="20">
        <f t="shared" ref="E41:AA41" si="14">IF(E19="Verde",E12*(E22-E23)*(E16),0)</f>
        <v>48261.842999999993</v>
      </c>
      <c r="F41" s="20">
        <f t="shared" si="14"/>
        <v>53342.036999999997</v>
      </c>
      <c r="G41" s="20">
        <f t="shared" si="14"/>
        <v>60962.327999999994</v>
      </c>
      <c r="H41" s="20">
        <f t="shared" si="14"/>
        <v>63502.424999999996</v>
      </c>
      <c r="I41" s="20">
        <f t="shared" si="14"/>
        <v>45721.745999999992</v>
      </c>
      <c r="J41" s="19">
        <f t="shared" si="14"/>
        <v>55882.133999999998</v>
      </c>
      <c r="K41" s="20">
        <f t="shared" si="14"/>
        <v>53342.036999999997</v>
      </c>
      <c r="L41" s="20">
        <f t="shared" si="14"/>
        <v>63502.424999999996</v>
      </c>
      <c r="M41" s="20">
        <f t="shared" si="14"/>
        <v>88903.39499999999</v>
      </c>
      <c r="N41" s="20">
        <f t="shared" si="14"/>
        <v>71122.715999999986</v>
      </c>
      <c r="O41" s="20">
        <f t="shared" si="14"/>
        <v>73662.812999999995</v>
      </c>
      <c r="P41" s="20">
        <f t="shared" si="14"/>
        <v>53342.036999999997</v>
      </c>
      <c r="Q41" s="20">
        <f t="shared" si="14"/>
        <v>40641.551999999996</v>
      </c>
      <c r="R41" s="20">
        <f t="shared" si="14"/>
        <v>68582.619000000006</v>
      </c>
      <c r="S41" s="20">
        <f t="shared" si="14"/>
        <v>88903.39499999999</v>
      </c>
      <c r="T41" s="20">
        <f t="shared" si="14"/>
        <v>66042.521999999997</v>
      </c>
      <c r="U41" s="20">
        <f t="shared" si="14"/>
        <v>68582.619000000006</v>
      </c>
      <c r="V41" s="20">
        <f t="shared" si="14"/>
        <v>73662.812999999995</v>
      </c>
      <c r="W41" s="20">
        <f t="shared" si="14"/>
        <v>73662.812999999995</v>
      </c>
      <c r="X41" s="20">
        <f t="shared" si="14"/>
        <v>71122.715999999986</v>
      </c>
      <c r="Y41" s="20">
        <f t="shared" si="14"/>
        <v>63502.424999999996</v>
      </c>
      <c r="Z41" s="20">
        <f t="shared" si="14"/>
        <v>81283.103999999992</v>
      </c>
      <c r="AA41" s="20">
        <f t="shared" si="14"/>
        <v>73662.812999999995</v>
      </c>
      <c r="AC41" s="92"/>
    </row>
    <row r="42" spans="1:29" ht="9.75" customHeight="1" x14ac:dyDescent="0.3">
      <c r="A42" s="166"/>
      <c r="B42" s="167"/>
      <c r="C42" s="109"/>
      <c r="D42" s="109"/>
      <c r="E42" s="109"/>
      <c r="F42" s="109"/>
      <c r="G42" s="109"/>
      <c r="H42" s="109"/>
      <c r="I42" s="109"/>
      <c r="J42" s="109"/>
      <c r="K42" s="109"/>
      <c r="L42" s="109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  <c r="AA42" s="38"/>
    </row>
    <row r="43" spans="1:29" x14ac:dyDescent="0.3">
      <c r="A43" s="166"/>
      <c r="B43" s="167"/>
      <c r="C43" s="129" t="s">
        <v>34</v>
      </c>
      <c r="D43" s="98">
        <f>SUM(D12:D13)/D4</f>
        <v>1.7387096774193547</v>
      </c>
      <c r="E43" s="98">
        <f t="shared" ref="E43:O43" si="15">SUM(E12:E13)/E4</f>
        <v>1.5629310344827585</v>
      </c>
      <c r="F43" s="98">
        <f t="shared" si="15"/>
        <v>1.5241935483870968</v>
      </c>
      <c r="G43" s="98">
        <f t="shared" si="15"/>
        <v>1.7033333333333331</v>
      </c>
      <c r="H43" s="98">
        <f t="shared" si="15"/>
        <v>1.6145161290322581</v>
      </c>
      <c r="I43" s="98">
        <f t="shared" si="15"/>
        <v>1.2949999999999999</v>
      </c>
      <c r="J43" s="98">
        <f t="shared" si="15"/>
        <v>1.1177419354838709</v>
      </c>
      <c r="K43" s="98">
        <f t="shared" si="15"/>
        <v>1.1346774193548388</v>
      </c>
      <c r="L43" s="98">
        <f t="shared" si="15"/>
        <v>1.33</v>
      </c>
      <c r="M43" s="98">
        <f t="shared" si="15"/>
        <v>1.8008064516129032</v>
      </c>
      <c r="N43" s="98">
        <f t="shared" si="15"/>
        <v>1.6858333333333333</v>
      </c>
      <c r="O43" s="98">
        <f t="shared" si="15"/>
        <v>1.6935483870967742</v>
      </c>
      <c r="P43" s="98">
        <f>SUM(P12:P13)/P4</f>
        <v>1.3548387096774193</v>
      </c>
      <c r="Q43" s="98">
        <f t="shared" ref="Q43:AA43" si="16">SUM(Q12:Q13)/Q4</f>
        <v>1.375</v>
      </c>
      <c r="R43" s="98">
        <f t="shared" si="16"/>
        <v>1.5129032258064519</v>
      </c>
      <c r="S43" s="98">
        <f t="shared" si="16"/>
        <v>1.82</v>
      </c>
      <c r="T43" s="98">
        <f t="shared" si="16"/>
        <v>1.546774193548387</v>
      </c>
      <c r="U43" s="98">
        <f t="shared" si="16"/>
        <v>1.4058333333333333</v>
      </c>
      <c r="V43" s="98">
        <f t="shared" si="16"/>
        <v>1.3774193548387097</v>
      </c>
      <c r="W43" s="98">
        <f t="shared" si="16"/>
        <v>1.3604838709677418</v>
      </c>
      <c r="X43" s="98">
        <f t="shared" si="16"/>
        <v>1.5924999999999998</v>
      </c>
      <c r="Y43" s="98">
        <f t="shared" si="16"/>
        <v>1.4790322580645163</v>
      </c>
      <c r="Z43" s="98">
        <f t="shared" si="16"/>
        <v>1.7966666666666669</v>
      </c>
      <c r="AA43" s="98">
        <f t="shared" si="16"/>
        <v>1.6145161290322581</v>
      </c>
    </row>
    <row r="44" spans="1:29" outlineLevel="1" x14ac:dyDescent="0.3">
      <c r="A44" s="166"/>
      <c r="B44" s="167"/>
      <c r="C44" s="133" t="s">
        <v>35</v>
      </c>
      <c r="D44" s="97">
        <f t="shared" ref="D44:AA44" si="17">D43*D4</f>
        <v>1293.5999999999999</v>
      </c>
      <c r="E44" s="97">
        <f t="shared" si="17"/>
        <v>1087.8</v>
      </c>
      <c r="F44" s="97">
        <f t="shared" si="17"/>
        <v>1134</v>
      </c>
      <c r="G44" s="97">
        <f t="shared" si="17"/>
        <v>1226.3999999999999</v>
      </c>
      <c r="H44" s="97">
        <f t="shared" si="17"/>
        <v>1201.2</v>
      </c>
      <c r="I44" s="97">
        <f t="shared" si="17"/>
        <v>932.4</v>
      </c>
      <c r="J44" s="97">
        <f t="shared" si="17"/>
        <v>831.59999999999991</v>
      </c>
      <c r="K44" s="97">
        <f t="shared" si="17"/>
        <v>844.2</v>
      </c>
      <c r="L44" s="97">
        <f t="shared" si="17"/>
        <v>957.6</v>
      </c>
      <c r="M44" s="97">
        <f t="shared" si="17"/>
        <v>1339.8</v>
      </c>
      <c r="N44" s="97">
        <f t="shared" si="17"/>
        <v>1213.8</v>
      </c>
      <c r="O44" s="97">
        <f t="shared" si="17"/>
        <v>1260</v>
      </c>
      <c r="P44" s="97">
        <f t="shared" si="17"/>
        <v>1007.9999999999999</v>
      </c>
      <c r="Q44" s="97">
        <f t="shared" si="17"/>
        <v>924</v>
      </c>
      <c r="R44" s="97">
        <f t="shared" si="17"/>
        <v>1125.6000000000001</v>
      </c>
      <c r="S44" s="97">
        <f t="shared" si="17"/>
        <v>1310.4000000000001</v>
      </c>
      <c r="T44" s="97">
        <f t="shared" si="17"/>
        <v>1150.8</v>
      </c>
      <c r="U44" s="97">
        <f>U43*U4</f>
        <v>1012.1999999999999</v>
      </c>
      <c r="V44" s="97">
        <f t="shared" si="17"/>
        <v>1024.8</v>
      </c>
      <c r="W44" s="97">
        <f t="shared" si="17"/>
        <v>1012.1999999999999</v>
      </c>
      <c r="X44" s="97">
        <f t="shared" si="17"/>
        <v>1146.5999999999999</v>
      </c>
      <c r="Y44" s="97">
        <f t="shared" si="17"/>
        <v>1100.4000000000001</v>
      </c>
      <c r="Z44" s="97">
        <f t="shared" si="17"/>
        <v>1293.6000000000001</v>
      </c>
      <c r="AA44" s="97">
        <f t="shared" si="17"/>
        <v>1201.2</v>
      </c>
    </row>
    <row r="45" spans="1:29" outlineLevel="1" x14ac:dyDescent="0.3">
      <c r="A45" s="166"/>
      <c r="B45" s="167"/>
      <c r="C45" s="129" t="s">
        <v>36</v>
      </c>
      <c r="D45" s="39">
        <f t="shared" ref="D45:AA45" si="18">D44*1.1</f>
        <v>1422.96</v>
      </c>
      <c r="E45" s="39">
        <f t="shared" si="18"/>
        <v>1196.5800000000002</v>
      </c>
      <c r="F45" s="39">
        <f t="shared" si="18"/>
        <v>1247.4000000000001</v>
      </c>
      <c r="G45" s="39">
        <f t="shared" si="18"/>
        <v>1349.04</v>
      </c>
      <c r="H45" s="39">
        <f t="shared" si="18"/>
        <v>1321.3200000000002</v>
      </c>
      <c r="I45" s="39">
        <f t="shared" si="18"/>
        <v>1025.6400000000001</v>
      </c>
      <c r="J45" s="39">
        <f t="shared" si="18"/>
        <v>914.76</v>
      </c>
      <c r="K45" s="39">
        <f t="shared" si="18"/>
        <v>928.62000000000012</v>
      </c>
      <c r="L45" s="39">
        <f t="shared" si="18"/>
        <v>1053.3600000000001</v>
      </c>
      <c r="M45" s="39">
        <f t="shared" si="18"/>
        <v>1473.78</v>
      </c>
      <c r="N45" s="39">
        <f t="shared" si="18"/>
        <v>1335.18</v>
      </c>
      <c r="O45" s="39">
        <f t="shared" si="18"/>
        <v>1386</v>
      </c>
      <c r="P45" s="39">
        <f t="shared" si="18"/>
        <v>1108.8</v>
      </c>
      <c r="Q45" s="39">
        <f t="shared" si="18"/>
        <v>1016.4000000000001</v>
      </c>
      <c r="R45" s="39">
        <f t="shared" si="18"/>
        <v>1238.1600000000003</v>
      </c>
      <c r="S45" s="39">
        <f t="shared" si="18"/>
        <v>1441.4400000000003</v>
      </c>
      <c r="T45" s="39">
        <f t="shared" si="18"/>
        <v>1265.8800000000001</v>
      </c>
      <c r="U45" s="39">
        <f t="shared" si="18"/>
        <v>1113.42</v>
      </c>
      <c r="V45" s="39">
        <f t="shared" si="18"/>
        <v>1127.28</v>
      </c>
      <c r="W45" s="39">
        <f t="shared" si="18"/>
        <v>1113.42</v>
      </c>
      <c r="X45" s="39">
        <f t="shared" si="18"/>
        <v>1261.26</v>
      </c>
      <c r="Y45" s="39">
        <f t="shared" si="18"/>
        <v>1210.4400000000003</v>
      </c>
      <c r="Z45" s="39">
        <f t="shared" si="18"/>
        <v>1422.9600000000003</v>
      </c>
      <c r="AA45" s="39">
        <f t="shared" si="18"/>
        <v>1321.3200000000002</v>
      </c>
    </row>
    <row r="46" spans="1:29" outlineLevel="1" x14ac:dyDescent="0.3">
      <c r="A46" s="166"/>
      <c r="B46" s="167"/>
      <c r="C46" s="129" t="s">
        <v>37</v>
      </c>
      <c r="D46" s="40">
        <f t="shared" ref="D46:AA46" si="19">D44*0.9</f>
        <v>1164.24</v>
      </c>
      <c r="E46" s="40">
        <f t="shared" si="19"/>
        <v>979.02</v>
      </c>
      <c r="F46" s="40">
        <f t="shared" si="19"/>
        <v>1020.6</v>
      </c>
      <c r="G46" s="40">
        <f t="shared" si="19"/>
        <v>1103.76</v>
      </c>
      <c r="H46" s="40">
        <f t="shared" si="19"/>
        <v>1081.0800000000002</v>
      </c>
      <c r="I46" s="40">
        <f t="shared" si="19"/>
        <v>839.16</v>
      </c>
      <c r="J46" s="40">
        <f t="shared" si="19"/>
        <v>748.43999999999994</v>
      </c>
      <c r="K46" s="40">
        <f t="shared" si="19"/>
        <v>759.78000000000009</v>
      </c>
      <c r="L46" s="40">
        <f t="shared" si="19"/>
        <v>861.84</v>
      </c>
      <c r="M46" s="40">
        <f t="shared" si="19"/>
        <v>1205.82</v>
      </c>
      <c r="N46" s="40">
        <f t="shared" si="19"/>
        <v>1092.42</v>
      </c>
      <c r="O46" s="40">
        <f t="shared" si="19"/>
        <v>1134</v>
      </c>
      <c r="P46" s="40">
        <f t="shared" si="19"/>
        <v>907.19999999999993</v>
      </c>
      <c r="Q46" s="40">
        <f t="shared" si="19"/>
        <v>831.6</v>
      </c>
      <c r="R46" s="40">
        <f t="shared" si="19"/>
        <v>1013.0400000000002</v>
      </c>
      <c r="S46" s="40">
        <f t="shared" si="19"/>
        <v>1179.3600000000001</v>
      </c>
      <c r="T46" s="40">
        <f t="shared" si="19"/>
        <v>1035.72</v>
      </c>
      <c r="U46" s="40">
        <f t="shared" si="19"/>
        <v>910.9799999999999</v>
      </c>
      <c r="V46" s="40">
        <f t="shared" si="19"/>
        <v>922.31999999999994</v>
      </c>
      <c r="W46" s="40">
        <f t="shared" si="19"/>
        <v>910.9799999999999</v>
      </c>
      <c r="X46" s="40">
        <f t="shared" si="19"/>
        <v>1031.94</v>
      </c>
      <c r="Y46" s="40">
        <f t="shared" si="19"/>
        <v>990.36000000000013</v>
      </c>
      <c r="Z46" s="40">
        <f t="shared" si="19"/>
        <v>1164.2400000000002</v>
      </c>
      <c r="AA46" s="40">
        <f t="shared" si="19"/>
        <v>1081.0800000000002</v>
      </c>
    </row>
    <row r="47" spans="1:29" ht="9.75" customHeight="1" x14ac:dyDescent="0.3">
      <c r="A47" s="166"/>
      <c r="B47" s="167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41"/>
    </row>
    <row r="48" spans="1:29" x14ac:dyDescent="0.3">
      <c r="A48" s="166"/>
      <c r="B48" s="167"/>
      <c r="C48" s="129" t="s">
        <v>38</v>
      </c>
      <c r="D48" s="43">
        <f t="shared" ref="D48:O48" si="20">D44</f>
        <v>1293.5999999999999</v>
      </c>
      <c r="E48" s="43">
        <f t="shared" si="20"/>
        <v>1087.8</v>
      </c>
      <c r="F48" s="43">
        <f t="shared" si="20"/>
        <v>1134</v>
      </c>
      <c r="G48" s="43">
        <f t="shared" si="20"/>
        <v>1226.3999999999999</v>
      </c>
      <c r="H48" s="43">
        <f t="shared" si="20"/>
        <v>1201.2</v>
      </c>
      <c r="I48" s="43">
        <f t="shared" si="20"/>
        <v>932.4</v>
      </c>
      <c r="J48" s="43">
        <f t="shared" si="20"/>
        <v>831.59999999999991</v>
      </c>
      <c r="K48" s="43">
        <f t="shared" si="20"/>
        <v>844.2</v>
      </c>
      <c r="L48" s="43">
        <f t="shared" si="20"/>
        <v>957.6</v>
      </c>
      <c r="M48" s="43">
        <f t="shared" si="20"/>
        <v>1339.8</v>
      </c>
      <c r="N48" s="43">
        <f t="shared" si="20"/>
        <v>1213.8</v>
      </c>
      <c r="O48" s="43">
        <f t="shared" si="20"/>
        <v>1260</v>
      </c>
      <c r="P48" s="43">
        <f>P44</f>
        <v>1007.9999999999999</v>
      </c>
      <c r="Q48" s="43">
        <f t="shared" ref="Q48:AA48" si="21">Q44</f>
        <v>924</v>
      </c>
      <c r="R48" s="43">
        <f t="shared" si="21"/>
        <v>1125.6000000000001</v>
      </c>
      <c r="S48" s="43">
        <f t="shared" si="21"/>
        <v>1310.4000000000001</v>
      </c>
      <c r="T48" s="43">
        <f t="shared" si="21"/>
        <v>1150.8</v>
      </c>
      <c r="U48" s="43">
        <f t="shared" si="21"/>
        <v>1012.1999999999999</v>
      </c>
      <c r="V48" s="43">
        <f t="shared" si="21"/>
        <v>1024.8</v>
      </c>
      <c r="W48" s="43">
        <f t="shared" si="21"/>
        <v>1012.1999999999999</v>
      </c>
      <c r="X48" s="43">
        <f t="shared" si="21"/>
        <v>1146.5999999999999</v>
      </c>
      <c r="Y48" s="43">
        <f t="shared" si="21"/>
        <v>1100.4000000000001</v>
      </c>
      <c r="Z48" s="43">
        <f t="shared" si="21"/>
        <v>1293.6000000000001</v>
      </c>
      <c r="AA48" s="43">
        <f t="shared" si="21"/>
        <v>1201.2</v>
      </c>
    </row>
    <row r="49" spans="1:29" x14ac:dyDescent="0.3">
      <c r="A49" s="166"/>
      <c r="B49" s="167"/>
      <c r="C49" s="129" t="s">
        <v>39</v>
      </c>
      <c r="D49" s="127">
        <f>'SIMULAÇÃO CENÁRIOS'!$E$7</f>
        <v>220</v>
      </c>
      <c r="E49" s="127">
        <f>'SIMULAÇÃO CENÁRIOS'!$E$7</f>
        <v>220</v>
      </c>
      <c r="F49" s="127">
        <f>'SIMULAÇÃO CENÁRIOS'!$E$7</f>
        <v>220</v>
      </c>
      <c r="G49" s="127">
        <f>'SIMULAÇÃO CENÁRIOS'!$E$7</f>
        <v>220</v>
      </c>
      <c r="H49" s="127">
        <f>'SIMULAÇÃO CENÁRIOS'!$E$7</f>
        <v>220</v>
      </c>
      <c r="I49" s="127">
        <f>'SIMULAÇÃO CENÁRIOS'!$E$7</f>
        <v>220</v>
      </c>
      <c r="J49" s="127">
        <f>'SIMULAÇÃO CENÁRIOS'!$E$7</f>
        <v>220</v>
      </c>
      <c r="K49" s="127">
        <f>'SIMULAÇÃO CENÁRIOS'!$E$7</f>
        <v>220</v>
      </c>
      <c r="L49" s="127">
        <f>'SIMULAÇÃO CENÁRIOS'!$E$7</f>
        <v>220</v>
      </c>
      <c r="M49" s="127">
        <f>'SIMULAÇÃO CENÁRIOS'!$E$7</f>
        <v>220</v>
      </c>
      <c r="N49" s="127">
        <f>'SIMULAÇÃO CENÁRIOS'!$E$7</f>
        <v>220</v>
      </c>
      <c r="O49" s="127">
        <f>'SIMULAÇÃO CENÁRIOS'!$E$7</f>
        <v>220</v>
      </c>
      <c r="P49" s="127">
        <f>'SIMULAÇÃO CENÁRIOS'!$E$7</f>
        <v>220</v>
      </c>
      <c r="Q49" s="127">
        <f>'SIMULAÇÃO CENÁRIOS'!$E$7</f>
        <v>220</v>
      </c>
      <c r="R49" s="127">
        <f>'SIMULAÇÃO CENÁRIOS'!$E$7</f>
        <v>220</v>
      </c>
      <c r="S49" s="127">
        <f>'SIMULAÇÃO CENÁRIOS'!$E$7</f>
        <v>220</v>
      </c>
      <c r="T49" s="127">
        <f>'SIMULAÇÃO CENÁRIOS'!$E$7</f>
        <v>220</v>
      </c>
      <c r="U49" s="127">
        <f>'SIMULAÇÃO CENÁRIOS'!$E$7</f>
        <v>220</v>
      </c>
      <c r="V49" s="127">
        <f>'SIMULAÇÃO CENÁRIOS'!$E$7</f>
        <v>220</v>
      </c>
      <c r="W49" s="127">
        <f>'SIMULAÇÃO CENÁRIOS'!$E$7</f>
        <v>220</v>
      </c>
      <c r="X49" s="127">
        <f>'SIMULAÇÃO CENÁRIOS'!$E$7</f>
        <v>220</v>
      </c>
      <c r="Y49" s="127">
        <f>'SIMULAÇÃO CENÁRIOS'!$E$7</f>
        <v>220</v>
      </c>
      <c r="Z49" s="127">
        <f>'SIMULAÇÃO CENÁRIOS'!$E$7</f>
        <v>220</v>
      </c>
      <c r="AA49" s="127">
        <f>'SIMULAÇÃO CENÁRIOS'!$E$7</f>
        <v>220</v>
      </c>
    </row>
    <row r="50" spans="1:29" x14ac:dyDescent="0.3">
      <c r="A50" s="166"/>
      <c r="B50" s="167"/>
      <c r="C50" s="129" t="s">
        <v>40</v>
      </c>
      <c r="D50" s="44">
        <f>D48*D49/(1-D27)</f>
        <v>389852.05479452055</v>
      </c>
      <c r="E50" s="44">
        <f t="shared" ref="E50:G50" si="22">E48*E49/(1-E27)</f>
        <v>327830.1369863014</v>
      </c>
      <c r="F50" s="44">
        <f t="shared" si="22"/>
        <v>341753.42465753423</v>
      </c>
      <c r="G50" s="44">
        <f t="shared" si="22"/>
        <v>369599.99999999994</v>
      </c>
      <c r="H50" s="44">
        <f t="shared" ref="H50" si="23">H48*H49/(1-H27)</f>
        <v>362005.47945205483</v>
      </c>
      <c r="I50" s="44">
        <f t="shared" ref="I50:K50" si="24">I48*I49/(1-I27)</f>
        <v>280997.26027397258</v>
      </c>
      <c r="J50" s="44">
        <f t="shared" si="24"/>
        <v>250619.17808219173</v>
      </c>
      <c r="K50" s="44">
        <f t="shared" si="24"/>
        <v>254416.43835616438</v>
      </c>
      <c r="L50" s="44">
        <f t="shared" ref="L50" si="25">L48*L49/(1-L27)</f>
        <v>288591.78082191781</v>
      </c>
      <c r="M50" s="44">
        <f t="shared" ref="M50" si="26">M48*M49/(1-M27)</f>
        <v>403775.34246575343</v>
      </c>
      <c r="N50" s="44">
        <f t="shared" ref="N50" si="27">N48*N49/(1-N27)</f>
        <v>365802.73972602742</v>
      </c>
      <c r="O50" s="44">
        <f t="shared" ref="O50" si="28">O48*O49/(1-O27)</f>
        <v>379726.0273972603</v>
      </c>
      <c r="P50" s="44">
        <f t="shared" ref="P50" si="29">P48*P49/(1-P27)</f>
        <v>303780.82191780821</v>
      </c>
      <c r="Q50" s="44">
        <f t="shared" ref="Q50:R50" si="30">Q48*Q49/(1-Q27)</f>
        <v>278465.75342465757</v>
      </c>
      <c r="R50" s="44">
        <f t="shared" si="30"/>
        <v>339221.91780821921</v>
      </c>
      <c r="S50" s="44">
        <f t="shared" ref="S50" si="31">S48*S49/(1-S27)</f>
        <v>394915.0684931507</v>
      </c>
      <c r="T50" s="44">
        <f t="shared" ref="T50" si="32">T48*T49/(1-T27)</f>
        <v>346816.43835616438</v>
      </c>
      <c r="U50" s="44">
        <f t="shared" ref="U50" si="33">U48*U49/(1-U27)</f>
        <v>305046.57534246572</v>
      </c>
      <c r="V50" s="44">
        <f t="shared" ref="V50" si="34">V48*V49/(1-V27)</f>
        <v>308843.83561643836</v>
      </c>
      <c r="W50" s="44">
        <f t="shared" ref="W50" si="35">W48*W49/(1-W27)</f>
        <v>305046.57534246572</v>
      </c>
      <c r="X50" s="44">
        <f t="shared" ref="X50:Y50" si="36">X48*X49/(1-X27)</f>
        <v>345550.68493150681</v>
      </c>
      <c r="Y50" s="44">
        <f t="shared" si="36"/>
        <v>331627.39726027404</v>
      </c>
      <c r="Z50" s="44">
        <f t="shared" ref="Z50" si="37">Z48*Z49/(1-Z27)</f>
        <v>389852.05479452066</v>
      </c>
      <c r="AA50" s="44">
        <f t="shared" ref="AA50" si="38">AA48*AA49/(1-AA27)</f>
        <v>362005.47945205483</v>
      </c>
    </row>
    <row r="51" spans="1:29" ht="9.75" customHeight="1" thickBot="1" x14ac:dyDescent="0.35">
      <c r="A51" s="166"/>
      <c r="B51" s="167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45"/>
    </row>
    <row r="52" spans="1:29" ht="22.5" customHeight="1" thickBot="1" x14ac:dyDescent="0.35">
      <c r="A52" s="166"/>
      <c r="B52" s="167"/>
      <c r="C52" s="134" t="s">
        <v>98</v>
      </c>
      <c r="D52" s="46">
        <f t="shared" ref="D52:O52" si="39">+D50+D37+D36</f>
        <v>760295.55032393232</v>
      </c>
      <c r="E52" s="46">
        <f t="shared" si="39"/>
        <v>648382.01163336018</v>
      </c>
      <c r="F52" s="46">
        <f t="shared" si="39"/>
        <v>677832.46706929896</v>
      </c>
      <c r="G52" s="46">
        <f t="shared" si="39"/>
        <v>731802.60141176474</v>
      </c>
      <c r="H52" s="46">
        <f t="shared" si="39"/>
        <v>726048.52209911367</v>
      </c>
      <c r="I52" s="46">
        <f t="shared" si="39"/>
        <v>577561.29074456077</v>
      </c>
      <c r="J52" s="46">
        <f t="shared" si="39"/>
        <v>554544.9734939565</v>
      </c>
      <c r="K52" s="46">
        <f t="shared" si="39"/>
        <v>554956.6248855762</v>
      </c>
      <c r="L52" s="46">
        <f t="shared" si="39"/>
        <v>622761.58229250601</v>
      </c>
      <c r="M52" s="46">
        <f t="shared" si="39"/>
        <v>834122.99452457693</v>
      </c>
      <c r="N52" s="46">
        <f t="shared" si="39"/>
        <v>746183.2796083804</v>
      </c>
      <c r="O52" s="46">
        <f t="shared" si="39"/>
        <v>770702.9585149074</v>
      </c>
      <c r="P52" s="46">
        <f>+P50+P37+P36</f>
        <v>624408.18785898469</v>
      </c>
      <c r="Q52" s="46">
        <f t="shared" ref="Q52:AA52" si="40">+Q50+Q37+Q36</f>
        <v>564138.11907171644</v>
      </c>
      <c r="R52" s="46">
        <f t="shared" si="40"/>
        <v>703855.50763174868</v>
      </c>
      <c r="S52" s="46">
        <f t="shared" si="40"/>
        <v>821657.32937550358</v>
      </c>
      <c r="T52" s="46">
        <f t="shared" si="40"/>
        <v>709609.58694439963</v>
      </c>
      <c r="U52" s="46">
        <f t="shared" si="40"/>
        <v>655773.65634246578</v>
      </c>
      <c r="V52" s="46">
        <f t="shared" si="40"/>
        <v>670977.63732232072</v>
      </c>
      <c r="W52" s="46">
        <f t="shared" si="40"/>
        <v>665635.20940128923</v>
      </c>
      <c r="X52" s="46">
        <f t="shared" si="40"/>
        <v>717690.33069621271</v>
      </c>
      <c r="Y52" s="46">
        <f t="shared" si="40"/>
        <v>683309.09873086237</v>
      </c>
      <c r="Z52" s="46">
        <f t="shared" si="40"/>
        <v>799741.76255922648</v>
      </c>
      <c r="AA52" s="46">
        <f t="shared" si="40"/>
        <v>745771.6282167607</v>
      </c>
      <c r="AC52" s="47">
        <f>SUM(D52:AA52)</f>
        <v>16567762.910753421</v>
      </c>
    </row>
    <row r="53" spans="1:29" x14ac:dyDescent="0.3">
      <c r="A53" s="166"/>
      <c r="B53" s="167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100"/>
    </row>
    <row r="54" spans="1:29" ht="50.25" customHeight="1" x14ac:dyDescent="0.3">
      <c r="A54" s="166"/>
      <c r="B54" s="167"/>
      <c r="C54" s="172" t="s">
        <v>99</v>
      </c>
      <c r="D54" s="172"/>
      <c r="E54" s="172"/>
      <c r="F54" s="172"/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172"/>
      <c r="R54" s="172"/>
      <c r="S54" s="172"/>
      <c r="T54" s="172"/>
      <c r="U54" s="172"/>
      <c r="V54" s="172"/>
      <c r="W54" s="172"/>
      <c r="X54" s="172"/>
      <c r="Y54" s="172"/>
      <c r="Z54" s="172"/>
      <c r="AA54" s="173"/>
    </row>
    <row r="55" spans="1:29" x14ac:dyDescent="0.3">
      <c r="A55" s="166"/>
      <c r="B55" s="167"/>
      <c r="C55" s="129" t="s">
        <v>101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3">
        <v>0</v>
      </c>
      <c r="R55" s="43">
        <v>0</v>
      </c>
      <c r="S55" s="43">
        <v>0</v>
      </c>
      <c r="T55" s="43">
        <v>0</v>
      </c>
      <c r="U55" s="43">
        <v>0</v>
      </c>
      <c r="V55" s="43">
        <v>0</v>
      </c>
      <c r="W55" s="43">
        <v>0</v>
      </c>
      <c r="X55" s="43">
        <v>0</v>
      </c>
      <c r="Y55" s="43">
        <v>0</v>
      </c>
      <c r="Z55" s="43">
        <v>0</v>
      </c>
      <c r="AA55" s="43">
        <v>0</v>
      </c>
    </row>
    <row r="56" spans="1:29" x14ac:dyDescent="0.3">
      <c r="A56" s="166"/>
      <c r="B56" s="167"/>
      <c r="C56" s="129" t="s">
        <v>102</v>
      </c>
      <c r="D56" s="17">
        <f t="shared" ref="D56:O56" si="41">D9*D21+D11*D21*2</f>
        <v>96300.000000000015</v>
      </c>
      <c r="E56" s="17">
        <f t="shared" si="41"/>
        <v>96300.000000000015</v>
      </c>
      <c r="F56" s="17">
        <f t="shared" si="41"/>
        <v>96300.000000000015</v>
      </c>
      <c r="G56" s="17">
        <f t="shared" si="41"/>
        <v>96300.000000000015</v>
      </c>
      <c r="H56" s="17">
        <f t="shared" si="41"/>
        <v>96300.000000000015</v>
      </c>
      <c r="I56" s="17">
        <f t="shared" si="41"/>
        <v>96300.000000000015</v>
      </c>
      <c r="J56" s="17">
        <f t="shared" si="41"/>
        <v>96300.000000000015</v>
      </c>
      <c r="K56" s="17">
        <f t="shared" si="41"/>
        <v>96300.000000000015</v>
      </c>
      <c r="L56" s="17">
        <f t="shared" si="41"/>
        <v>96300.000000000015</v>
      </c>
      <c r="M56" s="17">
        <f t="shared" si="41"/>
        <v>96300.000000000015</v>
      </c>
      <c r="N56" s="17">
        <f t="shared" si="41"/>
        <v>96300.000000000015</v>
      </c>
      <c r="O56" s="17">
        <f t="shared" si="41"/>
        <v>96300.000000000015</v>
      </c>
      <c r="P56" s="17">
        <f>P9*P21+P11*P21*2</f>
        <v>96300.000000000015</v>
      </c>
      <c r="Q56" s="18">
        <f t="shared" ref="Q56:AA56" si="42">Q9*Q21+Q11*Q21*2</f>
        <v>96300.000000000015</v>
      </c>
      <c r="R56" s="18">
        <f t="shared" si="42"/>
        <v>96300.000000000015</v>
      </c>
      <c r="S56" s="18">
        <f t="shared" si="42"/>
        <v>96300.000000000015</v>
      </c>
      <c r="T56" s="18">
        <f t="shared" si="42"/>
        <v>96300.000000000015</v>
      </c>
      <c r="U56" s="18">
        <f t="shared" si="42"/>
        <v>96300.000000000015</v>
      </c>
      <c r="V56" s="18">
        <f t="shared" si="42"/>
        <v>96300.000000000015</v>
      </c>
      <c r="W56" s="18">
        <f t="shared" si="42"/>
        <v>96300.000000000015</v>
      </c>
      <c r="X56" s="18">
        <f t="shared" si="42"/>
        <v>96300.000000000015</v>
      </c>
      <c r="Y56" s="18">
        <f t="shared" si="42"/>
        <v>96300.000000000015</v>
      </c>
      <c r="Z56" s="18">
        <f t="shared" si="42"/>
        <v>96300.000000000015</v>
      </c>
      <c r="AA56" s="18">
        <f t="shared" si="42"/>
        <v>96300.000000000015</v>
      </c>
    </row>
    <row r="57" spans="1:29" x14ac:dyDescent="0.3">
      <c r="A57" s="166"/>
      <c r="B57" s="167"/>
      <c r="C57" s="129" t="s">
        <v>103</v>
      </c>
      <c r="D57" s="102">
        <f t="shared" ref="D57:O58" si="43">D12*D22</f>
        <v>130330.368</v>
      </c>
      <c r="E57" s="102">
        <f t="shared" si="43"/>
        <v>103178.208</v>
      </c>
      <c r="F57" s="102">
        <f t="shared" si="43"/>
        <v>114039.072</v>
      </c>
      <c r="G57" s="102">
        <f t="shared" si="43"/>
        <v>130330.368</v>
      </c>
      <c r="H57" s="102">
        <f t="shared" si="43"/>
        <v>135760.80000000002</v>
      </c>
      <c r="I57" s="102">
        <f t="shared" si="43"/>
        <v>97747.775999999998</v>
      </c>
      <c r="J57" s="102">
        <f t="shared" si="43"/>
        <v>119469.50400000002</v>
      </c>
      <c r="K57" s="102">
        <f t="shared" si="43"/>
        <v>114039.072</v>
      </c>
      <c r="L57" s="102">
        <f t="shared" si="43"/>
        <v>135760.80000000002</v>
      </c>
      <c r="M57" s="102">
        <f t="shared" si="43"/>
        <v>190065.12</v>
      </c>
      <c r="N57" s="102">
        <f t="shared" si="43"/>
        <v>152052.09599999999</v>
      </c>
      <c r="O57" s="102">
        <f t="shared" si="43"/>
        <v>157482.52799999999</v>
      </c>
      <c r="P57" s="102">
        <f>P12*P22</f>
        <v>114039.072</v>
      </c>
      <c r="Q57" s="103">
        <f t="shared" ref="Q57:AA58" si="44">Q12*Q22</f>
        <v>86886.912000000011</v>
      </c>
      <c r="R57" s="103">
        <f t="shared" si="44"/>
        <v>146621.66400000002</v>
      </c>
      <c r="S57" s="103">
        <f t="shared" si="44"/>
        <v>190065.12</v>
      </c>
      <c r="T57" s="103">
        <f t="shared" si="44"/>
        <v>141191.23200000002</v>
      </c>
      <c r="U57" s="103">
        <f t="shared" si="44"/>
        <v>146621.66400000002</v>
      </c>
      <c r="V57" s="103">
        <f t="shared" si="44"/>
        <v>157482.52799999999</v>
      </c>
      <c r="W57" s="103">
        <f t="shared" si="44"/>
        <v>157482.52799999999</v>
      </c>
      <c r="X57" s="103">
        <f t="shared" si="44"/>
        <v>152052.09599999999</v>
      </c>
      <c r="Y57" s="103">
        <f t="shared" si="44"/>
        <v>135760.80000000002</v>
      </c>
      <c r="Z57" s="103">
        <f t="shared" si="44"/>
        <v>173773.82400000002</v>
      </c>
      <c r="AA57" s="103">
        <f t="shared" si="44"/>
        <v>157482.52799999999</v>
      </c>
    </row>
    <row r="58" spans="1:29" x14ac:dyDescent="0.3">
      <c r="A58" s="166"/>
      <c r="B58" s="167"/>
      <c r="C58" s="129" t="s">
        <v>104</v>
      </c>
      <c r="D58" s="17">
        <f t="shared" si="43"/>
        <v>99467.59199999999</v>
      </c>
      <c r="E58" s="17">
        <f t="shared" si="43"/>
        <v>84057.12</v>
      </c>
      <c r="F58" s="17">
        <f t="shared" si="43"/>
        <v>87209.262000000002</v>
      </c>
      <c r="G58" s="17">
        <f t="shared" si="43"/>
        <v>93863.784</v>
      </c>
      <c r="H58" s="17">
        <f t="shared" si="43"/>
        <v>91412.118000000002</v>
      </c>
      <c r="I58" s="17">
        <f t="shared" si="43"/>
        <v>71448.551999999996</v>
      </c>
      <c r="J58" s="17">
        <f t="shared" si="43"/>
        <v>61641.888000000006</v>
      </c>
      <c r="K58" s="17">
        <f t="shared" si="43"/>
        <v>63042.840000000004</v>
      </c>
      <c r="L58" s="17">
        <f t="shared" si="43"/>
        <v>71098.313999999998</v>
      </c>
      <c r="M58" s="17">
        <f t="shared" si="43"/>
        <v>99467.59199999999</v>
      </c>
      <c r="N58" s="17">
        <f t="shared" si="43"/>
        <v>91412.118000000002</v>
      </c>
      <c r="O58" s="17">
        <f t="shared" si="43"/>
        <v>94914.498000000007</v>
      </c>
      <c r="P58" s="17">
        <f>P13*P23</f>
        <v>76702.122000000003</v>
      </c>
      <c r="Q58" s="18">
        <f t="shared" si="44"/>
        <v>71448.551999999996</v>
      </c>
      <c r="R58" s="18">
        <f t="shared" si="44"/>
        <v>84407.358000000007</v>
      </c>
      <c r="S58" s="18">
        <f t="shared" si="44"/>
        <v>97015.926000000007</v>
      </c>
      <c r="T58" s="18">
        <f t="shared" si="44"/>
        <v>86859.02399999999</v>
      </c>
      <c r="U58" s="18">
        <f t="shared" si="44"/>
        <v>74950.932000000001</v>
      </c>
      <c r="V58" s="18">
        <f t="shared" si="44"/>
        <v>75301.17</v>
      </c>
      <c r="W58" s="18">
        <f t="shared" si="44"/>
        <v>74250.456000000006</v>
      </c>
      <c r="X58" s="18">
        <f t="shared" si="44"/>
        <v>85808.31</v>
      </c>
      <c r="Y58" s="18">
        <f t="shared" si="44"/>
        <v>83006.406000000003</v>
      </c>
      <c r="Z58" s="18">
        <f t="shared" si="44"/>
        <v>96665.688000000009</v>
      </c>
      <c r="AA58" s="18">
        <f t="shared" si="44"/>
        <v>90011.166000000012</v>
      </c>
    </row>
    <row r="59" spans="1:29" x14ac:dyDescent="0.3">
      <c r="A59" s="166"/>
      <c r="B59" s="167"/>
      <c r="C59" s="129" t="s">
        <v>105</v>
      </c>
      <c r="D59" s="102">
        <f t="shared" ref="D59:O60" si="45">D12*D24</f>
        <v>42404.544000000002</v>
      </c>
      <c r="E59" s="102">
        <f t="shared" si="45"/>
        <v>33570.264000000003</v>
      </c>
      <c r="F59" s="102">
        <f t="shared" si="45"/>
        <v>37103.976000000002</v>
      </c>
      <c r="G59" s="102">
        <f t="shared" si="45"/>
        <v>42404.544000000002</v>
      </c>
      <c r="H59" s="102">
        <f t="shared" si="45"/>
        <v>44171.4</v>
      </c>
      <c r="I59" s="102">
        <f t="shared" si="45"/>
        <v>31803.407999999999</v>
      </c>
      <c r="J59" s="102">
        <f t="shared" si="45"/>
        <v>38870.832000000002</v>
      </c>
      <c r="K59" s="102">
        <f t="shared" si="45"/>
        <v>37103.976000000002</v>
      </c>
      <c r="L59" s="102">
        <f t="shared" si="45"/>
        <v>44171.4</v>
      </c>
      <c r="M59" s="102">
        <f t="shared" si="45"/>
        <v>61839.96</v>
      </c>
      <c r="N59" s="102">
        <f t="shared" si="45"/>
        <v>49471.968000000001</v>
      </c>
      <c r="O59" s="102">
        <f t="shared" si="45"/>
        <v>51238.824000000001</v>
      </c>
      <c r="P59" s="102">
        <f>P12*P24</f>
        <v>37103.976000000002</v>
      </c>
      <c r="Q59" s="103">
        <f t="shared" ref="Q59:AA60" si="46">Q12*Q24</f>
        <v>28269.696</v>
      </c>
      <c r="R59" s="103">
        <f t="shared" si="46"/>
        <v>47705.112000000001</v>
      </c>
      <c r="S59" s="103">
        <f t="shared" si="46"/>
        <v>61839.96</v>
      </c>
      <c r="T59" s="103">
        <f t="shared" si="46"/>
        <v>45938.256000000001</v>
      </c>
      <c r="U59" s="103">
        <f t="shared" si="46"/>
        <v>47705.112000000001</v>
      </c>
      <c r="V59" s="103">
        <f t="shared" si="46"/>
        <v>51238.824000000001</v>
      </c>
      <c r="W59" s="103">
        <f t="shared" si="46"/>
        <v>51238.824000000001</v>
      </c>
      <c r="X59" s="103">
        <f t="shared" si="46"/>
        <v>49471.968000000001</v>
      </c>
      <c r="Y59" s="103">
        <f t="shared" si="46"/>
        <v>44171.4</v>
      </c>
      <c r="Z59" s="103">
        <f t="shared" si="46"/>
        <v>56539.392</v>
      </c>
      <c r="AA59" s="103">
        <f t="shared" si="46"/>
        <v>51238.824000000001</v>
      </c>
    </row>
    <row r="60" spans="1:29" x14ac:dyDescent="0.3">
      <c r="A60" s="166"/>
      <c r="B60" s="167"/>
      <c r="C60" s="129" t="s">
        <v>106</v>
      </c>
      <c r="D60" s="17">
        <f t="shared" si="45"/>
        <v>299917.63199999998</v>
      </c>
      <c r="E60" s="17">
        <f t="shared" si="45"/>
        <v>253451.51999999999</v>
      </c>
      <c r="F60" s="17">
        <f t="shared" si="45"/>
        <v>262955.95199999999</v>
      </c>
      <c r="G60" s="17">
        <f t="shared" si="45"/>
        <v>283020.864</v>
      </c>
      <c r="H60" s="17">
        <f t="shared" si="45"/>
        <v>275628.52799999999</v>
      </c>
      <c r="I60" s="17">
        <f t="shared" si="45"/>
        <v>215433.79199999999</v>
      </c>
      <c r="J60" s="17">
        <f t="shared" si="45"/>
        <v>185864.448</v>
      </c>
      <c r="K60" s="17">
        <f t="shared" si="45"/>
        <v>190088.63999999998</v>
      </c>
      <c r="L60" s="17">
        <f t="shared" si="45"/>
        <v>214377.74400000001</v>
      </c>
      <c r="M60" s="17">
        <f t="shared" si="45"/>
        <v>299917.63199999998</v>
      </c>
      <c r="N60" s="17">
        <f t="shared" si="45"/>
        <v>275628.52799999999</v>
      </c>
      <c r="O60" s="17">
        <f t="shared" si="45"/>
        <v>286189.00800000003</v>
      </c>
      <c r="P60" s="17">
        <f>P13*P25</f>
        <v>231274.51199999999</v>
      </c>
      <c r="Q60" s="18">
        <f t="shared" si="46"/>
        <v>215433.79199999999</v>
      </c>
      <c r="R60" s="18">
        <f t="shared" si="46"/>
        <v>254507.568</v>
      </c>
      <c r="S60" s="18">
        <f t="shared" si="46"/>
        <v>292525.29600000003</v>
      </c>
      <c r="T60" s="18">
        <f t="shared" si="46"/>
        <v>261899.90399999998</v>
      </c>
      <c r="U60" s="18">
        <f t="shared" si="46"/>
        <v>225994.272</v>
      </c>
      <c r="V60" s="18">
        <f t="shared" si="46"/>
        <v>227050.32</v>
      </c>
      <c r="W60" s="18">
        <f t="shared" si="46"/>
        <v>223882.17600000001</v>
      </c>
      <c r="X60" s="18">
        <f t="shared" si="46"/>
        <v>258731.76</v>
      </c>
      <c r="Y60" s="18">
        <f t="shared" si="46"/>
        <v>250283.37599999999</v>
      </c>
      <c r="Z60" s="18">
        <f t="shared" si="46"/>
        <v>291469.24800000002</v>
      </c>
      <c r="AA60" s="18">
        <f t="shared" si="46"/>
        <v>271404.33600000001</v>
      </c>
    </row>
    <row r="61" spans="1:29" x14ac:dyDescent="0.3">
      <c r="A61" s="166"/>
      <c r="B61" s="167"/>
      <c r="C61" s="130" t="s">
        <v>107</v>
      </c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103"/>
    </row>
    <row r="62" spans="1:29" x14ac:dyDescent="0.3">
      <c r="A62" s="166"/>
      <c r="B62" s="167"/>
      <c r="C62" s="130" t="s">
        <v>110</v>
      </c>
      <c r="D62" s="21">
        <f t="shared" ref="D62:O62" si="47">SUM(D55:D61)/(1-SUM(D27:D28))*SUM(D27:D28)</f>
        <v>314550.65223529417</v>
      </c>
      <c r="E62" s="21">
        <f t="shared" si="47"/>
        <v>268497.46447058825</v>
      </c>
      <c r="F62" s="21">
        <f t="shared" si="47"/>
        <v>281227.41741176479</v>
      </c>
      <c r="G62" s="21">
        <f t="shared" si="47"/>
        <v>303962.14588235301</v>
      </c>
      <c r="H62" s="21">
        <f t="shared" si="47"/>
        <v>302716.63341176481</v>
      </c>
      <c r="I62" s="21">
        <f t="shared" si="47"/>
        <v>241286.36611764706</v>
      </c>
      <c r="J62" s="21">
        <f t="shared" si="47"/>
        <v>236304.31623529416</v>
      </c>
      <c r="K62" s="21">
        <f t="shared" si="47"/>
        <v>235564.48376470592</v>
      </c>
      <c r="L62" s="21">
        <f t="shared" si="47"/>
        <v>264333.29788235301</v>
      </c>
      <c r="M62" s="21">
        <f t="shared" si="47"/>
        <v>351807.20188235299</v>
      </c>
      <c r="N62" s="21">
        <f t="shared" si="47"/>
        <v>312877.51058823528</v>
      </c>
      <c r="O62" s="21">
        <f t="shared" si="47"/>
        <v>322882.28611764713</v>
      </c>
      <c r="P62" s="21">
        <f>SUM(P55:P61)/(1-SUM(P27:P28))*SUM(P27:P28)</f>
        <v>261373.96800000005</v>
      </c>
      <c r="Q62" s="22">
        <f t="shared" ref="Q62:AA62" si="48">SUM(Q55:Q61)/(1-SUM(Q27:Q28))*SUM(Q27:Q28)</f>
        <v>234512.44800000006</v>
      </c>
      <c r="R62" s="22">
        <f t="shared" si="48"/>
        <v>296254.91858823533</v>
      </c>
      <c r="S62" s="22">
        <f t="shared" si="48"/>
        <v>347174.73035294126</v>
      </c>
      <c r="T62" s="22">
        <f t="shared" si="48"/>
        <v>297500.43105882354</v>
      </c>
      <c r="U62" s="22">
        <f t="shared" si="48"/>
        <v>278386.81411764707</v>
      </c>
      <c r="V62" s="22">
        <f t="shared" si="48"/>
        <v>285822.51388235291</v>
      </c>
      <c r="W62" s="22">
        <f t="shared" si="48"/>
        <v>283837.16894117655</v>
      </c>
      <c r="X62" s="22">
        <f t="shared" si="48"/>
        <v>302289.00423529418</v>
      </c>
      <c r="Y62" s="22">
        <f t="shared" si="48"/>
        <v>286833.87388235301</v>
      </c>
      <c r="Z62" s="22">
        <f t="shared" si="48"/>
        <v>336352.07152941183</v>
      </c>
      <c r="AA62" s="22">
        <f t="shared" si="48"/>
        <v>313617.34305882355</v>
      </c>
    </row>
    <row r="63" spans="1:29" ht="17.25" thickBot="1" x14ac:dyDescent="0.35">
      <c r="A63" s="166"/>
      <c r="B63" s="167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45"/>
    </row>
    <row r="64" spans="1:29" ht="22.5" customHeight="1" thickBot="1" x14ac:dyDescent="0.35">
      <c r="A64" s="166"/>
      <c r="B64" s="167"/>
      <c r="C64" s="134" t="s">
        <v>109</v>
      </c>
      <c r="D64" s="46">
        <f t="shared" ref="D64:O64" si="49">+SUM(D55:D62)</f>
        <v>982970.78823529417</v>
      </c>
      <c r="E64" s="46">
        <f t="shared" si="49"/>
        <v>839054.57647058822</v>
      </c>
      <c r="F64" s="46">
        <f t="shared" si="49"/>
        <v>878835.67941176496</v>
      </c>
      <c r="G64" s="46">
        <f t="shared" si="49"/>
        <v>949881.70588235301</v>
      </c>
      <c r="H64" s="46">
        <f t="shared" si="49"/>
        <v>945989.479411765</v>
      </c>
      <c r="I64" s="46">
        <f t="shared" si="49"/>
        <v>754019.89411764697</v>
      </c>
      <c r="J64" s="46">
        <f t="shared" si="49"/>
        <v>738450.98823529412</v>
      </c>
      <c r="K64" s="46">
        <f t="shared" si="49"/>
        <v>736139.011764706</v>
      </c>
      <c r="L64" s="46">
        <f t="shared" si="49"/>
        <v>826041.5558823531</v>
      </c>
      <c r="M64" s="46">
        <f t="shared" si="49"/>
        <v>1099397.5058823531</v>
      </c>
      <c r="N64" s="46">
        <f t="shared" si="49"/>
        <v>977742.22058823518</v>
      </c>
      <c r="O64" s="46">
        <f t="shared" si="49"/>
        <v>1009007.1441176471</v>
      </c>
      <c r="P64" s="46">
        <f>+SUM(P55:P62)</f>
        <v>816793.65000000014</v>
      </c>
      <c r="Q64" s="46">
        <f t="shared" ref="Q64:AA64" si="50">+SUM(Q55:Q62)</f>
        <v>732851.40000000014</v>
      </c>
      <c r="R64" s="46">
        <f t="shared" si="50"/>
        <v>925796.62058823532</v>
      </c>
      <c r="S64" s="46">
        <f t="shared" si="50"/>
        <v>1084921.0323529413</v>
      </c>
      <c r="T64" s="46">
        <f t="shared" si="50"/>
        <v>929688.84705882357</v>
      </c>
      <c r="U64" s="46">
        <f t="shared" si="50"/>
        <v>869958.79411764699</v>
      </c>
      <c r="V64" s="46">
        <f t="shared" si="50"/>
        <v>893195.35588235292</v>
      </c>
      <c r="W64" s="46">
        <f t="shared" si="50"/>
        <v>886991.15294117667</v>
      </c>
      <c r="X64" s="46">
        <f t="shared" si="50"/>
        <v>944653.13823529426</v>
      </c>
      <c r="Y64" s="46">
        <f t="shared" si="50"/>
        <v>896355.85588235315</v>
      </c>
      <c r="Z64" s="46">
        <f t="shared" si="50"/>
        <v>1051100.2235294119</v>
      </c>
      <c r="AA64" s="46">
        <f t="shared" si="50"/>
        <v>980054.19705882366</v>
      </c>
      <c r="AC64" s="47">
        <f>SUM(D64:AA64)</f>
        <v>21749890.817647059</v>
      </c>
    </row>
    <row r="65" spans="1:33" ht="17.25" thickBot="1" x14ac:dyDescent="0.35">
      <c r="A65" s="166"/>
      <c r="B65" s="167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  <c r="AA65" s="41"/>
    </row>
    <row r="66" spans="1:33" ht="22.5" customHeight="1" thickBot="1" x14ac:dyDescent="0.35">
      <c r="A66" s="166"/>
      <c r="B66" s="167"/>
      <c r="C66" s="134" t="s">
        <v>111</v>
      </c>
      <c r="D66" s="46">
        <f t="shared" ref="D66:O66" si="51">D64-D52</f>
        <v>222675.23791136185</v>
      </c>
      <c r="E66" s="46">
        <f t="shared" si="51"/>
        <v>190672.56483722804</v>
      </c>
      <c r="F66" s="46">
        <f t="shared" si="51"/>
        <v>201003.21234246599</v>
      </c>
      <c r="G66" s="46">
        <f t="shared" si="51"/>
        <v>218079.10447058827</v>
      </c>
      <c r="H66" s="46">
        <f t="shared" si="51"/>
        <v>219940.95731265133</v>
      </c>
      <c r="I66" s="46">
        <f t="shared" si="51"/>
        <v>176458.6033730862</v>
      </c>
      <c r="J66" s="46">
        <f t="shared" si="51"/>
        <v>183906.01474133763</v>
      </c>
      <c r="K66" s="46">
        <f t="shared" si="51"/>
        <v>181182.3868791298</v>
      </c>
      <c r="L66" s="46">
        <f t="shared" si="51"/>
        <v>203279.9735898471</v>
      </c>
      <c r="M66" s="46">
        <f t="shared" si="51"/>
        <v>265274.51135777612</v>
      </c>
      <c r="N66" s="46">
        <f t="shared" si="51"/>
        <v>231558.94097985479</v>
      </c>
      <c r="O66" s="46">
        <f t="shared" si="51"/>
        <v>238304.18560273969</v>
      </c>
      <c r="P66" s="46">
        <f>P64-P52</f>
        <v>192385.46214101545</v>
      </c>
      <c r="Q66" s="46">
        <f t="shared" ref="Q66:AA66" si="52">Q64-Q52</f>
        <v>168713.2809282837</v>
      </c>
      <c r="R66" s="46">
        <f t="shared" si="52"/>
        <v>221941.11295648664</v>
      </c>
      <c r="S66" s="46">
        <f t="shared" si="52"/>
        <v>263263.70297743776</v>
      </c>
      <c r="T66" s="46">
        <f t="shared" si="52"/>
        <v>220079.26011442393</v>
      </c>
      <c r="U66" s="46">
        <f t="shared" si="52"/>
        <v>214185.13777518121</v>
      </c>
      <c r="V66" s="46">
        <f t="shared" si="52"/>
        <v>222217.7185600322</v>
      </c>
      <c r="W66" s="46">
        <f t="shared" si="52"/>
        <v>221355.94353988743</v>
      </c>
      <c r="X66" s="46">
        <f t="shared" si="52"/>
        <v>226962.80753908155</v>
      </c>
      <c r="Y66" s="46">
        <f t="shared" si="52"/>
        <v>213046.75715149078</v>
      </c>
      <c r="Z66" s="46">
        <f t="shared" si="52"/>
        <v>251358.46097018546</v>
      </c>
      <c r="AA66" s="46">
        <f t="shared" si="52"/>
        <v>234282.56884206296</v>
      </c>
      <c r="AC66" s="47">
        <f>AC64-AC52</f>
        <v>5182127.906893637</v>
      </c>
    </row>
    <row r="67" spans="1:33" ht="23.25" customHeight="1" thickBot="1" x14ac:dyDescent="0.35">
      <c r="A67" s="168"/>
      <c r="B67" s="169"/>
      <c r="C67" s="134" t="s">
        <v>112</v>
      </c>
      <c r="D67" s="105">
        <f t="shared" ref="D67:O67" si="53">D66/D64</f>
        <v>0.22653291489071187</v>
      </c>
      <c r="E67" s="105">
        <f t="shared" si="53"/>
        <v>0.22724691597449595</v>
      </c>
      <c r="F67" s="105">
        <f t="shared" si="53"/>
        <v>0.2287153526550087</v>
      </c>
      <c r="G67" s="105">
        <f t="shared" si="53"/>
        <v>0.22958554009418761</v>
      </c>
      <c r="H67" s="105">
        <f t="shared" si="53"/>
        <v>0.2324983121899146</v>
      </c>
      <c r="I67" s="105">
        <f t="shared" si="53"/>
        <v>0.23402380328383485</v>
      </c>
      <c r="J67" s="105">
        <f t="shared" si="53"/>
        <v>0.24904295298029891</v>
      </c>
      <c r="K67" s="105">
        <f t="shared" si="53"/>
        <v>0.24612523447818793</v>
      </c>
      <c r="L67" s="105">
        <f t="shared" si="53"/>
        <v>0.24608928224284002</v>
      </c>
      <c r="M67" s="105">
        <f t="shared" si="53"/>
        <v>0.24129080695418936</v>
      </c>
      <c r="N67" s="105">
        <f t="shared" si="53"/>
        <v>0.23683025658904541</v>
      </c>
      <c r="O67" s="105">
        <f t="shared" si="53"/>
        <v>0.23617690617159215</v>
      </c>
      <c r="P67" s="105">
        <f>P66/P64</f>
        <v>0.23553741161065028</v>
      </c>
      <c r="Q67" s="105">
        <f>Q66/Q64</f>
        <v>0.23021485792110605</v>
      </c>
      <c r="R67" s="105">
        <f t="shared" ref="R67:AA67" si="54">R66/R64</f>
        <v>0.23972988021437047</v>
      </c>
      <c r="S67" s="105">
        <f t="shared" si="54"/>
        <v>0.24265701846196125</v>
      </c>
      <c r="T67" s="105">
        <f t="shared" si="54"/>
        <v>0.23672356704145661</v>
      </c>
      <c r="U67" s="105">
        <f t="shared" si="54"/>
        <v>0.24620147439559803</v>
      </c>
      <c r="V67" s="105">
        <f t="shared" si="54"/>
        <v>0.2487896036366109</v>
      </c>
      <c r="W67" s="105">
        <f t="shared" si="54"/>
        <v>0.24955823156284321</v>
      </c>
      <c r="X67" s="105">
        <f t="shared" si="54"/>
        <v>0.24026047059248709</v>
      </c>
      <c r="Y67" s="105">
        <f t="shared" si="54"/>
        <v>0.23768100108162088</v>
      </c>
      <c r="Z67" s="105">
        <f t="shared" si="54"/>
        <v>0.23913843356075734</v>
      </c>
      <c r="AA67" s="105">
        <f t="shared" si="54"/>
        <v>0.23905062551147988</v>
      </c>
      <c r="AC67" s="106">
        <f>AC66/AC64</f>
        <v>0.23825995037589107</v>
      </c>
    </row>
    <row r="69" spans="1:33" ht="17.25" thickBot="1" x14ac:dyDescent="0.35"/>
    <row r="70" spans="1:33" ht="45.75" x14ac:dyDescent="0.3">
      <c r="A70" s="164" t="s">
        <v>95</v>
      </c>
      <c r="B70" s="165"/>
      <c r="C70" s="170" t="s">
        <v>100</v>
      </c>
      <c r="D70" s="170"/>
      <c r="E70" s="170"/>
      <c r="F70" s="170"/>
      <c r="G70" s="170"/>
      <c r="H70" s="170"/>
      <c r="I70" s="170"/>
      <c r="J70" s="170"/>
      <c r="K70" s="170"/>
      <c r="L70" s="170"/>
      <c r="M70" s="170"/>
      <c r="N70" s="170"/>
      <c r="O70" s="170"/>
      <c r="P70" s="170"/>
      <c r="Q70" s="170"/>
      <c r="R70" s="170"/>
      <c r="S70" s="170"/>
      <c r="T70" s="170"/>
      <c r="U70" s="170"/>
      <c r="V70" s="170"/>
      <c r="W70" s="170"/>
      <c r="X70" s="170"/>
      <c r="Y70" s="170"/>
      <c r="Z70" s="170"/>
      <c r="AA70" s="171"/>
      <c r="AC70" s="5"/>
    </row>
    <row r="71" spans="1:33" x14ac:dyDescent="0.3">
      <c r="A71" s="166"/>
      <c r="B71" s="167"/>
      <c r="C71" s="128" t="s">
        <v>3</v>
      </c>
      <c r="D71" s="7">
        <v>43101</v>
      </c>
      <c r="E71" s="7">
        <v>43133</v>
      </c>
      <c r="F71" s="7">
        <v>43165</v>
      </c>
      <c r="G71" s="7">
        <v>43197</v>
      </c>
      <c r="H71" s="7">
        <v>43229</v>
      </c>
      <c r="I71" s="7">
        <v>43261</v>
      </c>
      <c r="J71" s="7">
        <v>43293</v>
      </c>
      <c r="K71" s="7">
        <v>43325</v>
      </c>
      <c r="L71" s="7">
        <v>43357</v>
      </c>
      <c r="M71" s="7">
        <v>43389</v>
      </c>
      <c r="N71" s="7">
        <v>43421</v>
      </c>
      <c r="O71" s="7">
        <v>43453</v>
      </c>
      <c r="P71" s="7">
        <v>43485</v>
      </c>
      <c r="Q71" s="7">
        <v>43517</v>
      </c>
      <c r="R71" s="7">
        <v>43549</v>
      </c>
      <c r="S71" s="7">
        <v>43581</v>
      </c>
      <c r="T71" s="7">
        <v>43613</v>
      </c>
      <c r="U71" s="7">
        <v>43645</v>
      </c>
      <c r="V71" s="7">
        <v>43677</v>
      </c>
      <c r="W71" s="7">
        <v>43709</v>
      </c>
      <c r="X71" s="7">
        <v>43741</v>
      </c>
      <c r="Y71" s="7">
        <v>43773</v>
      </c>
      <c r="Z71" s="7">
        <v>43805</v>
      </c>
      <c r="AA71" s="7">
        <v>43806</v>
      </c>
    </row>
    <row r="72" spans="1:33" x14ac:dyDescent="0.3">
      <c r="A72" s="166"/>
      <c r="B72" s="167"/>
      <c r="C72" s="128" t="s">
        <v>4</v>
      </c>
      <c r="D72" s="6">
        <v>744</v>
      </c>
      <c r="E72" s="6">
        <v>696</v>
      </c>
      <c r="F72" s="6">
        <v>744</v>
      </c>
      <c r="G72" s="6">
        <v>720</v>
      </c>
      <c r="H72" s="6">
        <v>744</v>
      </c>
      <c r="I72" s="6">
        <v>720</v>
      </c>
      <c r="J72" s="6">
        <v>744</v>
      </c>
      <c r="K72" s="6">
        <v>744</v>
      </c>
      <c r="L72" s="6">
        <v>720</v>
      </c>
      <c r="M72" s="6">
        <v>744</v>
      </c>
      <c r="N72" s="6">
        <v>720</v>
      </c>
      <c r="O72" s="6">
        <v>744</v>
      </c>
      <c r="P72" s="6">
        <v>744</v>
      </c>
      <c r="Q72" s="6">
        <v>672</v>
      </c>
      <c r="R72" s="6">
        <v>744</v>
      </c>
      <c r="S72" s="6">
        <v>720</v>
      </c>
      <c r="T72" s="6">
        <v>744</v>
      </c>
      <c r="U72" s="6">
        <v>720</v>
      </c>
      <c r="V72" s="6">
        <v>744</v>
      </c>
      <c r="W72" s="6">
        <v>744</v>
      </c>
      <c r="X72" s="6">
        <v>720</v>
      </c>
      <c r="Y72" s="6">
        <v>744</v>
      </c>
      <c r="Z72" s="6">
        <v>720</v>
      </c>
      <c r="AA72" s="6">
        <v>744</v>
      </c>
    </row>
    <row r="73" spans="1:33" x14ac:dyDescent="0.3">
      <c r="A73" s="166"/>
      <c r="B73" s="167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  <c r="AA73" s="139"/>
      <c r="AB73" s="150"/>
      <c r="AC73" s="150"/>
      <c r="AD73" s="150"/>
      <c r="AE73" s="150"/>
      <c r="AF73" s="150"/>
      <c r="AG73" s="150"/>
    </row>
    <row r="74" spans="1:33" x14ac:dyDescent="0.3">
      <c r="A74" s="166"/>
      <c r="B74" s="167"/>
      <c r="C74" s="129" t="s">
        <v>5</v>
      </c>
      <c r="D74" s="115">
        <v>2352</v>
      </c>
      <c r="E74" s="115">
        <v>2352</v>
      </c>
      <c r="F74" s="115">
        <v>2436</v>
      </c>
      <c r="G74" s="115">
        <v>2436</v>
      </c>
      <c r="H74" s="115">
        <v>2646</v>
      </c>
      <c r="I74" s="115">
        <v>1890</v>
      </c>
      <c r="J74" s="115">
        <v>2142</v>
      </c>
      <c r="K74" s="115">
        <v>2226</v>
      </c>
      <c r="L74" s="115">
        <v>2814</v>
      </c>
      <c r="M74" s="115">
        <v>3150</v>
      </c>
      <c r="N74" s="115">
        <v>3066</v>
      </c>
      <c r="O74" s="115">
        <v>2730</v>
      </c>
      <c r="P74" s="111">
        <v>2520</v>
      </c>
      <c r="Q74" s="111">
        <v>2352</v>
      </c>
      <c r="R74" s="111">
        <v>2982</v>
      </c>
      <c r="S74" s="111">
        <v>2982</v>
      </c>
      <c r="T74" s="111">
        <v>2394</v>
      </c>
      <c r="U74" s="111">
        <v>2772</v>
      </c>
      <c r="V74" s="111">
        <v>2604</v>
      </c>
      <c r="W74" s="111">
        <v>2394</v>
      </c>
      <c r="X74" s="111">
        <v>2772</v>
      </c>
      <c r="Y74" s="111">
        <v>2688</v>
      </c>
      <c r="Z74" s="111">
        <v>2772</v>
      </c>
      <c r="AA74" s="140">
        <v>2772</v>
      </c>
      <c r="AB74" s="150"/>
      <c r="AC74" s="150" t="s">
        <v>92</v>
      </c>
      <c r="AD74" s="151" t="s">
        <v>96</v>
      </c>
      <c r="AE74" s="150" t="s">
        <v>97</v>
      </c>
      <c r="AF74" s="152" t="s">
        <v>108</v>
      </c>
      <c r="AG74" s="150"/>
    </row>
    <row r="75" spans="1:33" x14ac:dyDescent="0.3">
      <c r="A75" s="166"/>
      <c r="B75" s="167"/>
      <c r="C75" s="129" t="s">
        <v>41</v>
      </c>
      <c r="D75" s="115">
        <v>4578</v>
      </c>
      <c r="E75" s="115">
        <v>4536</v>
      </c>
      <c r="F75" s="115">
        <v>4662</v>
      </c>
      <c r="G75" s="115">
        <v>4326</v>
      </c>
      <c r="H75" s="115">
        <v>4452</v>
      </c>
      <c r="I75" s="115">
        <v>3864</v>
      </c>
      <c r="J75" s="115">
        <v>3108</v>
      </c>
      <c r="K75" s="115">
        <v>3318</v>
      </c>
      <c r="L75" s="115">
        <v>4242</v>
      </c>
      <c r="M75" s="115">
        <v>4662</v>
      </c>
      <c r="N75" s="115">
        <v>4578</v>
      </c>
      <c r="O75" s="115">
        <v>4872</v>
      </c>
      <c r="P75" s="111">
        <v>4536</v>
      </c>
      <c r="Q75" s="111">
        <v>4284</v>
      </c>
      <c r="R75" s="111">
        <v>4746</v>
      </c>
      <c r="S75" s="111">
        <v>4452</v>
      </c>
      <c r="T75" s="111">
        <v>3990</v>
      </c>
      <c r="U75" s="111">
        <v>4116</v>
      </c>
      <c r="V75" s="111">
        <v>3864</v>
      </c>
      <c r="W75" s="111">
        <v>3696</v>
      </c>
      <c r="X75" s="111">
        <v>4326</v>
      </c>
      <c r="Y75" s="111">
        <v>4620</v>
      </c>
      <c r="Z75" s="111">
        <v>4788</v>
      </c>
      <c r="AA75" s="140">
        <v>4704</v>
      </c>
      <c r="AB75" s="150"/>
      <c r="AC75" s="150" t="s">
        <v>93</v>
      </c>
      <c r="AD75" s="153">
        <v>0</v>
      </c>
      <c r="AE75" s="151">
        <v>175</v>
      </c>
      <c r="AF75" s="152">
        <v>13.43</v>
      </c>
      <c r="AG75" s="150"/>
    </row>
    <row r="76" spans="1:33" x14ac:dyDescent="0.3">
      <c r="A76" s="166"/>
      <c r="B76" s="167"/>
      <c r="C76" s="129" t="s">
        <v>6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41">
        <v>0</v>
      </c>
      <c r="AB76" s="150"/>
      <c r="AC76" s="150" t="s">
        <v>94</v>
      </c>
      <c r="AD76" s="153">
        <v>0.5</v>
      </c>
      <c r="AE76" s="151">
        <v>220</v>
      </c>
      <c r="AF76" s="152">
        <v>41.69</v>
      </c>
      <c r="AG76" s="150"/>
    </row>
    <row r="77" spans="1:33" x14ac:dyDescent="0.3">
      <c r="A77" s="166"/>
      <c r="B77" s="167"/>
      <c r="C77" s="129" t="s">
        <v>7</v>
      </c>
      <c r="D77" s="116">
        <v>5000</v>
      </c>
      <c r="E77" s="116">
        <v>5000</v>
      </c>
      <c r="F77" s="116">
        <v>5000</v>
      </c>
      <c r="G77" s="116">
        <v>5000</v>
      </c>
      <c r="H77" s="116">
        <v>5000</v>
      </c>
      <c r="I77" s="116">
        <v>5000</v>
      </c>
      <c r="J77" s="116">
        <v>5000</v>
      </c>
      <c r="K77" s="116">
        <v>5000</v>
      </c>
      <c r="L77" s="116">
        <v>5000</v>
      </c>
      <c r="M77" s="116">
        <v>5000</v>
      </c>
      <c r="N77" s="116">
        <v>5000</v>
      </c>
      <c r="O77" s="116">
        <v>5000</v>
      </c>
      <c r="P77" s="112">
        <v>5000</v>
      </c>
      <c r="Q77" s="112">
        <v>5000</v>
      </c>
      <c r="R77" s="112">
        <v>5000</v>
      </c>
      <c r="S77" s="112">
        <v>5000</v>
      </c>
      <c r="T77" s="112">
        <v>5000</v>
      </c>
      <c r="U77" s="112">
        <v>5000</v>
      </c>
      <c r="V77" s="112">
        <v>5000</v>
      </c>
      <c r="W77" s="112">
        <v>5000</v>
      </c>
      <c r="X77" s="112">
        <v>5000</v>
      </c>
      <c r="Y77" s="112">
        <v>5000</v>
      </c>
      <c r="Z77" s="112">
        <v>5000</v>
      </c>
      <c r="AA77" s="142">
        <v>5000</v>
      </c>
      <c r="AB77" s="150"/>
      <c r="AC77" s="150" t="s">
        <v>95</v>
      </c>
      <c r="AD77" s="153">
        <v>1</v>
      </c>
      <c r="AE77" s="151">
        <v>310</v>
      </c>
      <c r="AF77" s="152">
        <v>62.43</v>
      </c>
      <c r="AG77" s="150"/>
    </row>
    <row r="78" spans="1:33" x14ac:dyDescent="0.3">
      <c r="A78" s="166"/>
      <c r="B78" s="167"/>
      <c r="C78" s="129" t="s">
        <v>8</v>
      </c>
      <c r="D78" s="16">
        <f t="shared" ref="D78:AA78" si="55">IF(D87="Verde",0,IF(D74&gt;D76*1.05,D74-D76,0))</f>
        <v>0</v>
      </c>
      <c r="E78" s="16">
        <f t="shared" si="55"/>
        <v>0</v>
      </c>
      <c r="F78" s="16">
        <f t="shared" si="55"/>
        <v>0</v>
      </c>
      <c r="G78" s="16">
        <f t="shared" si="55"/>
        <v>0</v>
      </c>
      <c r="H78" s="16">
        <f t="shared" si="55"/>
        <v>0</v>
      </c>
      <c r="I78" s="16">
        <f t="shared" si="55"/>
        <v>0</v>
      </c>
      <c r="J78" s="16">
        <f t="shared" si="55"/>
        <v>0</v>
      </c>
      <c r="K78" s="16">
        <f t="shared" si="55"/>
        <v>0</v>
      </c>
      <c r="L78" s="16">
        <f t="shared" si="55"/>
        <v>0</v>
      </c>
      <c r="M78" s="16">
        <f t="shared" si="55"/>
        <v>0</v>
      </c>
      <c r="N78" s="16">
        <f t="shared" si="55"/>
        <v>0</v>
      </c>
      <c r="O78" s="16">
        <f t="shared" si="55"/>
        <v>0</v>
      </c>
      <c r="P78" s="16">
        <f t="shared" si="55"/>
        <v>0</v>
      </c>
      <c r="Q78" s="16">
        <f t="shared" si="55"/>
        <v>0</v>
      </c>
      <c r="R78" s="16">
        <f t="shared" si="55"/>
        <v>0</v>
      </c>
      <c r="S78" s="16">
        <f t="shared" si="55"/>
        <v>0</v>
      </c>
      <c r="T78" s="16">
        <f t="shared" si="55"/>
        <v>0</v>
      </c>
      <c r="U78" s="16">
        <f t="shared" si="55"/>
        <v>0</v>
      </c>
      <c r="V78" s="16">
        <f t="shared" si="55"/>
        <v>0</v>
      </c>
      <c r="W78" s="16">
        <f t="shared" si="55"/>
        <v>0</v>
      </c>
      <c r="X78" s="16">
        <f t="shared" si="55"/>
        <v>0</v>
      </c>
      <c r="Y78" s="16">
        <f t="shared" si="55"/>
        <v>0</v>
      </c>
      <c r="Z78" s="16">
        <f t="shared" si="55"/>
        <v>0</v>
      </c>
      <c r="AA78" s="143">
        <f t="shared" si="55"/>
        <v>0</v>
      </c>
      <c r="AB78" s="150"/>
      <c r="AC78" s="150"/>
      <c r="AD78" s="150"/>
      <c r="AE78" s="150"/>
      <c r="AF78" s="150"/>
      <c r="AG78" s="150"/>
    </row>
    <row r="79" spans="1:33" x14ac:dyDescent="0.3">
      <c r="A79" s="166"/>
      <c r="B79" s="167"/>
      <c r="C79" s="129" t="s">
        <v>9</v>
      </c>
      <c r="D79" s="18">
        <f t="shared" ref="D79:AA79" si="56">IF(D75&gt;D77*1.05,D75-D77,0)</f>
        <v>0</v>
      </c>
      <c r="E79" s="18">
        <f t="shared" si="56"/>
        <v>0</v>
      </c>
      <c r="F79" s="18">
        <f t="shared" si="56"/>
        <v>0</v>
      </c>
      <c r="G79" s="18">
        <f t="shared" si="56"/>
        <v>0</v>
      </c>
      <c r="H79" s="18">
        <f t="shared" si="56"/>
        <v>0</v>
      </c>
      <c r="I79" s="18">
        <f t="shared" si="56"/>
        <v>0</v>
      </c>
      <c r="J79" s="18">
        <f t="shared" si="56"/>
        <v>0</v>
      </c>
      <c r="K79" s="18">
        <f t="shared" si="56"/>
        <v>0</v>
      </c>
      <c r="L79" s="18">
        <f t="shared" si="56"/>
        <v>0</v>
      </c>
      <c r="M79" s="18">
        <f t="shared" si="56"/>
        <v>0</v>
      </c>
      <c r="N79" s="18">
        <f t="shared" si="56"/>
        <v>0</v>
      </c>
      <c r="O79" s="18">
        <f t="shared" si="56"/>
        <v>0</v>
      </c>
      <c r="P79" s="18">
        <f t="shared" si="56"/>
        <v>0</v>
      </c>
      <c r="Q79" s="18">
        <f t="shared" si="56"/>
        <v>0</v>
      </c>
      <c r="R79" s="18">
        <f t="shared" si="56"/>
        <v>0</v>
      </c>
      <c r="S79" s="18">
        <f t="shared" si="56"/>
        <v>0</v>
      </c>
      <c r="T79" s="18">
        <f t="shared" si="56"/>
        <v>0</v>
      </c>
      <c r="U79" s="18">
        <f t="shared" si="56"/>
        <v>0</v>
      </c>
      <c r="V79" s="18">
        <f t="shared" si="56"/>
        <v>0</v>
      </c>
      <c r="W79" s="18">
        <f t="shared" si="56"/>
        <v>0</v>
      </c>
      <c r="X79" s="18">
        <f t="shared" si="56"/>
        <v>0</v>
      </c>
      <c r="Y79" s="18">
        <f t="shared" si="56"/>
        <v>0</v>
      </c>
      <c r="Z79" s="18">
        <f t="shared" si="56"/>
        <v>0</v>
      </c>
      <c r="AA79" s="144">
        <f t="shared" si="56"/>
        <v>0</v>
      </c>
      <c r="AB79" s="150" t="s">
        <v>43</v>
      </c>
      <c r="AC79" s="150"/>
      <c r="AD79" s="150"/>
      <c r="AE79" s="150"/>
      <c r="AF79" s="150"/>
      <c r="AG79" s="150"/>
    </row>
    <row r="80" spans="1:33" x14ac:dyDescent="0.3">
      <c r="A80" s="166"/>
      <c r="B80" s="167"/>
      <c r="C80" s="129" t="s">
        <v>10</v>
      </c>
      <c r="D80" s="117">
        <v>100.8</v>
      </c>
      <c r="E80" s="117">
        <v>79.8</v>
      </c>
      <c r="F80" s="117">
        <v>88.2</v>
      </c>
      <c r="G80" s="117">
        <v>100.8</v>
      </c>
      <c r="H80" s="117">
        <v>105</v>
      </c>
      <c r="I80" s="117">
        <v>75.599999999999994</v>
      </c>
      <c r="J80" s="117">
        <v>92.4</v>
      </c>
      <c r="K80" s="117">
        <v>88.2</v>
      </c>
      <c r="L80" s="117">
        <v>105</v>
      </c>
      <c r="M80" s="117">
        <v>147</v>
      </c>
      <c r="N80" s="117">
        <v>117.6</v>
      </c>
      <c r="O80" s="117">
        <v>121.8</v>
      </c>
      <c r="P80" s="117">
        <v>88.2</v>
      </c>
      <c r="Q80" s="117">
        <v>67.2</v>
      </c>
      <c r="R80" s="117">
        <v>113.4</v>
      </c>
      <c r="S80" s="117">
        <v>147</v>
      </c>
      <c r="T80" s="117">
        <v>109.2</v>
      </c>
      <c r="U80" s="117">
        <v>113.4</v>
      </c>
      <c r="V80" s="117">
        <v>121.8</v>
      </c>
      <c r="W80" s="117">
        <v>121.8</v>
      </c>
      <c r="X80" s="117">
        <v>117.6</v>
      </c>
      <c r="Y80" s="117">
        <v>105</v>
      </c>
      <c r="Z80" s="117">
        <v>134.4</v>
      </c>
      <c r="AA80" s="145">
        <v>121.8</v>
      </c>
      <c r="AB80" s="150"/>
      <c r="AC80" s="150"/>
      <c r="AD80" s="150"/>
      <c r="AE80" s="150"/>
      <c r="AF80" s="150"/>
      <c r="AG80" s="150"/>
    </row>
    <row r="81" spans="1:33" x14ac:dyDescent="0.3">
      <c r="A81" s="166"/>
      <c r="B81" s="167"/>
      <c r="C81" s="129" t="s">
        <v>11</v>
      </c>
      <c r="D81" s="117">
        <v>1192.8</v>
      </c>
      <c r="E81" s="117">
        <v>1008</v>
      </c>
      <c r="F81" s="117">
        <v>1045.8</v>
      </c>
      <c r="G81" s="117">
        <v>1125.5999999999999</v>
      </c>
      <c r="H81" s="117">
        <v>1096.2</v>
      </c>
      <c r="I81" s="117">
        <v>856.8</v>
      </c>
      <c r="J81" s="117">
        <v>739.2</v>
      </c>
      <c r="K81" s="117">
        <v>756</v>
      </c>
      <c r="L81" s="117">
        <v>852.6</v>
      </c>
      <c r="M81" s="117">
        <v>1192.8</v>
      </c>
      <c r="N81" s="117">
        <v>1096.2</v>
      </c>
      <c r="O81" s="117">
        <v>1138.2</v>
      </c>
      <c r="P81" s="117">
        <v>919.8</v>
      </c>
      <c r="Q81" s="117">
        <v>856.8</v>
      </c>
      <c r="R81" s="117">
        <v>1012.2</v>
      </c>
      <c r="S81" s="117">
        <v>1163.4000000000001</v>
      </c>
      <c r="T81" s="117">
        <v>1041.5999999999999</v>
      </c>
      <c r="U81" s="117">
        <v>898.8</v>
      </c>
      <c r="V81" s="117">
        <v>903</v>
      </c>
      <c r="W81" s="117">
        <v>890.4</v>
      </c>
      <c r="X81" s="117">
        <v>1029</v>
      </c>
      <c r="Y81" s="117">
        <v>995.4</v>
      </c>
      <c r="Z81" s="117">
        <v>1159.2</v>
      </c>
      <c r="AA81" s="145">
        <v>1079.4000000000001</v>
      </c>
      <c r="AB81" s="150"/>
      <c r="AC81" s="150" t="s">
        <v>45</v>
      </c>
      <c r="AD81" s="150">
        <f>SUM(P80:AA81)/SUM(P72:AA72)</f>
        <v>1.5193835616438358</v>
      </c>
      <c r="AE81" s="150"/>
      <c r="AF81" s="150">
        <v>145</v>
      </c>
      <c r="AG81" s="150"/>
    </row>
    <row r="82" spans="1:33" x14ac:dyDescent="0.3">
      <c r="A82" s="166"/>
      <c r="B82" s="167"/>
      <c r="C82" s="129" t="s">
        <v>0</v>
      </c>
      <c r="D82" s="19" t="s">
        <v>44</v>
      </c>
      <c r="E82" s="20" t="s">
        <v>44</v>
      </c>
      <c r="F82" s="20" t="s">
        <v>44</v>
      </c>
      <c r="G82" s="20" t="s">
        <v>44</v>
      </c>
      <c r="H82" s="20" t="s">
        <v>44</v>
      </c>
      <c r="I82" s="20" t="s">
        <v>44</v>
      </c>
      <c r="J82" s="19" t="s">
        <v>44</v>
      </c>
      <c r="K82" s="20" t="s">
        <v>44</v>
      </c>
      <c r="L82" s="20" t="s">
        <v>44</v>
      </c>
      <c r="M82" s="20" t="s">
        <v>44</v>
      </c>
      <c r="N82" s="20" t="s">
        <v>44</v>
      </c>
      <c r="O82" s="20" t="s">
        <v>44</v>
      </c>
      <c r="P82" s="20" t="s">
        <v>44</v>
      </c>
      <c r="Q82" s="20" t="s">
        <v>44</v>
      </c>
      <c r="R82" s="20" t="s">
        <v>44</v>
      </c>
      <c r="S82" s="20" t="s">
        <v>44</v>
      </c>
      <c r="T82" s="20" t="s">
        <v>44</v>
      </c>
      <c r="U82" s="20" t="s">
        <v>44</v>
      </c>
      <c r="V82" s="20" t="s">
        <v>44</v>
      </c>
      <c r="W82" s="20" t="s">
        <v>44</v>
      </c>
      <c r="X82" s="20" t="s">
        <v>44</v>
      </c>
      <c r="Y82" s="20" t="s">
        <v>44</v>
      </c>
      <c r="Z82" s="20" t="s">
        <v>44</v>
      </c>
      <c r="AA82" s="146" t="s">
        <v>44</v>
      </c>
      <c r="AB82" s="150"/>
      <c r="AC82" s="150" t="s">
        <v>91</v>
      </c>
      <c r="AD82" s="138">
        <f>SUM(P80:AA80)/SUM(P80:AA81)</f>
        <v>0.10224045440201955</v>
      </c>
      <c r="AE82" s="150"/>
      <c r="AF82" s="150">
        <v>17.64</v>
      </c>
      <c r="AG82" s="150"/>
    </row>
    <row r="83" spans="1:33" x14ac:dyDescent="0.3">
      <c r="A83" s="166"/>
      <c r="B83" s="167"/>
      <c r="C83" s="107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7"/>
      <c r="AA83" s="107"/>
      <c r="AB83" s="150"/>
      <c r="AC83" s="150"/>
      <c r="AD83" s="150">
        <v>0.12392200974878137</v>
      </c>
      <c r="AE83" s="150"/>
      <c r="AF83" s="150">
        <f>AF81+AF82</f>
        <v>162.63999999999999</v>
      </c>
      <c r="AG83" s="150"/>
    </row>
    <row r="84" spans="1:33" x14ac:dyDescent="0.3">
      <c r="A84" s="166"/>
      <c r="B84" s="167"/>
      <c r="C84" s="129" t="s">
        <v>12</v>
      </c>
      <c r="D84" s="126">
        <f>'SIMULAÇÃO CENÁRIOS'!$D$8</f>
        <v>1</v>
      </c>
      <c r="E84" s="126">
        <f>'SIMULAÇÃO CENÁRIOS'!$D$8</f>
        <v>1</v>
      </c>
      <c r="F84" s="126">
        <f>'SIMULAÇÃO CENÁRIOS'!$D$8</f>
        <v>1</v>
      </c>
      <c r="G84" s="126">
        <f>'SIMULAÇÃO CENÁRIOS'!$D$8</f>
        <v>1</v>
      </c>
      <c r="H84" s="126">
        <f>'SIMULAÇÃO CENÁRIOS'!$D$8</f>
        <v>1</v>
      </c>
      <c r="I84" s="126">
        <f>'SIMULAÇÃO CENÁRIOS'!$D$8</f>
        <v>1</v>
      </c>
      <c r="J84" s="126">
        <f>'SIMULAÇÃO CENÁRIOS'!$D$8</f>
        <v>1</v>
      </c>
      <c r="K84" s="126">
        <f>'SIMULAÇÃO CENÁRIOS'!$D$8</f>
        <v>1</v>
      </c>
      <c r="L84" s="126">
        <f>'SIMULAÇÃO CENÁRIOS'!$D$8</f>
        <v>1</v>
      </c>
      <c r="M84" s="126">
        <f>'SIMULAÇÃO CENÁRIOS'!$D$8</f>
        <v>1</v>
      </c>
      <c r="N84" s="126">
        <f>'SIMULAÇÃO CENÁRIOS'!$D$8</f>
        <v>1</v>
      </c>
      <c r="O84" s="126">
        <f>'SIMULAÇÃO CENÁRIOS'!$D$8</f>
        <v>1</v>
      </c>
      <c r="P84" s="126">
        <f>'SIMULAÇÃO CENÁRIOS'!$D$8</f>
        <v>1</v>
      </c>
      <c r="Q84" s="126">
        <f>'SIMULAÇÃO CENÁRIOS'!$D$8</f>
        <v>1</v>
      </c>
      <c r="R84" s="126">
        <f>'SIMULAÇÃO CENÁRIOS'!$D$8</f>
        <v>1</v>
      </c>
      <c r="S84" s="126">
        <f>'SIMULAÇÃO CENÁRIOS'!$D$8</f>
        <v>1</v>
      </c>
      <c r="T84" s="126">
        <f>'SIMULAÇÃO CENÁRIOS'!$D$8</f>
        <v>1</v>
      </c>
      <c r="U84" s="126">
        <f>'SIMULAÇÃO CENÁRIOS'!$D$8</f>
        <v>1</v>
      </c>
      <c r="V84" s="126">
        <f>'SIMULAÇÃO CENÁRIOS'!$D$8</f>
        <v>1</v>
      </c>
      <c r="W84" s="126">
        <f>'SIMULAÇÃO CENÁRIOS'!$D$8</f>
        <v>1</v>
      </c>
      <c r="X84" s="126">
        <f>'SIMULAÇÃO CENÁRIOS'!$D$8</f>
        <v>1</v>
      </c>
      <c r="Y84" s="126">
        <f>'SIMULAÇÃO CENÁRIOS'!$D$8</f>
        <v>1</v>
      </c>
      <c r="Z84" s="126">
        <f>'SIMULAÇÃO CENÁRIOS'!$D$8</f>
        <v>1</v>
      </c>
      <c r="AA84" s="126">
        <f>'SIMULAÇÃO CENÁRIOS'!$D$8</f>
        <v>1</v>
      </c>
      <c r="AB84" s="150"/>
      <c r="AC84" s="150"/>
      <c r="AD84" s="150"/>
      <c r="AE84" s="150"/>
      <c r="AF84" s="150"/>
      <c r="AG84" s="150"/>
    </row>
    <row r="85" spans="1:33" x14ac:dyDescent="0.3">
      <c r="A85" s="166"/>
      <c r="B85" s="167"/>
      <c r="C85" s="107"/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  <c r="W85" s="107"/>
      <c r="X85" s="107"/>
      <c r="Y85" s="107"/>
      <c r="Z85" s="107"/>
      <c r="AA85" s="107"/>
      <c r="AB85" s="150"/>
      <c r="AC85" s="150"/>
      <c r="AD85" s="150"/>
      <c r="AE85" s="150"/>
      <c r="AF85" s="150"/>
      <c r="AG85" s="150"/>
    </row>
    <row r="86" spans="1:33" x14ac:dyDescent="0.3">
      <c r="A86" s="166"/>
      <c r="B86" s="167"/>
      <c r="C86" s="129" t="s">
        <v>13</v>
      </c>
      <c r="D86" s="9" t="s">
        <v>1</v>
      </c>
      <c r="E86" s="10" t="s">
        <v>1</v>
      </c>
      <c r="F86" s="10" t="s">
        <v>1</v>
      </c>
      <c r="G86" s="10" t="s">
        <v>1</v>
      </c>
      <c r="H86" s="10" t="s">
        <v>1</v>
      </c>
      <c r="I86" s="10" t="s">
        <v>1</v>
      </c>
      <c r="J86" s="9" t="s">
        <v>1</v>
      </c>
      <c r="K86" s="10" t="s">
        <v>1</v>
      </c>
      <c r="L86" s="10" t="s">
        <v>1</v>
      </c>
      <c r="M86" s="10" t="s">
        <v>1</v>
      </c>
      <c r="N86" s="10" t="s">
        <v>1</v>
      </c>
      <c r="O86" s="10" t="s">
        <v>1</v>
      </c>
      <c r="P86" s="9" t="s">
        <v>1</v>
      </c>
      <c r="Q86" s="9" t="s">
        <v>1</v>
      </c>
      <c r="R86" s="9" t="s">
        <v>1</v>
      </c>
      <c r="S86" s="9" t="s">
        <v>1</v>
      </c>
      <c r="T86" s="9" t="s">
        <v>1</v>
      </c>
      <c r="U86" s="9" t="s">
        <v>1</v>
      </c>
      <c r="V86" s="9" t="s">
        <v>1</v>
      </c>
      <c r="W86" s="9" t="s">
        <v>1</v>
      </c>
      <c r="X86" s="9" t="s">
        <v>1</v>
      </c>
      <c r="Y86" s="9" t="s">
        <v>1</v>
      </c>
      <c r="Z86" s="9" t="s">
        <v>1</v>
      </c>
      <c r="AA86" s="147" t="s">
        <v>1</v>
      </c>
      <c r="AB86" s="150"/>
      <c r="AC86" s="150"/>
      <c r="AD86" s="150"/>
      <c r="AE86" s="150"/>
      <c r="AF86" s="154">
        <f>AF83*1000</f>
        <v>162640</v>
      </c>
      <c r="AG86" s="150"/>
    </row>
    <row r="87" spans="1:33" x14ac:dyDescent="0.3">
      <c r="A87" s="166"/>
      <c r="B87" s="167"/>
      <c r="C87" s="129" t="s">
        <v>14</v>
      </c>
      <c r="D87" s="11" t="s">
        <v>42</v>
      </c>
      <c r="E87" s="12" t="s">
        <v>42</v>
      </c>
      <c r="F87" s="12" t="s">
        <v>42</v>
      </c>
      <c r="G87" s="12" t="s">
        <v>42</v>
      </c>
      <c r="H87" s="12" t="s">
        <v>42</v>
      </c>
      <c r="I87" s="12" t="s">
        <v>42</v>
      </c>
      <c r="J87" s="11" t="s">
        <v>42</v>
      </c>
      <c r="K87" s="12" t="s">
        <v>42</v>
      </c>
      <c r="L87" s="12" t="s">
        <v>42</v>
      </c>
      <c r="M87" s="12" t="s">
        <v>42</v>
      </c>
      <c r="N87" s="12" t="s">
        <v>42</v>
      </c>
      <c r="O87" s="12" t="s">
        <v>42</v>
      </c>
      <c r="P87" s="12" t="s">
        <v>42</v>
      </c>
      <c r="Q87" s="12" t="s">
        <v>42</v>
      </c>
      <c r="R87" s="12" t="s">
        <v>42</v>
      </c>
      <c r="S87" s="12" t="s">
        <v>42</v>
      </c>
      <c r="T87" s="12" t="s">
        <v>42</v>
      </c>
      <c r="U87" s="12" t="s">
        <v>42</v>
      </c>
      <c r="V87" s="12" t="s">
        <v>42</v>
      </c>
      <c r="W87" s="12" t="s">
        <v>42</v>
      </c>
      <c r="X87" s="12" t="s">
        <v>42</v>
      </c>
      <c r="Y87" s="12" t="s">
        <v>42</v>
      </c>
      <c r="Z87" s="12" t="s">
        <v>42</v>
      </c>
      <c r="AA87" s="148" t="s">
        <v>42</v>
      </c>
      <c r="AB87" s="150"/>
      <c r="AC87" s="150"/>
      <c r="AD87" s="150"/>
      <c r="AE87" s="150"/>
      <c r="AF87" s="154">
        <f>AF86/100</f>
        <v>1626.4</v>
      </c>
      <c r="AG87" s="150"/>
    </row>
    <row r="88" spans="1:33" x14ac:dyDescent="0.3">
      <c r="A88" s="166"/>
      <c r="B88" s="167"/>
      <c r="C88" s="129" t="s">
        <v>15</v>
      </c>
      <c r="D88" s="13">
        <v>49.84</v>
      </c>
      <c r="E88" s="14">
        <v>49.84</v>
      </c>
      <c r="F88" s="14">
        <v>49.84</v>
      </c>
      <c r="G88" s="14">
        <v>49.84</v>
      </c>
      <c r="H88" s="14">
        <v>49.84</v>
      </c>
      <c r="I88" s="14">
        <v>49.84</v>
      </c>
      <c r="J88" s="13">
        <v>49.84</v>
      </c>
      <c r="K88" s="14">
        <v>49.84</v>
      </c>
      <c r="L88" s="14">
        <v>49.84</v>
      </c>
      <c r="M88" s="14">
        <v>49.84</v>
      </c>
      <c r="N88" s="14">
        <v>49.84</v>
      </c>
      <c r="O88" s="14">
        <v>49.84</v>
      </c>
      <c r="P88" s="14">
        <v>49.84</v>
      </c>
      <c r="Q88" s="14">
        <v>49.84</v>
      </c>
      <c r="R88" s="14">
        <v>49.84</v>
      </c>
      <c r="S88" s="14">
        <v>49.84</v>
      </c>
      <c r="T88" s="14">
        <v>49.84</v>
      </c>
      <c r="U88" s="14">
        <v>49.84</v>
      </c>
      <c r="V88" s="14">
        <v>49.84</v>
      </c>
      <c r="W88" s="14">
        <v>49.84</v>
      </c>
      <c r="X88" s="14">
        <v>49.84</v>
      </c>
      <c r="Y88" s="14">
        <v>49.84</v>
      </c>
      <c r="Z88" s="14">
        <v>49.84</v>
      </c>
      <c r="AA88" s="149">
        <v>49.84</v>
      </c>
      <c r="AB88" s="150"/>
      <c r="AC88" s="150"/>
      <c r="AD88" s="150"/>
      <c r="AE88" s="150"/>
      <c r="AF88" s="150">
        <f>AF87*1.343</f>
        <v>2184.2552000000001</v>
      </c>
      <c r="AG88" s="150"/>
    </row>
    <row r="89" spans="1:33" x14ac:dyDescent="0.3">
      <c r="A89" s="166"/>
      <c r="B89" s="167"/>
      <c r="C89" s="129" t="s">
        <v>16</v>
      </c>
      <c r="D89" s="11">
        <v>19.260000000000002</v>
      </c>
      <c r="E89" s="12">
        <v>19.260000000000002</v>
      </c>
      <c r="F89" s="12">
        <v>19.260000000000002</v>
      </c>
      <c r="G89" s="12">
        <v>19.260000000000002</v>
      </c>
      <c r="H89" s="12">
        <v>19.260000000000002</v>
      </c>
      <c r="I89" s="12">
        <v>19.260000000000002</v>
      </c>
      <c r="J89" s="11">
        <v>19.260000000000002</v>
      </c>
      <c r="K89" s="12">
        <v>19.260000000000002</v>
      </c>
      <c r="L89" s="12">
        <v>19.260000000000002</v>
      </c>
      <c r="M89" s="12">
        <v>19.260000000000002</v>
      </c>
      <c r="N89" s="12">
        <v>19.260000000000002</v>
      </c>
      <c r="O89" s="12">
        <v>19.260000000000002</v>
      </c>
      <c r="P89" s="12">
        <v>19.260000000000002</v>
      </c>
      <c r="Q89" s="12">
        <v>19.260000000000002</v>
      </c>
      <c r="R89" s="12">
        <v>19.260000000000002</v>
      </c>
      <c r="S89" s="12">
        <v>19.260000000000002</v>
      </c>
      <c r="T89" s="12">
        <v>19.260000000000002</v>
      </c>
      <c r="U89" s="12">
        <v>19.260000000000002</v>
      </c>
      <c r="V89" s="12">
        <v>19.260000000000002</v>
      </c>
      <c r="W89" s="12">
        <v>19.260000000000002</v>
      </c>
      <c r="X89" s="12">
        <v>19.260000000000002</v>
      </c>
      <c r="Y89" s="12">
        <v>19.260000000000002</v>
      </c>
      <c r="Z89" s="12">
        <v>19.260000000000002</v>
      </c>
      <c r="AA89" s="148">
        <v>19.260000000000002</v>
      </c>
      <c r="AB89" s="150"/>
      <c r="AC89" s="150"/>
      <c r="AD89" s="150"/>
      <c r="AE89" s="150"/>
      <c r="AF89" s="150"/>
      <c r="AG89" s="150"/>
    </row>
    <row r="90" spans="1:33" x14ac:dyDescent="0.3">
      <c r="A90" s="166"/>
      <c r="B90" s="167"/>
      <c r="C90" s="129" t="s">
        <v>17</v>
      </c>
      <c r="D90" s="15">
        <v>1292.96</v>
      </c>
      <c r="E90" s="16">
        <v>1292.96</v>
      </c>
      <c r="F90" s="16">
        <v>1292.96</v>
      </c>
      <c r="G90" s="16">
        <v>1292.96</v>
      </c>
      <c r="H90" s="16">
        <v>1292.96</v>
      </c>
      <c r="I90" s="16">
        <v>1292.96</v>
      </c>
      <c r="J90" s="15">
        <v>1292.96</v>
      </c>
      <c r="K90" s="16">
        <v>1292.96</v>
      </c>
      <c r="L90" s="16">
        <v>1292.96</v>
      </c>
      <c r="M90" s="16">
        <v>1292.96</v>
      </c>
      <c r="N90" s="16">
        <v>1292.96</v>
      </c>
      <c r="O90" s="16">
        <v>1292.96</v>
      </c>
      <c r="P90" s="16">
        <v>1292.96</v>
      </c>
      <c r="Q90" s="16">
        <v>1292.96</v>
      </c>
      <c r="R90" s="16">
        <v>1292.96</v>
      </c>
      <c r="S90" s="16">
        <v>1292.96</v>
      </c>
      <c r="T90" s="16">
        <v>1292.96</v>
      </c>
      <c r="U90" s="16">
        <v>1292.96</v>
      </c>
      <c r="V90" s="16">
        <v>1292.96</v>
      </c>
      <c r="W90" s="16">
        <v>1292.96</v>
      </c>
      <c r="X90" s="16">
        <v>1292.96</v>
      </c>
      <c r="Y90" s="16">
        <v>1292.96</v>
      </c>
      <c r="Z90" s="16">
        <v>1292.96</v>
      </c>
      <c r="AA90" s="143">
        <v>1292.96</v>
      </c>
      <c r="AB90" s="150"/>
      <c r="AC90" s="150"/>
      <c r="AD90" s="150"/>
      <c r="AE90" s="150"/>
      <c r="AF90" s="150"/>
      <c r="AG90" s="150"/>
    </row>
    <row r="91" spans="1:33" x14ac:dyDescent="0.3">
      <c r="A91" s="166"/>
      <c r="B91" s="167"/>
      <c r="C91" s="129" t="s">
        <v>18</v>
      </c>
      <c r="D91" s="17">
        <v>83.39</v>
      </c>
      <c r="E91" s="18">
        <v>83.39</v>
      </c>
      <c r="F91" s="18">
        <v>83.39</v>
      </c>
      <c r="G91" s="18">
        <v>83.39</v>
      </c>
      <c r="H91" s="18">
        <v>83.39</v>
      </c>
      <c r="I91" s="18">
        <v>83.39</v>
      </c>
      <c r="J91" s="17">
        <v>83.39</v>
      </c>
      <c r="K91" s="18">
        <v>83.39</v>
      </c>
      <c r="L91" s="18">
        <v>83.39</v>
      </c>
      <c r="M91" s="18">
        <v>83.39</v>
      </c>
      <c r="N91" s="18">
        <v>83.39</v>
      </c>
      <c r="O91" s="18">
        <v>83.39</v>
      </c>
      <c r="P91" s="18">
        <v>83.39</v>
      </c>
      <c r="Q91" s="18">
        <v>83.39</v>
      </c>
      <c r="R91" s="18">
        <v>83.39</v>
      </c>
      <c r="S91" s="18">
        <v>83.39</v>
      </c>
      <c r="T91" s="18">
        <v>83.39</v>
      </c>
      <c r="U91" s="18">
        <v>83.39</v>
      </c>
      <c r="V91" s="18">
        <v>83.39</v>
      </c>
      <c r="W91" s="18">
        <v>83.39</v>
      </c>
      <c r="X91" s="18">
        <v>83.39</v>
      </c>
      <c r="Y91" s="18">
        <v>83.39</v>
      </c>
      <c r="Z91" s="18">
        <v>83.39</v>
      </c>
      <c r="AA91" s="18">
        <v>83.39</v>
      </c>
    </row>
    <row r="92" spans="1:33" x14ac:dyDescent="0.3">
      <c r="A92" s="166"/>
      <c r="B92" s="167"/>
      <c r="C92" s="129" t="s">
        <v>19</v>
      </c>
      <c r="D92" s="15">
        <v>420.68</v>
      </c>
      <c r="E92" s="16">
        <v>420.68</v>
      </c>
      <c r="F92" s="16">
        <v>420.68</v>
      </c>
      <c r="G92" s="16">
        <v>420.68</v>
      </c>
      <c r="H92" s="16">
        <v>420.68</v>
      </c>
      <c r="I92" s="16">
        <v>420.68</v>
      </c>
      <c r="J92" s="15">
        <v>420.68</v>
      </c>
      <c r="K92" s="16">
        <v>420.68</v>
      </c>
      <c r="L92" s="16">
        <v>420.68</v>
      </c>
      <c r="M92" s="16">
        <v>420.68</v>
      </c>
      <c r="N92" s="16">
        <v>420.68</v>
      </c>
      <c r="O92" s="16">
        <v>420.68</v>
      </c>
      <c r="P92" s="16">
        <v>420.68</v>
      </c>
      <c r="Q92" s="16">
        <v>420.68</v>
      </c>
      <c r="R92" s="16">
        <v>420.68</v>
      </c>
      <c r="S92" s="16">
        <v>420.68</v>
      </c>
      <c r="T92" s="16">
        <v>420.68</v>
      </c>
      <c r="U92" s="16">
        <v>420.68</v>
      </c>
      <c r="V92" s="16">
        <v>420.68</v>
      </c>
      <c r="W92" s="16">
        <v>420.68</v>
      </c>
      <c r="X92" s="16">
        <v>420.68</v>
      </c>
      <c r="Y92" s="16">
        <v>420.68</v>
      </c>
      <c r="Z92" s="16">
        <v>420.68</v>
      </c>
      <c r="AA92" s="16">
        <v>420.68</v>
      </c>
    </row>
    <row r="93" spans="1:33" x14ac:dyDescent="0.3">
      <c r="A93" s="166"/>
      <c r="B93" s="167"/>
      <c r="C93" s="130" t="s">
        <v>20</v>
      </c>
      <c r="D93" s="21">
        <v>251.44</v>
      </c>
      <c r="E93" s="22">
        <v>251.44</v>
      </c>
      <c r="F93" s="22">
        <v>251.44</v>
      </c>
      <c r="G93" s="22">
        <v>251.44</v>
      </c>
      <c r="H93" s="22">
        <v>251.44</v>
      </c>
      <c r="I93" s="22">
        <v>251.44</v>
      </c>
      <c r="J93" s="21">
        <v>251.44</v>
      </c>
      <c r="K93" s="22">
        <v>251.44</v>
      </c>
      <c r="L93" s="22">
        <v>251.44</v>
      </c>
      <c r="M93" s="22">
        <v>251.44</v>
      </c>
      <c r="N93" s="22">
        <v>251.44</v>
      </c>
      <c r="O93" s="22">
        <v>251.44</v>
      </c>
      <c r="P93" s="22">
        <v>251.44</v>
      </c>
      <c r="Q93" s="22">
        <v>251.44</v>
      </c>
      <c r="R93" s="22">
        <v>251.44</v>
      </c>
      <c r="S93" s="22">
        <v>251.44</v>
      </c>
      <c r="T93" s="22">
        <v>251.44</v>
      </c>
      <c r="U93" s="22">
        <v>251.44</v>
      </c>
      <c r="V93" s="22">
        <v>251.44</v>
      </c>
      <c r="W93" s="22">
        <v>251.44</v>
      </c>
      <c r="X93" s="22">
        <v>251.44</v>
      </c>
      <c r="Y93" s="22">
        <v>251.44</v>
      </c>
      <c r="Z93" s="22">
        <v>251.44</v>
      </c>
      <c r="AA93" s="22">
        <v>251.44</v>
      </c>
    </row>
    <row r="94" spans="1:33" x14ac:dyDescent="0.3">
      <c r="A94" s="166"/>
      <c r="B94" s="167"/>
      <c r="C94" s="107"/>
      <c r="D94" s="107"/>
      <c r="E94" s="107"/>
      <c r="F94" s="107"/>
      <c r="G94" s="107"/>
      <c r="H94" s="107"/>
      <c r="I94" s="107"/>
      <c r="J94" s="107"/>
      <c r="K94" s="107"/>
      <c r="L94" s="107"/>
      <c r="M94" s="107"/>
      <c r="N94" s="107"/>
      <c r="O94" s="107"/>
      <c r="P94" s="107"/>
      <c r="Q94" s="107"/>
      <c r="R94" s="107"/>
      <c r="S94" s="107"/>
      <c r="T94" s="107"/>
      <c r="U94" s="107"/>
      <c r="V94" s="107"/>
      <c r="W94" s="107"/>
      <c r="X94" s="107"/>
      <c r="Y94" s="107"/>
      <c r="Z94" s="107"/>
      <c r="AA94" s="23"/>
    </row>
    <row r="95" spans="1:33" x14ac:dyDescent="0.3">
      <c r="A95" s="166"/>
      <c r="B95" s="167"/>
      <c r="C95" s="129" t="s">
        <v>21</v>
      </c>
      <c r="D95" s="24">
        <v>0.27</v>
      </c>
      <c r="E95" s="24">
        <v>0.27</v>
      </c>
      <c r="F95" s="24">
        <v>0.27</v>
      </c>
      <c r="G95" s="24">
        <v>0.27</v>
      </c>
      <c r="H95" s="24">
        <v>0.27</v>
      </c>
      <c r="I95" s="24">
        <v>0.27</v>
      </c>
      <c r="J95" s="24">
        <v>0.27</v>
      </c>
      <c r="K95" s="24">
        <v>0.27</v>
      </c>
      <c r="L95" s="24">
        <v>0.27</v>
      </c>
      <c r="M95" s="24">
        <v>0.27</v>
      </c>
      <c r="N95" s="24">
        <v>0.27</v>
      </c>
      <c r="O95" s="24">
        <v>0.27</v>
      </c>
      <c r="P95" s="24">
        <v>0.27</v>
      </c>
      <c r="Q95" s="24">
        <v>0.27</v>
      </c>
      <c r="R95" s="24">
        <v>0.27</v>
      </c>
      <c r="S95" s="24">
        <v>0.27</v>
      </c>
      <c r="T95" s="24">
        <v>0.27</v>
      </c>
      <c r="U95" s="24">
        <v>0.27</v>
      </c>
      <c r="V95" s="24">
        <v>0.27</v>
      </c>
      <c r="W95" s="24">
        <v>0.27</v>
      </c>
      <c r="X95" s="24">
        <v>0.27</v>
      </c>
      <c r="Y95" s="24">
        <v>0.27</v>
      </c>
      <c r="Z95" s="24">
        <v>0.27</v>
      </c>
      <c r="AA95" s="24">
        <v>0.27</v>
      </c>
    </row>
    <row r="96" spans="1:33" x14ac:dyDescent="0.3">
      <c r="A96" s="166"/>
      <c r="B96" s="167"/>
      <c r="C96" s="129" t="s">
        <v>22</v>
      </c>
      <c r="D96" s="25">
        <v>0.05</v>
      </c>
      <c r="E96" s="26">
        <v>0.05</v>
      </c>
      <c r="F96" s="26">
        <v>0.05</v>
      </c>
      <c r="G96" s="26">
        <v>0.05</v>
      </c>
      <c r="H96" s="26">
        <v>0.05</v>
      </c>
      <c r="I96" s="26">
        <v>0.05</v>
      </c>
      <c r="J96" s="25">
        <v>0.05</v>
      </c>
      <c r="K96" s="26">
        <v>0.05</v>
      </c>
      <c r="L96" s="26">
        <v>0.05</v>
      </c>
      <c r="M96" s="26">
        <v>0.05</v>
      </c>
      <c r="N96" s="26">
        <v>0.05</v>
      </c>
      <c r="O96" s="26">
        <v>0.05</v>
      </c>
      <c r="P96" s="26">
        <v>0.05</v>
      </c>
      <c r="Q96" s="26">
        <v>0.05</v>
      </c>
      <c r="R96" s="26">
        <v>0.05</v>
      </c>
      <c r="S96" s="26">
        <v>0.05</v>
      </c>
      <c r="T96" s="26">
        <v>0.05</v>
      </c>
      <c r="U96" s="26">
        <v>0.05</v>
      </c>
      <c r="V96" s="26">
        <v>0.05</v>
      </c>
      <c r="W96" s="26">
        <v>0.05</v>
      </c>
      <c r="X96" s="26">
        <v>0.05</v>
      </c>
      <c r="Y96" s="26">
        <v>0.05</v>
      </c>
      <c r="Z96" s="26">
        <v>0.05</v>
      </c>
      <c r="AA96" s="26">
        <v>0.05</v>
      </c>
    </row>
    <row r="97" spans="1:29" x14ac:dyDescent="0.3">
      <c r="A97" s="166"/>
      <c r="B97" s="167"/>
      <c r="C97" s="107"/>
      <c r="D97" s="107"/>
      <c r="E97" s="107"/>
      <c r="F97" s="107"/>
      <c r="G97" s="107"/>
      <c r="H97" s="107"/>
      <c r="I97" s="107"/>
      <c r="J97" s="107"/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07"/>
      <c r="V97" s="107"/>
      <c r="W97" s="107"/>
      <c r="X97" s="107"/>
      <c r="Y97" s="107"/>
      <c r="Z97" s="107"/>
      <c r="AA97" s="23"/>
    </row>
    <row r="98" spans="1:29" x14ac:dyDescent="0.3">
      <c r="A98" s="166"/>
      <c r="B98" s="167"/>
      <c r="C98" s="131" t="s">
        <v>23</v>
      </c>
      <c r="D98" s="27">
        <f>IF(D87="Azul",D76*D88*(1-D84),0)</f>
        <v>0</v>
      </c>
      <c r="E98" s="28">
        <f t="shared" ref="E98:O98" si="57">IF(E87="Azul",E76*E88*(1-E84),0)</f>
        <v>0</v>
      </c>
      <c r="F98" s="28">
        <f t="shared" si="57"/>
        <v>0</v>
      </c>
      <c r="G98" s="28">
        <f t="shared" si="57"/>
        <v>0</v>
      </c>
      <c r="H98" s="28">
        <f t="shared" si="57"/>
        <v>0</v>
      </c>
      <c r="I98" s="28">
        <f t="shared" si="57"/>
        <v>0</v>
      </c>
      <c r="J98" s="27">
        <f t="shared" si="57"/>
        <v>0</v>
      </c>
      <c r="K98" s="28">
        <f t="shared" si="57"/>
        <v>0</v>
      </c>
      <c r="L98" s="28">
        <f t="shared" si="57"/>
        <v>0</v>
      </c>
      <c r="M98" s="28">
        <f t="shared" si="57"/>
        <v>0</v>
      </c>
      <c r="N98" s="28">
        <f t="shared" si="57"/>
        <v>0</v>
      </c>
      <c r="O98" s="28">
        <f t="shared" si="57"/>
        <v>0</v>
      </c>
      <c r="P98" s="27">
        <f>IF(P87="Azul",P76*P88*(1-P84),0)</f>
        <v>0</v>
      </c>
      <c r="Q98" s="28">
        <f t="shared" ref="Q98:AA98" si="58">IF(Q87="Azul",Q76*Q88*(1-Q84),0)</f>
        <v>0</v>
      </c>
      <c r="R98" s="28">
        <f t="shared" si="58"/>
        <v>0</v>
      </c>
      <c r="S98" s="28">
        <f t="shared" si="58"/>
        <v>0</v>
      </c>
      <c r="T98" s="28">
        <f t="shared" si="58"/>
        <v>0</v>
      </c>
      <c r="U98" s="28">
        <f t="shared" si="58"/>
        <v>0</v>
      </c>
      <c r="V98" s="28">
        <f t="shared" si="58"/>
        <v>0</v>
      </c>
      <c r="W98" s="28">
        <f t="shared" si="58"/>
        <v>0</v>
      </c>
      <c r="X98" s="28">
        <f t="shared" si="58"/>
        <v>0</v>
      </c>
      <c r="Y98" s="28">
        <f t="shared" si="58"/>
        <v>0</v>
      </c>
      <c r="Z98" s="28">
        <f t="shared" si="58"/>
        <v>0</v>
      </c>
      <c r="AA98" s="28">
        <f t="shared" si="58"/>
        <v>0</v>
      </c>
    </row>
    <row r="99" spans="1:29" x14ac:dyDescent="0.3">
      <c r="A99" s="166"/>
      <c r="B99" s="167"/>
      <c r="C99" s="131" t="s">
        <v>24</v>
      </c>
      <c r="D99" s="29">
        <f>D78*D88*2</f>
        <v>0</v>
      </c>
      <c r="E99" s="30">
        <f t="shared" ref="E99:O99" si="59">E78*E88*2</f>
        <v>0</v>
      </c>
      <c r="F99" s="30">
        <f t="shared" si="59"/>
        <v>0</v>
      </c>
      <c r="G99" s="30">
        <f t="shared" si="59"/>
        <v>0</v>
      </c>
      <c r="H99" s="30">
        <f t="shared" si="59"/>
        <v>0</v>
      </c>
      <c r="I99" s="30">
        <f t="shared" si="59"/>
        <v>0</v>
      </c>
      <c r="J99" s="29">
        <f t="shared" si="59"/>
        <v>0</v>
      </c>
      <c r="K99" s="30">
        <f t="shared" si="59"/>
        <v>0</v>
      </c>
      <c r="L99" s="30">
        <f t="shared" si="59"/>
        <v>0</v>
      </c>
      <c r="M99" s="30">
        <f t="shared" si="59"/>
        <v>0</v>
      </c>
      <c r="N99" s="30">
        <f t="shared" si="59"/>
        <v>0</v>
      </c>
      <c r="O99" s="30">
        <f t="shared" si="59"/>
        <v>0</v>
      </c>
      <c r="P99" s="29">
        <f>P78*P88*2</f>
        <v>0</v>
      </c>
      <c r="Q99" s="30">
        <f t="shared" ref="Q99:AA99" si="60">Q78*Q88*2</f>
        <v>0</v>
      </c>
      <c r="R99" s="30">
        <f t="shared" si="60"/>
        <v>0</v>
      </c>
      <c r="S99" s="30">
        <f t="shared" si="60"/>
        <v>0</v>
      </c>
      <c r="T99" s="30">
        <f t="shared" si="60"/>
        <v>0</v>
      </c>
      <c r="U99" s="30">
        <f t="shared" si="60"/>
        <v>0</v>
      </c>
      <c r="V99" s="30">
        <f t="shared" si="60"/>
        <v>0</v>
      </c>
      <c r="W99" s="30">
        <f t="shared" si="60"/>
        <v>0</v>
      </c>
      <c r="X99" s="30">
        <f t="shared" si="60"/>
        <v>0</v>
      </c>
      <c r="Y99" s="30">
        <f t="shared" si="60"/>
        <v>0</v>
      </c>
      <c r="Z99" s="30">
        <f t="shared" si="60"/>
        <v>0</v>
      </c>
      <c r="AA99" s="30">
        <f t="shared" si="60"/>
        <v>0</v>
      </c>
    </row>
    <row r="100" spans="1:29" x14ac:dyDescent="0.3">
      <c r="A100" s="166"/>
      <c r="B100" s="167"/>
      <c r="C100" s="131" t="s">
        <v>25</v>
      </c>
      <c r="D100" s="31">
        <f>D77*D89*(1-D84)</f>
        <v>0</v>
      </c>
      <c r="E100" s="32">
        <f t="shared" ref="E100:O100" si="61">E77*E89*(1-E84)</f>
        <v>0</v>
      </c>
      <c r="F100" s="32">
        <f t="shared" si="61"/>
        <v>0</v>
      </c>
      <c r="G100" s="32">
        <f t="shared" si="61"/>
        <v>0</v>
      </c>
      <c r="H100" s="32">
        <f t="shared" si="61"/>
        <v>0</v>
      </c>
      <c r="I100" s="32">
        <f t="shared" si="61"/>
        <v>0</v>
      </c>
      <c r="J100" s="31">
        <f t="shared" si="61"/>
        <v>0</v>
      </c>
      <c r="K100" s="32">
        <f t="shared" si="61"/>
        <v>0</v>
      </c>
      <c r="L100" s="32">
        <f t="shared" si="61"/>
        <v>0</v>
      </c>
      <c r="M100" s="32">
        <f t="shared" si="61"/>
        <v>0</v>
      </c>
      <c r="N100" s="32">
        <f t="shared" si="61"/>
        <v>0</v>
      </c>
      <c r="O100" s="32">
        <f t="shared" si="61"/>
        <v>0</v>
      </c>
      <c r="P100" s="31">
        <f>P77*P89*(1-P84)</f>
        <v>0</v>
      </c>
      <c r="Q100" s="32">
        <f t="shared" ref="Q100:AA100" si="62">Q77*Q89*(1-Q84)</f>
        <v>0</v>
      </c>
      <c r="R100" s="32">
        <f t="shared" si="62"/>
        <v>0</v>
      </c>
      <c r="S100" s="32">
        <f t="shared" si="62"/>
        <v>0</v>
      </c>
      <c r="T100" s="32">
        <f t="shared" si="62"/>
        <v>0</v>
      </c>
      <c r="U100" s="32">
        <f t="shared" si="62"/>
        <v>0</v>
      </c>
      <c r="V100" s="32">
        <f t="shared" si="62"/>
        <v>0</v>
      </c>
      <c r="W100" s="32">
        <f t="shared" si="62"/>
        <v>0</v>
      </c>
      <c r="X100" s="32">
        <f t="shared" si="62"/>
        <v>0</v>
      </c>
      <c r="Y100" s="32">
        <f t="shared" si="62"/>
        <v>0</v>
      </c>
      <c r="Z100" s="32">
        <f t="shared" si="62"/>
        <v>0</v>
      </c>
      <c r="AA100" s="32">
        <f t="shared" si="62"/>
        <v>0</v>
      </c>
    </row>
    <row r="101" spans="1:29" x14ac:dyDescent="0.3">
      <c r="A101" s="166"/>
      <c r="B101" s="167"/>
      <c r="C101" s="131" t="s">
        <v>26</v>
      </c>
      <c r="D101" s="29">
        <f>D79*D89*2</f>
        <v>0</v>
      </c>
      <c r="E101" s="30">
        <f t="shared" ref="E101:O101" si="63">E79*E89*2</f>
        <v>0</v>
      </c>
      <c r="F101" s="30">
        <f t="shared" si="63"/>
        <v>0</v>
      </c>
      <c r="G101" s="30">
        <f t="shared" si="63"/>
        <v>0</v>
      </c>
      <c r="H101" s="30">
        <f t="shared" si="63"/>
        <v>0</v>
      </c>
      <c r="I101" s="30">
        <f t="shared" si="63"/>
        <v>0</v>
      </c>
      <c r="J101" s="29">
        <f t="shared" si="63"/>
        <v>0</v>
      </c>
      <c r="K101" s="30">
        <f t="shared" si="63"/>
        <v>0</v>
      </c>
      <c r="L101" s="30">
        <f t="shared" si="63"/>
        <v>0</v>
      </c>
      <c r="M101" s="30">
        <f t="shared" si="63"/>
        <v>0</v>
      </c>
      <c r="N101" s="30">
        <f t="shared" si="63"/>
        <v>0</v>
      </c>
      <c r="O101" s="30">
        <f t="shared" si="63"/>
        <v>0</v>
      </c>
      <c r="P101" s="29">
        <f>P79*P89*2</f>
        <v>0</v>
      </c>
      <c r="Q101" s="30">
        <f t="shared" ref="Q101:AA101" si="64">Q79*Q89*2</f>
        <v>0</v>
      </c>
      <c r="R101" s="30">
        <f t="shared" si="64"/>
        <v>0</v>
      </c>
      <c r="S101" s="30">
        <f t="shared" si="64"/>
        <v>0</v>
      </c>
      <c r="T101" s="30">
        <f t="shared" si="64"/>
        <v>0</v>
      </c>
      <c r="U101" s="30">
        <f t="shared" si="64"/>
        <v>0</v>
      </c>
      <c r="V101" s="30">
        <f t="shared" si="64"/>
        <v>0</v>
      </c>
      <c r="W101" s="30">
        <f t="shared" si="64"/>
        <v>0</v>
      </c>
      <c r="X101" s="30">
        <f t="shared" si="64"/>
        <v>0</v>
      </c>
      <c r="Y101" s="30">
        <f t="shared" si="64"/>
        <v>0</v>
      </c>
      <c r="Z101" s="30">
        <f t="shared" si="64"/>
        <v>0</v>
      </c>
      <c r="AA101" s="30">
        <f t="shared" si="64"/>
        <v>0</v>
      </c>
    </row>
    <row r="102" spans="1:29" x14ac:dyDescent="0.3">
      <c r="A102" s="166"/>
      <c r="B102" s="167"/>
      <c r="C102" s="131" t="s">
        <v>27</v>
      </c>
      <c r="D102" s="31">
        <f>IF(D87="Azul",D80*D91,D80*((D90-D91)*(1-D84)+D91))</f>
        <v>8405.7119999999995</v>
      </c>
      <c r="E102" s="32">
        <f t="shared" ref="E102:O102" si="65">IF(E87="Azul",E80*E91,E80*((E90-E91)*(1-E84)+E91))</f>
        <v>6654.5219999999999</v>
      </c>
      <c r="F102" s="32">
        <f t="shared" si="65"/>
        <v>7354.9980000000005</v>
      </c>
      <c r="G102" s="32">
        <f t="shared" si="65"/>
        <v>8405.7119999999995</v>
      </c>
      <c r="H102" s="32">
        <f t="shared" si="65"/>
        <v>8755.9500000000007</v>
      </c>
      <c r="I102" s="32">
        <f t="shared" si="65"/>
        <v>6304.2839999999997</v>
      </c>
      <c r="J102" s="31">
        <f t="shared" si="65"/>
        <v>7705.2360000000008</v>
      </c>
      <c r="K102" s="32">
        <f t="shared" si="65"/>
        <v>7354.9980000000005</v>
      </c>
      <c r="L102" s="32">
        <f t="shared" si="65"/>
        <v>8755.9500000000007</v>
      </c>
      <c r="M102" s="32">
        <f t="shared" si="65"/>
        <v>12258.33</v>
      </c>
      <c r="N102" s="32">
        <f t="shared" si="65"/>
        <v>9806.6639999999989</v>
      </c>
      <c r="O102" s="32">
        <f t="shared" si="65"/>
        <v>10156.902</v>
      </c>
      <c r="P102" s="31">
        <f>IF(P87="Azul",P80*P91,P80*((P90-P91)*(1-P84)+P91))</f>
        <v>7354.9980000000005</v>
      </c>
      <c r="Q102" s="32">
        <f t="shared" ref="Q102:AA102" si="66">IF(Q87="Azul",Q80*Q91,Q80*((Q90-Q91)*(1-Q84)+Q91))</f>
        <v>5603.808</v>
      </c>
      <c r="R102" s="32">
        <f t="shared" si="66"/>
        <v>9456.4260000000013</v>
      </c>
      <c r="S102" s="32">
        <f t="shared" si="66"/>
        <v>12258.33</v>
      </c>
      <c r="T102" s="32">
        <f t="shared" si="66"/>
        <v>9106.1880000000001</v>
      </c>
      <c r="U102" s="32">
        <f t="shared" si="66"/>
        <v>9456.4260000000013</v>
      </c>
      <c r="V102" s="32">
        <f t="shared" si="66"/>
        <v>10156.902</v>
      </c>
      <c r="W102" s="32">
        <f t="shared" si="66"/>
        <v>10156.902</v>
      </c>
      <c r="X102" s="32">
        <f t="shared" si="66"/>
        <v>9806.6639999999989</v>
      </c>
      <c r="Y102" s="32">
        <f t="shared" si="66"/>
        <v>8755.9500000000007</v>
      </c>
      <c r="Z102" s="32">
        <f t="shared" si="66"/>
        <v>11207.616</v>
      </c>
      <c r="AA102" s="32">
        <f t="shared" si="66"/>
        <v>10156.902</v>
      </c>
    </row>
    <row r="103" spans="1:29" x14ac:dyDescent="0.3">
      <c r="A103" s="166"/>
      <c r="B103" s="167"/>
      <c r="C103" s="132" t="s">
        <v>28</v>
      </c>
      <c r="D103" s="33">
        <f>D81*D91</f>
        <v>99467.59199999999</v>
      </c>
      <c r="E103" s="34">
        <f t="shared" ref="E103:O103" si="67">E81*E91</f>
        <v>84057.12</v>
      </c>
      <c r="F103" s="34">
        <f t="shared" si="67"/>
        <v>87209.262000000002</v>
      </c>
      <c r="G103" s="34">
        <f t="shared" si="67"/>
        <v>93863.784</v>
      </c>
      <c r="H103" s="34">
        <f t="shared" si="67"/>
        <v>91412.118000000002</v>
      </c>
      <c r="I103" s="34">
        <f t="shared" si="67"/>
        <v>71448.551999999996</v>
      </c>
      <c r="J103" s="33">
        <f t="shared" si="67"/>
        <v>61641.888000000006</v>
      </c>
      <c r="K103" s="34">
        <f t="shared" si="67"/>
        <v>63042.840000000004</v>
      </c>
      <c r="L103" s="34">
        <f t="shared" si="67"/>
        <v>71098.313999999998</v>
      </c>
      <c r="M103" s="34">
        <f t="shared" si="67"/>
        <v>99467.59199999999</v>
      </c>
      <c r="N103" s="34">
        <f t="shared" si="67"/>
        <v>91412.118000000002</v>
      </c>
      <c r="O103" s="34">
        <f t="shared" si="67"/>
        <v>94914.498000000007</v>
      </c>
      <c r="P103" s="33">
        <f>P81*P91</f>
        <v>76702.122000000003</v>
      </c>
      <c r="Q103" s="34">
        <f t="shared" ref="Q103:AA103" si="68">Q81*Q91</f>
        <v>71448.551999999996</v>
      </c>
      <c r="R103" s="34">
        <f t="shared" si="68"/>
        <v>84407.358000000007</v>
      </c>
      <c r="S103" s="34">
        <f t="shared" si="68"/>
        <v>97015.926000000007</v>
      </c>
      <c r="T103" s="34">
        <f t="shared" si="68"/>
        <v>86859.02399999999</v>
      </c>
      <c r="U103" s="34">
        <f t="shared" si="68"/>
        <v>74950.932000000001</v>
      </c>
      <c r="V103" s="34">
        <f t="shared" si="68"/>
        <v>75301.17</v>
      </c>
      <c r="W103" s="34">
        <f t="shared" si="68"/>
        <v>74250.456000000006</v>
      </c>
      <c r="X103" s="34">
        <f t="shared" si="68"/>
        <v>85808.31</v>
      </c>
      <c r="Y103" s="34">
        <f t="shared" si="68"/>
        <v>83006.406000000003</v>
      </c>
      <c r="Z103" s="34">
        <f t="shared" si="68"/>
        <v>96665.688000000009</v>
      </c>
      <c r="AA103" s="34">
        <f t="shared" si="68"/>
        <v>90011.166000000012</v>
      </c>
    </row>
    <row r="104" spans="1:29" x14ac:dyDescent="0.3">
      <c r="A104" s="166"/>
      <c r="B104" s="167"/>
      <c r="C104" s="131" t="s">
        <v>29</v>
      </c>
      <c r="D104" s="27">
        <f>SUM(D98:D103)</f>
        <v>107873.30399999999</v>
      </c>
      <c r="E104" s="28">
        <f>SUM(E98:E103)</f>
        <v>90711.641999999993</v>
      </c>
      <c r="F104" s="28">
        <f>SUM(F98:F103)</f>
        <v>94564.260000000009</v>
      </c>
      <c r="G104" s="28">
        <f t="shared" ref="G104:O104" si="69">SUM(G98:G103)</f>
        <v>102269.496</v>
      </c>
      <c r="H104" s="28">
        <f t="shared" si="69"/>
        <v>100168.068</v>
      </c>
      <c r="I104" s="28">
        <f t="shared" si="69"/>
        <v>77752.835999999996</v>
      </c>
      <c r="J104" s="27">
        <f t="shared" si="69"/>
        <v>69347.124000000011</v>
      </c>
      <c r="K104" s="28">
        <f t="shared" si="69"/>
        <v>70397.838000000003</v>
      </c>
      <c r="L104" s="28">
        <f t="shared" si="69"/>
        <v>79854.263999999996</v>
      </c>
      <c r="M104" s="28">
        <f t="shared" si="69"/>
        <v>111725.92199999999</v>
      </c>
      <c r="N104" s="28">
        <f t="shared" si="69"/>
        <v>101218.78200000001</v>
      </c>
      <c r="O104" s="28">
        <f t="shared" si="69"/>
        <v>105071.40000000001</v>
      </c>
      <c r="P104" s="27">
        <f>SUM(P98:P103)</f>
        <v>84057.12000000001</v>
      </c>
      <c r="Q104" s="28">
        <f t="shared" ref="Q104:AA104" si="70">SUM(Q98:Q103)</f>
        <v>77052.36</v>
      </c>
      <c r="R104" s="28">
        <f t="shared" si="70"/>
        <v>93863.784000000014</v>
      </c>
      <c r="S104" s="28">
        <f t="shared" si="70"/>
        <v>109274.25600000001</v>
      </c>
      <c r="T104" s="28">
        <f t="shared" si="70"/>
        <v>95965.211999999985</v>
      </c>
      <c r="U104" s="28">
        <f t="shared" si="70"/>
        <v>84407.358000000007</v>
      </c>
      <c r="V104" s="28">
        <f t="shared" si="70"/>
        <v>85458.072</v>
      </c>
      <c r="W104" s="28">
        <f t="shared" si="70"/>
        <v>84407.358000000007</v>
      </c>
      <c r="X104" s="28">
        <f t="shared" si="70"/>
        <v>95614.974000000002</v>
      </c>
      <c r="Y104" s="28">
        <f t="shared" si="70"/>
        <v>91762.356</v>
      </c>
      <c r="Z104" s="28">
        <f t="shared" si="70"/>
        <v>107873.304</v>
      </c>
      <c r="AA104" s="28">
        <f t="shared" si="70"/>
        <v>100168.06800000001</v>
      </c>
    </row>
    <row r="105" spans="1:29" x14ac:dyDescent="0.3">
      <c r="A105" s="166"/>
      <c r="B105" s="167"/>
      <c r="C105" s="131" t="s">
        <v>30</v>
      </c>
      <c r="D105" s="35">
        <f>D104/(1-SUM(D95:D96))*SUM(D95:D96)+((D109+D107+D108)/(1-SUM(D95:D96)))*SUM(D95:D96)</f>
        <v>153457.86352941178</v>
      </c>
      <c r="E105" s="36">
        <f t="shared" ref="E105:AA105" si="71">E104/(1-SUM(E95:E96))*SUM(E95:E96)+((E109+E107+E108)/(1-SUM(E95:E96)))*SUM(E95:E96)</f>
        <v>133428.38964705882</v>
      </c>
      <c r="F105" s="36">
        <f t="shared" si="71"/>
        <v>140022.74541176474</v>
      </c>
      <c r="G105" s="36">
        <f t="shared" si="71"/>
        <v>150820.77741176472</v>
      </c>
      <c r="H105" s="36">
        <f t="shared" si="71"/>
        <v>152222.54964705886</v>
      </c>
      <c r="I105" s="36">
        <f t="shared" si="71"/>
        <v>124939.44847058825</v>
      </c>
      <c r="J105" s="35">
        <f t="shared" si="71"/>
        <v>130546.53741176473</v>
      </c>
      <c r="K105" s="36">
        <f t="shared" si="71"/>
        <v>128650.31152941179</v>
      </c>
      <c r="L105" s="36">
        <f t="shared" si="71"/>
        <v>142663.11247058827</v>
      </c>
      <c r="M105" s="36">
        <f t="shared" si="71"/>
        <v>181568.33505882352</v>
      </c>
      <c r="N105" s="36">
        <f t="shared" si="71"/>
        <v>159889.04188235293</v>
      </c>
      <c r="O105" s="36">
        <f t="shared" si="71"/>
        <v>164092.71811764708</v>
      </c>
      <c r="P105" s="35">
        <f t="shared" si="71"/>
        <v>135078.2089411765</v>
      </c>
      <c r="Q105" s="36">
        <f t="shared" si="71"/>
        <v>119828.45364705884</v>
      </c>
      <c r="R105" s="36">
        <f t="shared" si="71"/>
        <v>154037.18682352945</v>
      </c>
      <c r="S105" s="36">
        <f t="shared" si="71"/>
        <v>180414.60988235293</v>
      </c>
      <c r="T105" s="36">
        <f t="shared" si="71"/>
        <v>152635.41458823529</v>
      </c>
      <c r="U105" s="36">
        <f t="shared" si="71"/>
        <v>149587.10400000002</v>
      </c>
      <c r="V105" s="36">
        <f t="shared" si="71"/>
        <v>154862.91670588235</v>
      </c>
      <c r="W105" s="36">
        <f t="shared" si="71"/>
        <v>154368.46305882354</v>
      </c>
      <c r="X105" s="36">
        <f t="shared" si="71"/>
        <v>157251.9557647059</v>
      </c>
      <c r="Y105" s="36">
        <f t="shared" si="71"/>
        <v>148266.92047058826</v>
      </c>
      <c r="Z105" s="36">
        <f t="shared" si="71"/>
        <v>172583.29976470588</v>
      </c>
      <c r="AA105" s="36">
        <f t="shared" si="71"/>
        <v>161785.2677647059</v>
      </c>
    </row>
    <row r="106" spans="1:29" x14ac:dyDescent="0.3">
      <c r="A106" s="166"/>
      <c r="B106" s="167"/>
      <c r="C106" s="107"/>
      <c r="D106" s="107"/>
      <c r="E106" s="107"/>
      <c r="F106" s="107"/>
      <c r="G106" s="107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  <c r="S106" s="107"/>
      <c r="T106" s="107"/>
      <c r="U106" s="107"/>
      <c r="V106" s="107"/>
      <c r="W106" s="107"/>
      <c r="X106" s="107"/>
      <c r="Y106" s="107"/>
      <c r="Z106" s="107"/>
      <c r="AA106" s="37"/>
    </row>
    <row r="107" spans="1:29" x14ac:dyDescent="0.3">
      <c r="A107" s="166"/>
      <c r="B107" s="167"/>
      <c r="C107" s="131" t="s">
        <v>31</v>
      </c>
      <c r="D107" s="9">
        <f>IF(D87="Azul",D76*D88*(D84),0)</f>
        <v>0</v>
      </c>
      <c r="E107" s="10">
        <f t="shared" ref="E107:O107" si="72">IF(E87="Azul",E76*E88*(E84),0)</f>
        <v>0</v>
      </c>
      <c r="F107" s="10">
        <f t="shared" si="72"/>
        <v>0</v>
      </c>
      <c r="G107" s="10">
        <f t="shared" si="72"/>
        <v>0</v>
      </c>
      <c r="H107" s="10">
        <f t="shared" si="72"/>
        <v>0</v>
      </c>
      <c r="I107" s="10">
        <f t="shared" si="72"/>
        <v>0</v>
      </c>
      <c r="J107" s="9">
        <f t="shared" si="72"/>
        <v>0</v>
      </c>
      <c r="K107" s="10">
        <f t="shared" si="72"/>
        <v>0</v>
      </c>
      <c r="L107" s="10">
        <f t="shared" si="72"/>
        <v>0</v>
      </c>
      <c r="M107" s="10">
        <f t="shared" si="72"/>
        <v>0</v>
      </c>
      <c r="N107" s="10">
        <f t="shared" si="72"/>
        <v>0</v>
      </c>
      <c r="O107" s="10">
        <f t="shared" si="72"/>
        <v>0</v>
      </c>
      <c r="P107" s="10">
        <f>IF(P87="Azul",P76*P88*(P84),0)</f>
        <v>0</v>
      </c>
      <c r="Q107" s="10">
        <f t="shared" ref="Q107:AA107" si="73">IF(Q87="Azul",Q76*Q88*(Q84),0)</f>
        <v>0</v>
      </c>
      <c r="R107" s="10">
        <f t="shared" si="73"/>
        <v>0</v>
      </c>
      <c r="S107" s="10">
        <f t="shared" si="73"/>
        <v>0</v>
      </c>
      <c r="T107" s="10">
        <f t="shared" si="73"/>
        <v>0</v>
      </c>
      <c r="U107" s="10">
        <f t="shared" si="73"/>
        <v>0</v>
      </c>
      <c r="V107" s="10">
        <f t="shared" si="73"/>
        <v>0</v>
      </c>
      <c r="W107" s="10">
        <f t="shared" si="73"/>
        <v>0</v>
      </c>
      <c r="X107" s="10">
        <f t="shared" si="73"/>
        <v>0</v>
      </c>
      <c r="Y107" s="10">
        <f t="shared" si="73"/>
        <v>0</v>
      </c>
      <c r="Z107" s="10">
        <f t="shared" si="73"/>
        <v>0</v>
      </c>
      <c r="AA107" s="10">
        <f t="shared" si="73"/>
        <v>0</v>
      </c>
    </row>
    <row r="108" spans="1:29" x14ac:dyDescent="0.3">
      <c r="A108" s="166"/>
      <c r="B108" s="167"/>
      <c r="C108" s="131" t="s">
        <v>32</v>
      </c>
      <c r="D108" s="11">
        <f>D77*D89*(D84)</f>
        <v>96300.000000000015</v>
      </c>
      <c r="E108" s="12">
        <f t="shared" ref="E108:O108" si="74">E77*E89*(E84)</f>
        <v>96300.000000000015</v>
      </c>
      <c r="F108" s="12">
        <f t="shared" si="74"/>
        <v>96300.000000000015</v>
      </c>
      <c r="G108" s="12">
        <f t="shared" si="74"/>
        <v>96300.000000000015</v>
      </c>
      <c r="H108" s="12">
        <f t="shared" si="74"/>
        <v>96300.000000000015</v>
      </c>
      <c r="I108" s="12">
        <f t="shared" si="74"/>
        <v>96300.000000000015</v>
      </c>
      <c r="J108" s="11">
        <f t="shared" si="74"/>
        <v>96300.000000000015</v>
      </c>
      <c r="K108" s="12">
        <f t="shared" si="74"/>
        <v>96300.000000000015</v>
      </c>
      <c r="L108" s="12">
        <f t="shared" si="74"/>
        <v>96300.000000000015</v>
      </c>
      <c r="M108" s="12">
        <f t="shared" si="74"/>
        <v>96300.000000000015</v>
      </c>
      <c r="N108" s="12">
        <f t="shared" si="74"/>
        <v>96300.000000000015</v>
      </c>
      <c r="O108" s="12">
        <f t="shared" si="74"/>
        <v>96300.000000000015</v>
      </c>
      <c r="P108" s="12">
        <f>P77*P89*(P84)</f>
        <v>96300.000000000015</v>
      </c>
      <c r="Q108" s="12">
        <f t="shared" ref="Q108:AA108" si="75">Q77*Q89*(Q84)</f>
        <v>96300.000000000015</v>
      </c>
      <c r="R108" s="12">
        <f t="shared" si="75"/>
        <v>96300.000000000015</v>
      </c>
      <c r="S108" s="12">
        <f t="shared" si="75"/>
        <v>96300.000000000015</v>
      </c>
      <c r="T108" s="12">
        <f t="shared" si="75"/>
        <v>96300.000000000015</v>
      </c>
      <c r="U108" s="12">
        <f t="shared" si="75"/>
        <v>96300.000000000015</v>
      </c>
      <c r="V108" s="12">
        <f t="shared" si="75"/>
        <v>96300.000000000015</v>
      </c>
      <c r="W108" s="12">
        <f t="shared" si="75"/>
        <v>96300.000000000015</v>
      </c>
      <c r="X108" s="12">
        <f t="shared" si="75"/>
        <v>96300.000000000015</v>
      </c>
      <c r="Y108" s="12">
        <f t="shared" si="75"/>
        <v>96300.000000000015</v>
      </c>
      <c r="Z108" s="12">
        <f t="shared" si="75"/>
        <v>96300.000000000015</v>
      </c>
      <c r="AA108" s="12">
        <f t="shared" si="75"/>
        <v>96300.000000000015</v>
      </c>
    </row>
    <row r="109" spans="1:29" x14ac:dyDescent="0.3">
      <c r="A109" s="166"/>
      <c r="B109" s="167"/>
      <c r="C109" s="129" t="s">
        <v>33</v>
      </c>
      <c r="D109" s="19">
        <f>IF(D87="Verde",D80*(D90-D91)*(D84),0)</f>
        <v>121924.65599999999</v>
      </c>
      <c r="E109" s="20">
        <f t="shared" ref="E109:AA109" si="76">IF(E87="Verde",E80*(E90-E91)*(E84),0)</f>
        <v>96523.685999999987</v>
      </c>
      <c r="F109" s="20">
        <f t="shared" si="76"/>
        <v>106684.07399999999</v>
      </c>
      <c r="G109" s="20">
        <f t="shared" si="76"/>
        <v>121924.65599999999</v>
      </c>
      <c r="H109" s="20">
        <f t="shared" si="76"/>
        <v>127004.84999999999</v>
      </c>
      <c r="I109" s="20">
        <f t="shared" si="76"/>
        <v>91443.491999999984</v>
      </c>
      <c r="J109" s="19">
        <f t="shared" si="76"/>
        <v>111764.268</v>
      </c>
      <c r="K109" s="20">
        <f t="shared" si="76"/>
        <v>106684.07399999999</v>
      </c>
      <c r="L109" s="20">
        <f t="shared" si="76"/>
        <v>127004.84999999999</v>
      </c>
      <c r="M109" s="20">
        <f t="shared" si="76"/>
        <v>177806.78999999998</v>
      </c>
      <c r="N109" s="20">
        <f t="shared" si="76"/>
        <v>142245.43199999997</v>
      </c>
      <c r="O109" s="20">
        <f t="shared" si="76"/>
        <v>147325.62599999999</v>
      </c>
      <c r="P109" s="20">
        <f t="shared" si="76"/>
        <v>106684.07399999999</v>
      </c>
      <c r="Q109" s="20">
        <f t="shared" si="76"/>
        <v>81283.103999999992</v>
      </c>
      <c r="R109" s="20">
        <f t="shared" si="76"/>
        <v>137165.23800000001</v>
      </c>
      <c r="S109" s="20">
        <f t="shared" si="76"/>
        <v>177806.78999999998</v>
      </c>
      <c r="T109" s="20">
        <f t="shared" si="76"/>
        <v>132085.04399999999</v>
      </c>
      <c r="U109" s="20">
        <f t="shared" si="76"/>
        <v>137165.23800000001</v>
      </c>
      <c r="V109" s="20">
        <f t="shared" si="76"/>
        <v>147325.62599999999</v>
      </c>
      <c r="W109" s="20">
        <f t="shared" si="76"/>
        <v>147325.62599999999</v>
      </c>
      <c r="X109" s="20">
        <f t="shared" si="76"/>
        <v>142245.43199999997</v>
      </c>
      <c r="Y109" s="20">
        <f t="shared" si="76"/>
        <v>127004.84999999999</v>
      </c>
      <c r="Z109" s="20">
        <f t="shared" si="76"/>
        <v>162566.20799999998</v>
      </c>
      <c r="AA109" s="20">
        <f t="shared" si="76"/>
        <v>147325.62599999999</v>
      </c>
      <c r="AC109" s="92"/>
    </row>
    <row r="110" spans="1:29" x14ac:dyDescent="0.3">
      <c r="A110" s="166"/>
      <c r="B110" s="167"/>
      <c r="C110" s="109"/>
      <c r="D110" s="109"/>
      <c r="E110" s="109"/>
      <c r="F110" s="109"/>
      <c r="G110" s="109"/>
      <c r="H110" s="109"/>
      <c r="I110" s="109"/>
      <c r="J110" s="109"/>
      <c r="K110" s="109"/>
      <c r="L110" s="109"/>
      <c r="M110" s="109"/>
      <c r="N110" s="109"/>
      <c r="O110" s="109"/>
      <c r="P110" s="109"/>
      <c r="Q110" s="109"/>
      <c r="R110" s="109"/>
      <c r="S110" s="109"/>
      <c r="T110" s="109"/>
      <c r="U110" s="109"/>
      <c r="V110" s="109"/>
      <c r="W110" s="109"/>
      <c r="X110" s="109"/>
      <c r="Y110" s="109"/>
      <c r="Z110" s="109"/>
      <c r="AA110" s="38"/>
    </row>
    <row r="111" spans="1:29" x14ac:dyDescent="0.3">
      <c r="A111" s="166"/>
      <c r="B111" s="167"/>
      <c r="C111" s="129" t="s">
        <v>34</v>
      </c>
      <c r="D111" s="98">
        <f>SUM(D80:D81)/D72</f>
        <v>1.7387096774193547</v>
      </c>
      <c r="E111" s="98">
        <f t="shared" ref="E111:O111" si="77">SUM(E80:E81)/E72</f>
        <v>1.5629310344827585</v>
      </c>
      <c r="F111" s="98">
        <f t="shared" si="77"/>
        <v>1.5241935483870968</v>
      </c>
      <c r="G111" s="98">
        <f t="shared" si="77"/>
        <v>1.7033333333333331</v>
      </c>
      <c r="H111" s="98">
        <f t="shared" si="77"/>
        <v>1.6145161290322581</v>
      </c>
      <c r="I111" s="98">
        <f t="shared" si="77"/>
        <v>1.2949999999999999</v>
      </c>
      <c r="J111" s="98">
        <f t="shared" si="77"/>
        <v>1.1177419354838709</v>
      </c>
      <c r="K111" s="98">
        <f t="shared" si="77"/>
        <v>1.1346774193548388</v>
      </c>
      <c r="L111" s="98">
        <f t="shared" si="77"/>
        <v>1.33</v>
      </c>
      <c r="M111" s="98">
        <f t="shared" si="77"/>
        <v>1.8008064516129032</v>
      </c>
      <c r="N111" s="98">
        <f t="shared" si="77"/>
        <v>1.6858333333333333</v>
      </c>
      <c r="O111" s="98">
        <f t="shared" si="77"/>
        <v>1.6935483870967742</v>
      </c>
      <c r="P111" s="98">
        <f>SUM(P80:P81)/P72</f>
        <v>1.3548387096774193</v>
      </c>
      <c r="Q111" s="98">
        <f t="shared" ref="Q111:AA111" si="78">SUM(Q80:Q81)/Q72</f>
        <v>1.375</v>
      </c>
      <c r="R111" s="98">
        <f t="shared" si="78"/>
        <v>1.5129032258064519</v>
      </c>
      <c r="S111" s="98">
        <f t="shared" si="78"/>
        <v>1.82</v>
      </c>
      <c r="T111" s="98">
        <f t="shared" si="78"/>
        <v>1.546774193548387</v>
      </c>
      <c r="U111" s="98">
        <f t="shared" si="78"/>
        <v>1.4058333333333333</v>
      </c>
      <c r="V111" s="98">
        <f t="shared" si="78"/>
        <v>1.3774193548387097</v>
      </c>
      <c r="W111" s="98">
        <f t="shared" si="78"/>
        <v>1.3604838709677418</v>
      </c>
      <c r="X111" s="98">
        <f t="shared" si="78"/>
        <v>1.5924999999999998</v>
      </c>
      <c r="Y111" s="98">
        <f t="shared" si="78"/>
        <v>1.4790322580645163</v>
      </c>
      <c r="Z111" s="98">
        <f t="shared" si="78"/>
        <v>1.7966666666666669</v>
      </c>
      <c r="AA111" s="98">
        <f t="shared" si="78"/>
        <v>1.6145161290322581</v>
      </c>
    </row>
    <row r="112" spans="1:29" x14ac:dyDescent="0.3">
      <c r="A112" s="166"/>
      <c r="B112" s="167"/>
      <c r="C112" s="133" t="s">
        <v>35</v>
      </c>
      <c r="D112" s="97">
        <f t="shared" ref="D112:T112" si="79">D111*D72</f>
        <v>1293.5999999999999</v>
      </c>
      <c r="E112" s="97">
        <f t="shared" si="79"/>
        <v>1087.8</v>
      </c>
      <c r="F112" s="97">
        <f t="shared" si="79"/>
        <v>1134</v>
      </c>
      <c r="G112" s="97">
        <f t="shared" si="79"/>
        <v>1226.3999999999999</v>
      </c>
      <c r="H112" s="97">
        <f t="shared" si="79"/>
        <v>1201.2</v>
      </c>
      <c r="I112" s="97">
        <f t="shared" si="79"/>
        <v>932.4</v>
      </c>
      <c r="J112" s="97">
        <f t="shared" si="79"/>
        <v>831.59999999999991</v>
      </c>
      <c r="K112" s="97">
        <f t="shared" si="79"/>
        <v>844.2</v>
      </c>
      <c r="L112" s="97">
        <f t="shared" si="79"/>
        <v>957.6</v>
      </c>
      <c r="M112" s="97">
        <f t="shared" si="79"/>
        <v>1339.8</v>
      </c>
      <c r="N112" s="97">
        <f t="shared" si="79"/>
        <v>1213.8</v>
      </c>
      <c r="O112" s="97">
        <f t="shared" si="79"/>
        <v>1260</v>
      </c>
      <c r="P112" s="97">
        <f t="shared" si="79"/>
        <v>1007.9999999999999</v>
      </c>
      <c r="Q112" s="97">
        <f t="shared" si="79"/>
        <v>924</v>
      </c>
      <c r="R112" s="97">
        <f t="shared" si="79"/>
        <v>1125.6000000000001</v>
      </c>
      <c r="S112" s="97">
        <f t="shared" si="79"/>
        <v>1310.4000000000001</v>
      </c>
      <c r="T112" s="97">
        <f t="shared" si="79"/>
        <v>1150.8</v>
      </c>
      <c r="U112" s="97">
        <f>U111*U72</f>
        <v>1012.1999999999999</v>
      </c>
      <c r="V112" s="97">
        <f t="shared" ref="V112:AA112" si="80">V111*V72</f>
        <v>1024.8</v>
      </c>
      <c r="W112" s="97">
        <f t="shared" si="80"/>
        <v>1012.1999999999999</v>
      </c>
      <c r="X112" s="97">
        <f t="shared" si="80"/>
        <v>1146.5999999999999</v>
      </c>
      <c r="Y112" s="97">
        <f t="shared" si="80"/>
        <v>1100.4000000000001</v>
      </c>
      <c r="Z112" s="97">
        <f t="shared" si="80"/>
        <v>1293.6000000000001</v>
      </c>
      <c r="AA112" s="97">
        <f t="shared" si="80"/>
        <v>1201.2</v>
      </c>
    </row>
    <row r="113" spans="1:29" x14ac:dyDescent="0.3">
      <c r="A113" s="166"/>
      <c r="B113" s="167"/>
      <c r="C113" s="129" t="s">
        <v>36</v>
      </c>
      <c r="D113" s="39">
        <f t="shared" ref="D113:AA113" si="81">D112*1.1</f>
        <v>1422.96</v>
      </c>
      <c r="E113" s="39">
        <f t="shared" si="81"/>
        <v>1196.5800000000002</v>
      </c>
      <c r="F113" s="39">
        <f t="shared" si="81"/>
        <v>1247.4000000000001</v>
      </c>
      <c r="G113" s="39">
        <f t="shared" si="81"/>
        <v>1349.04</v>
      </c>
      <c r="H113" s="39">
        <f t="shared" si="81"/>
        <v>1321.3200000000002</v>
      </c>
      <c r="I113" s="39">
        <f t="shared" si="81"/>
        <v>1025.6400000000001</v>
      </c>
      <c r="J113" s="39">
        <f t="shared" si="81"/>
        <v>914.76</v>
      </c>
      <c r="K113" s="39">
        <f t="shared" si="81"/>
        <v>928.62000000000012</v>
      </c>
      <c r="L113" s="39">
        <f t="shared" si="81"/>
        <v>1053.3600000000001</v>
      </c>
      <c r="M113" s="39">
        <f t="shared" si="81"/>
        <v>1473.78</v>
      </c>
      <c r="N113" s="39">
        <f t="shared" si="81"/>
        <v>1335.18</v>
      </c>
      <c r="O113" s="39">
        <f t="shared" si="81"/>
        <v>1386</v>
      </c>
      <c r="P113" s="39">
        <f t="shared" si="81"/>
        <v>1108.8</v>
      </c>
      <c r="Q113" s="39">
        <f t="shared" si="81"/>
        <v>1016.4000000000001</v>
      </c>
      <c r="R113" s="39">
        <f t="shared" si="81"/>
        <v>1238.1600000000003</v>
      </c>
      <c r="S113" s="39">
        <f t="shared" si="81"/>
        <v>1441.4400000000003</v>
      </c>
      <c r="T113" s="39">
        <f t="shared" si="81"/>
        <v>1265.8800000000001</v>
      </c>
      <c r="U113" s="39">
        <f t="shared" si="81"/>
        <v>1113.42</v>
      </c>
      <c r="V113" s="39">
        <f t="shared" si="81"/>
        <v>1127.28</v>
      </c>
      <c r="W113" s="39">
        <f t="shared" si="81"/>
        <v>1113.42</v>
      </c>
      <c r="X113" s="39">
        <f t="shared" si="81"/>
        <v>1261.26</v>
      </c>
      <c r="Y113" s="39">
        <f t="shared" si="81"/>
        <v>1210.4400000000003</v>
      </c>
      <c r="Z113" s="39">
        <f t="shared" si="81"/>
        <v>1422.9600000000003</v>
      </c>
      <c r="AA113" s="39">
        <f t="shared" si="81"/>
        <v>1321.3200000000002</v>
      </c>
    </row>
    <row r="114" spans="1:29" x14ac:dyDescent="0.3">
      <c r="A114" s="166"/>
      <c r="B114" s="167"/>
      <c r="C114" s="129" t="s">
        <v>37</v>
      </c>
      <c r="D114" s="40">
        <f t="shared" ref="D114:AA114" si="82">D112*0.9</f>
        <v>1164.24</v>
      </c>
      <c r="E114" s="40">
        <f t="shared" si="82"/>
        <v>979.02</v>
      </c>
      <c r="F114" s="40">
        <f t="shared" si="82"/>
        <v>1020.6</v>
      </c>
      <c r="G114" s="40">
        <f t="shared" si="82"/>
        <v>1103.76</v>
      </c>
      <c r="H114" s="40">
        <f t="shared" si="82"/>
        <v>1081.0800000000002</v>
      </c>
      <c r="I114" s="40">
        <f t="shared" si="82"/>
        <v>839.16</v>
      </c>
      <c r="J114" s="40">
        <f t="shared" si="82"/>
        <v>748.43999999999994</v>
      </c>
      <c r="K114" s="40">
        <f t="shared" si="82"/>
        <v>759.78000000000009</v>
      </c>
      <c r="L114" s="40">
        <f t="shared" si="82"/>
        <v>861.84</v>
      </c>
      <c r="M114" s="40">
        <f t="shared" si="82"/>
        <v>1205.82</v>
      </c>
      <c r="N114" s="40">
        <f t="shared" si="82"/>
        <v>1092.42</v>
      </c>
      <c r="O114" s="40">
        <f t="shared" si="82"/>
        <v>1134</v>
      </c>
      <c r="P114" s="40">
        <f t="shared" si="82"/>
        <v>907.19999999999993</v>
      </c>
      <c r="Q114" s="40">
        <f t="shared" si="82"/>
        <v>831.6</v>
      </c>
      <c r="R114" s="40">
        <f t="shared" si="82"/>
        <v>1013.0400000000002</v>
      </c>
      <c r="S114" s="40">
        <f t="shared" si="82"/>
        <v>1179.3600000000001</v>
      </c>
      <c r="T114" s="40">
        <f t="shared" si="82"/>
        <v>1035.72</v>
      </c>
      <c r="U114" s="40">
        <f t="shared" si="82"/>
        <v>910.9799999999999</v>
      </c>
      <c r="V114" s="40">
        <f t="shared" si="82"/>
        <v>922.31999999999994</v>
      </c>
      <c r="W114" s="40">
        <f t="shared" si="82"/>
        <v>910.9799999999999</v>
      </c>
      <c r="X114" s="40">
        <f t="shared" si="82"/>
        <v>1031.94</v>
      </c>
      <c r="Y114" s="40">
        <f t="shared" si="82"/>
        <v>990.36000000000013</v>
      </c>
      <c r="Z114" s="40">
        <f t="shared" si="82"/>
        <v>1164.2400000000002</v>
      </c>
      <c r="AA114" s="40">
        <f t="shared" si="82"/>
        <v>1081.0800000000002</v>
      </c>
    </row>
    <row r="115" spans="1:29" x14ac:dyDescent="0.3">
      <c r="A115" s="166"/>
      <c r="B115" s="167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  <c r="AA115" s="41"/>
    </row>
    <row r="116" spans="1:29" x14ac:dyDescent="0.3">
      <c r="A116" s="166"/>
      <c r="B116" s="167"/>
      <c r="C116" s="129" t="s">
        <v>38</v>
      </c>
      <c r="D116" s="43">
        <f t="shared" ref="D116:O116" si="83">D112</f>
        <v>1293.5999999999999</v>
      </c>
      <c r="E116" s="43">
        <f t="shared" si="83"/>
        <v>1087.8</v>
      </c>
      <c r="F116" s="43">
        <f t="shared" si="83"/>
        <v>1134</v>
      </c>
      <c r="G116" s="43">
        <f t="shared" si="83"/>
        <v>1226.3999999999999</v>
      </c>
      <c r="H116" s="43">
        <f t="shared" si="83"/>
        <v>1201.2</v>
      </c>
      <c r="I116" s="43">
        <f t="shared" si="83"/>
        <v>932.4</v>
      </c>
      <c r="J116" s="43">
        <f t="shared" si="83"/>
        <v>831.59999999999991</v>
      </c>
      <c r="K116" s="43">
        <f t="shared" si="83"/>
        <v>844.2</v>
      </c>
      <c r="L116" s="43">
        <f t="shared" si="83"/>
        <v>957.6</v>
      </c>
      <c r="M116" s="43">
        <f t="shared" si="83"/>
        <v>1339.8</v>
      </c>
      <c r="N116" s="43">
        <f t="shared" si="83"/>
        <v>1213.8</v>
      </c>
      <c r="O116" s="43">
        <f t="shared" si="83"/>
        <v>1260</v>
      </c>
      <c r="P116" s="43">
        <f>P112</f>
        <v>1007.9999999999999</v>
      </c>
      <c r="Q116" s="43">
        <f t="shared" ref="Q116:AA116" si="84">Q112</f>
        <v>924</v>
      </c>
      <c r="R116" s="43">
        <f t="shared" si="84"/>
        <v>1125.6000000000001</v>
      </c>
      <c r="S116" s="43">
        <f t="shared" si="84"/>
        <v>1310.4000000000001</v>
      </c>
      <c r="T116" s="43">
        <f t="shared" si="84"/>
        <v>1150.8</v>
      </c>
      <c r="U116" s="43">
        <f t="shared" si="84"/>
        <v>1012.1999999999999</v>
      </c>
      <c r="V116" s="43">
        <f t="shared" si="84"/>
        <v>1024.8</v>
      </c>
      <c r="W116" s="43">
        <f t="shared" si="84"/>
        <v>1012.1999999999999</v>
      </c>
      <c r="X116" s="43">
        <f t="shared" si="84"/>
        <v>1146.5999999999999</v>
      </c>
      <c r="Y116" s="43">
        <f t="shared" si="84"/>
        <v>1100.4000000000001</v>
      </c>
      <c r="Z116" s="43">
        <f t="shared" si="84"/>
        <v>1293.6000000000001</v>
      </c>
      <c r="AA116" s="43">
        <f t="shared" si="84"/>
        <v>1201.2</v>
      </c>
    </row>
    <row r="117" spans="1:29" x14ac:dyDescent="0.3">
      <c r="A117" s="166"/>
      <c r="B117" s="167"/>
      <c r="C117" s="129" t="s">
        <v>39</v>
      </c>
      <c r="D117" s="127">
        <f>'SIMULAÇÃO CENÁRIOS'!$E$8</f>
        <v>310</v>
      </c>
      <c r="E117" s="127">
        <f>'SIMULAÇÃO CENÁRIOS'!$E$8</f>
        <v>310</v>
      </c>
      <c r="F117" s="127">
        <f>'SIMULAÇÃO CENÁRIOS'!$E$8</f>
        <v>310</v>
      </c>
      <c r="G117" s="127">
        <f>'SIMULAÇÃO CENÁRIOS'!$E$8</f>
        <v>310</v>
      </c>
      <c r="H117" s="127">
        <f>'SIMULAÇÃO CENÁRIOS'!$E$8</f>
        <v>310</v>
      </c>
      <c r="I117" s="127">
        <f>'SIMULAÇÃO CENÁRIOS'!$E$8</f>
        <v>310</v>
      </c>
      <c r="J117" s="127">
        <f>'SIMULAÇÃO CENÁRIOS'!$E$8</f>
        <v>310</v>
      </c>
      <c r="K117" s="127">
        <f>'SIMULAÇÃO CENÁRIOS'!$E$8</f>
        <v>310</v>
      </c>
      <c r="L117" s="127">
        <f>'SIMULAÇÃO CENÁRIOS'!$E$8</f>
        <v>310</v>
      </c>
      <c r="M117" s="127">
        <f>'SIMULAÇÃO CENÁRIOS'!$E$8</f>
        <v>310</v>
      </c>
      <c r="N117" s="127">
        <f>'SIMULAÇÃO CENÁRIOS'!$E$8</f>
        <v>310</v>
      </c>
      <c r="O117" s="127">
        <f>'SIMULAÇÃO CENÁRIOS'!$E$8</f>
        <v>310</v>
      </c>
      <c r="P117" s="127">
        <f>'SIMULAÇÃO CENÁRIOS'!$E$8</f>
        <v>310</v>
      </c>
      <c r="Q117" s="127">
        <f>'SIMULAÇÃO CENÁRIOS'!$E$8</f>
        <v>310</v>
      </c>
      <c r="R117" s="127">
        <f>'SIMULAÇÃO CENÁRIOS'!$E$8</f>
        <v>310</v>
      </c>
      <c r="S117" s="127">
        <f>'SIMULAÇÃO CENÁRIOS'!$E$8</f>
        <v>310</v>
      </c>
      <c r="T117" s="127">
        <f>'SIMULAÇÃO CENÁRIOS'!$E$8</f>
        <v>310</v>
      </c>
      <c r="U117" s="127">
        <f>'SIMULAÇÃO CENÁRIOS'!$E$8</f>
        <v>310</v>
      </c>
      <c r="V117" s="127">
        <f>'SIMULAÇÃO CENÁRIOS'!$E$8</f>
        <v>310</v>
      </c>
      <c r="W117" s="127">
        <f>'SIMULAÇÃO CENÁRIOS'!$E$8</f>
        <v>310</v>
      </c>
      <c r="X117" s="127">
        <f>'SIMULAÇÃO CENÁRIOS'!$E$8</f>
        <v>310</v>
      </c>
      <c r="Y117" s="127">
        <f>'SIMULAÇÃO CENÁRIOS'!$E$8</f>
        <v>310</v>
      </c>
      <c r="Z117" s="127">
        <f>'SIMULAÇÃO CENÁRIOS'!$E$8</f>
        <v>310</v>
      </c>
      <c r="AA117" s="127">
        <f>'SIMULAÇÃO CENÁRIOS'!$E$8</f>
        <v>310</v>
      </c>
    </row>
    <row r="118" spans="1:29" x14ac:dyDescent="0.3">
      <c r="A118" s="166"/>
      <c r="B118" s="167"/>
      <c r="C118" s="129" t="s">
        <v>40</v>
      </c>
      <c r="D118" s="44">
        <f>D116*D117/(1-D95)</f>
        <v>549336.98630136985</v>
      </c>
      <c r="E118" s="44">
        <f>E116*E117/(1-E95)</f>
        <v>461942.46575342468</v>
      </c>
      <c r="F118" s="44">
        <f t="shared" ref="F118:H118" si="85">F116*F117/(1-F95)</f>
        <v>481561.64383561647</v>
      </c>
      <c r="G118" s="44">
        <f t="shared" si="85"/>
        <v>520799.99999999994</v>
      </c>
      <c r="H118" s="44">
        <f t="shared" si="85"/>
        <v>510098.63013698632</v>
      </c>
      <c r="I118" s="44">
        <f>I116*I117/(1-I95)</f>
        <v>395950.68493150687</v>
      </c>
      <c r="J118" s="44">
        <f>J116*J117/(1-J95)</f>
        <v>353145.20547945204</v>
      </c>
      <c r="K118" s="44">
        <f t="shared" ref="K118" si="86">K116*K117/(1-K95)</f>
        <v>358495.89041095891</v>
      </c>
      <c r="L118" s="44">
        <f t="shared" ref="L118" si="87">L116*L117/(1-L95)</f>
        <v>406652.05479452055</v>
      </c>
      <c r="M118" s="44">
        <f t="shared" ref="M118:O118" si="88">M116*M117/(1-M95)</f>
        <v>568956.1643835617</v>
      </c>
      <c r="N118" s="44">
        <f t="shared" si="88"/>
        <v>515449.31506849319</v>
      </c>
      <c r="O118" s="44">
        <f t="shared" si="88"/>
        <v>535068.49315068498</v>
      </c>
      <c r="P118" s="44">
        <f t="shared" ref="P118" si="89">P116*P117/(1-P95)</f>
        <v>428054.7945205479</v>
      </c>
      <c r="Q118" s="44">
        <f t="shared" ref="Q118" si="90">Q116*Q117/(1-Q95)</f>
        <v>392383.56164383562</v>
      </c>
      <c r="R118" s="44">
        <f t="shared" ref="R118:T118" si="91">R116*R117/(1-R95)</f>
        <v>477994.52054794529</v>
      </c>
      <c r="S118" s="44">
        <f t="shared" si="91"/>
        <v>556471.23287671234</v>
      </c>
      <c r="T118" s="44">
        <f t="shared" si="91"/>
        <v>488695.89041095891</v>
      </c>
      <c r="U118" s="44">
        <f t="shared" ref="U118" si="92">U116*U117/(1-U95)</f>
        <v>429838.35616438359</v>
      </c>
      <c r="V118" s="44">
        <f t="shared" ref="V118" si="93">V116*V117/(1-V95)</f>
        <v>435189.0410958904</v>
      </c>
      <c r="W118" s="44">
        <f t="shared" ref="W118:Y118" si="94">W116*W117/(1-W95)</f>
        <v>429838.35616438359</v>
      </c>
      <c r="X118" s="44">
        <f t="shared" si="94"/>
        <v>486912.32876712328</v>
      </c>
      <c r="Y118" s="44">
        <f t="shared" si="94"/>
        <v>467293.15068493149</v>
      </c>
      <c r="Z118" s="44">
        <f t="shared" ref="Z118" si="95">Z116*Z117/(1-Z95)</f>
        <v>549336.98630136997</v>
      </c>
      <c r="AA118" s="44">
        <f t="shared" ref="AA118" si="96">AA116*AA117/(1-AA95)</f>
        <v>510098.63013698632</v>
      </c>
    </row>
    <row r="119" spans="1:29" ht="17.25" thickBot="1" x14ac:dyDescent="0.35">
      <c r="A119" s="166"/>
      <c r="B119" s="167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  <c r="AA119" s="45"/>
    </row>
    <row r="120" spans="1:29" ht="17.25" thickBot="1" x14ac:dyDescent="0.35">
      <c r="A120" s="166"/>
      <c r="B120" s="167"/>
      <c r="C120" s="134" t="s">
        <v>98</v>
      </c>
      <c r="D120" s="46">
        <f t="shared" ref="D120:O120" si="97">+D118+D105+D104</f>
        <v>810668.15383078158</v>
      </c>
      <c r="E120" s="46">
        <f t="shared" si="97"/>
        <v>686082.49740048347</v>
      </c>
      <c r="F120" s="46">
        <f t="shared" si="97"/>
        <v>716148.64924738125</v>
      </c>
      <c r="G120" s="46">
        <f t="shared" si="97"/>
        <v>773890.27341176476</v>
      </c>
      <c r="H120" s="46">
        <f t="shared" si="97"/>
        <v>762489.24778404518</v>
      </c>
      <c r="I120" s="46">
        <f t="shared" si="97"/>
        <v>598642.96940209507</v>
      </c>
      <c r="J120" s="46">
        <f t="shared" si="97"/>
        <v>553038.86689121672</v>
      </c>
      <c r="K120" s="46">
        <f t="shared" si="97"/>
        <v>557544.03994037071</v>
      </c>
      <c r="L120" s="46">
        <f t="shared" si="97"/>
        <v>629169.43126510875</v>
      </c>
      <c r="M120" s="46">
        <f t="shared" si="97"/>
        <v>862250.4214423853</v>
      </c>
      <c r="N120" s="46">
        <f t="shared" si="97"/>
        <v>776557.13895084616</v>
      </c>
      <c r="O120" s="46">
        <f t="shared" si="97"/>
        <v>804232.61126833211</v>
      </c>
      <c r="P120" s="46">
        <f>+P118+P105+P104</f>
        <v>647190.12346172438</v>
      </c>
      <c r="Q120" s="46">
        <f t="shared" ref="Q120:AA120" si="98">+Q118+Q105+Q104</f>
        <v>589264.37529089442</v>
      </c>
      <c r="R120" s="46">
        <f t="shared" si="98"/>
        <v>725895.49137147469</v>
      </c>
      <c r="S120" s="46">
        <f t="shared" si="98"/>
        <v>846160.09875906538</v>
      </c>
      <c r="T120" s="46">
        <f t="shared" si="98"/>
        <v>737296.51699919417</v>
      </c>
      <c r="U120" s="46">
        <f t="shared" si="98"/>
        <v>663832.81816438364</v>
      </c>
      <c r="V120" s="46">
        <f t="shared" si="98"/>
        <v>675510.02980177279</v>
      </c>
      <c r="W120" s="46">
        <f t="shared" si="98"/>
        <v>668614.1772232072</v>
      </c>
      <c r="X120" s="46">
        <f t="shared" si="98"/>
        <v>739779.25853182923</v>
      </c>
      <c r="Y120" s="46">
        <f t="shared" si="98"/>
        <v>707322.42715551972</v>
      </c>
      <c r="Z120" s="46">
        <f t="shared" si="98"/>
        <v>829793.59006607579</v>
      </c>
      <c r="AA120" s="46">
        <f t="shared" si="98"/>
        <v>772051.96590169217</v>
      </c>
      <c r="AC120" s="47">
        <f>SUM(D120:AA120)</f>
        <v>17133425.173561644</v>
      </c>
    </row>
    <row r="121" spans="1:29" x14ac:dyDescent="0.3">
      <c r="A121" s="166"/>
      <c r="B121" s="167"/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100"/>
    </row>
    <row r="122" spans="1:29" ht="45.75" x14ac:dyDescent="0.3">
      <c r="A122" s="166"/>
      <c r="B122" s="167"/>
      <c r="C122" s="172" t="s">
        <v>99</v>
      </c>
      <c r="D122" s="172"/>
      <c r="E122" s="172"/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3"/>
    </row>
    <row r="123" spans="1:29" x14ac:dyDescent="0.3">
      <c r="A123" s="166"/>
      <c r="B123" s="167"/>
      <c r="C123" s="129" t="s">
        <v>101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3">
        <v>0</v>
      </c>
      <c r="R123" s="43">
        <v>0</v>
      </c>
      <c r="S123" s="43">
        <v>0</v>
      </c>
      <c r="T123" s="43">
        <v>0</v>
      </c>
      <c r="U123" s="43">
        <v>0</v>
      </c>
      <c r="V123" s="43">
        <v>0</v>
      </c>
      <c r="W123" s="43">
        <v>0</v>
      </c>
      <c r="X123" s="43">
        <v>0</v>
      </c>
      <c r="Y123" s="43">
        <v>0</v>
      </c>
      <c r="Z123" s="43">
        <v>0</v>
      </c>
      <c r="AA123" s="43">
        <v>0</v>
      </c>
    </row>
    <row r="124" spans="1:29" x14ac:dyDescent="0.3">
      <c r="A124" s="166"/>
      <c r="B124" s="167"/>
      <c r="C124" s="129" t="s">
        <v>102</v>
      </c>
      <c r="D124" s="17">
        <f t="shared" ref="D124:O124" si="99">D77*D89+D79*D89*2</f>
        <v>96300.000000000015</v>
      </c>
      <c r="E124" s="17">
        <f t="shared" si="99"/>
        <v>96300.000000000015</v>
      </c>
      <c r="F124" s="17">
        <f t="shared" si="99"/>
        <v>96300.000000000015</v>
      </c>
      <c r="G124" s="17">
        <f t="shared" si="99"/>
        <v>96300.000000000015</v>
      </c>
      <c r="H124" s="17">
        <f t="shared" si="99"/>
        <v>96300.000000000015</v>
      </c>
      <c r="I124" s="17">
        <f t="shared" si="99"/>
        <v>96300.000000000015</v>
      </c>
      <c r="J124" s="17">
        <f t="shared" si="99"/>
        <v>96300.000000000015</v>
      </c>
      <c r="K124" s="17">
        <f t="shared" si="99"/>
        <v>96300.000000000015</v>
      </c>
      <c r="L124" s="17">
        <f t="shared" si="99"/>
        <v>96300.000000000015</v>
      </c>
      <c r="M124" s="17">
        <f t="shared" si="99"/>
        <v>96300.000000000015</v>
      </c>
      <c r="N124" s="17">
        <f t="shared" si="99"/>
        <v>96300.000000000015</v>
      </c>
      <c r="O124" s="17">
        <f t="shared" si="99"/>
        <v>96300.000000000015</v>
      </c>
      <c r="P124" s="17">
        <f>P77*P89+P79*P89*2</f>
        <v>96300.000000000015</v>
      </c>
      <c r="Q124" s="18">
        <f t="shared" ref="Q124:AA124" si="100">Q77*Q89+Q79*Q89*2</f>
        <v>96300.000000000015</v>
      </c>
      <c r="R124" s="18">
        <f t="shared" si="100"/>
        <v>96300.000000000015</v>
      </c>
      <c r="S124" s="18">
        <f t="shared" si="100"/>
        <v>96300.000000000015</v>
      </c>
      <c r="T124" s="18">
        <f t="shared" si="100"/>
        <v>96300.000000000015</v>
      </c>
      <c r="U124" s="18">
        <f t="shared" si="100"/>
        <v>96300.000000000015</v>
      </c>
      <c r="V124" s="18">
        <f t="shared" si="100"/>
        <v>96300.000000000015</v>
      </c>
      <c r="W124" s="18">
        <f t="shared" si="100"/>
        <v>96300.000000000015</v>
      </c>
      <c r="X124" s="18">
        <f t="shared" si="100"/>
        <v>96300.000000000015</v>
      </c>
      <c r="Y124" s="18">
        <f t="shared" si="100"/>
        <v>96300.000000000015</v>
      </c>
      <c r="Z124" s="18">
        <f t="shared" si="100"/>
        <v>96300.000000000015</v>
      </c>
      <c r="AA124" s="18">
        <f t="shared" si="100"/>
        <v>96300.000000000015</v>
      </c>
    </row>
    <row r="125" spans="1:29" x14ac:dyDescent="0.3">
      <c r="A125" s="166"/>
      <c r="B125" s="167"/>
      <c r="C125" s="129" t="s">
        <v>103</v>
      </c>
      <c r="D125" s="102">
        <f t="shared" ref="D125:O125" si="101">D80*D90</f>
        <v>130330.368</v>
      </c>
      <c r="E125" s="102">
        <f t="shared" si="101"/>
        <v>103178.208</v>
      </c>
      <c r="F125" s="102">
        <f t="shared" si="101"/>
        <v>114039.072</v>
      </c>
      <c r="G125" s="102">
        <f t="shared" si="101"/>
        <v>130330.368</v>
      </c>
      <c r="H125" s="102">
        <f t="shared" si="101"/>
        <v>135760.80000000002</v>
      </c>
      <c r="I125" s="102">
        <f t="shared" si="101"/>
        <v>97747.775999999998</v>
      </c>
      <c r="J125" s="102">
        <f t="shared" si="101"/>
        <v>119469.50400000002</v>
      </c>
      <c r="K125" s="102">
        <f t="shared" si="101"/>
        <v>114039.072</v>
      </c>
      <c r="L125" s="102">
        <f t="shared" si="101"/>
        <v>135760.80000000002</v>
      </c>
      <c r="M125" s="102">
        <f t="shared" si="101"/>
        <v>190065.12</v>
      </c>
      <c r="N125" s="102">
        <f t="shared" si="101"/>
        <v>152052.09599999999</v>
      </c>
      <c r="O125" s="102">
        <f t="shared" si="101"/>
        <v>157482.52799999999</v>
      </c>
      <c r="P125" s="102">
        <f>P80*P90</f>
        <v>114039.072</v>
      </c>
      <c r="Q125" s="103">
        <f t="shared" ref="Q125:AA125" si="102">Q80*Q90</f>
        <v>86886.912000000011</v>
      </c>
      <c r="R125" s="103">
        <f t="shared" si="102"/>
        <v>146621.66400000002</v>
      </c>
      <c r="S125" s="103">
        <f t="shared" si="102"/>
        <v>190065.12</v>
      </c>
      <c r="T125" s="103">
        <f t="shared" si="102"/>
        <v>141191.23200000002</v>
      </c>
      <c r="U125" s="103">
        <f t="shared" si="102"/>
        <v>146621.66400000002</v>
      </c>
      <c r="V125" s="103">
        <f t="shared" si="102"/>
        <v>157482.52799999999</v>
      </c>
      <c r="W125" s="103">
        <f t="shared" si="102"/>
        <v>157482.52799999999</v>
      </c>
      <c r="X125" s="103">
        <f t="shared" si="102"/>
        <v>152052.09599999999</v>
      </c>
      <c r="Y125" s="103">
        <f t="shared" si="102"/>
        <v>135760.80000000002</v>
      </c>
      <c r="Z125" s="103">
        <f t="shared" si="102"/>
        <v>173773.82400000002</v>
      </c>
      <c r="AA125" s="103">
        <f t="shared" si="102"/>
        <v>157482.52799999999</v>
      </c>
    </row>
    <row r="126" spans="1:29" x14ac:dyDescent="0.3">
      <c r="A126" s="166"/>
      <c r="B126" s="167"/>
      <c r="C126" s="129" t="s">
        <v>104</v>
      </c>
      <c r="D126" s="17">
        <f t="shared" ref="D126:O126" si="103">D81*D91</f>
        <v>99467.59199999999</v>
      </c>
      <c r="E126" s="17">
        <f t="shared" si="103"/>
        <v>84057.12</v>
      </c>
      <c r="F126" s="17">
        <f t="shared" si="103"/>
        <v>87209.262000000002</v>
      </c>
      <c r="G126" s="17">
        <f t="shared" si="103"/>
        <v>93863.784</v>
      </c>
      <c r="H126" s="17">
        <f t="shared" si="103"/>
        <v>91412.118000000002</v>
      </c>
      <c r="I126" s="17">
        <f t="shared" si="103"/>
        <v>71448.551999999996</v>
      </c>
      <c r="J126" s="17">
        <f t="shared" si="103"/>
        <v>61641.888000000006</v>
      </c>
      <c r="K126" s="17">
        <f t="shared" si="103"/>
        <v>63042.840000000004</v>
      </c>
      <c r="L126" s="17">
        <f t="shared" si="103"/>
        <v>71098.313999999998</v>
      </c>
      <c r="M126" s="17">
        <f t="shared" si="103"/>
        <v>99467.59199999999</v>
      </c>
      <c r="N126" s="17">
        <f t="shared" si="103"/>
        <v>91412.118000000002</v>
      </c>
      <c r="O126" s="17">
        <f t="shared" si="103"/>
        <v>94914.498000000007</v>
      </c>
      <c r="P126" s="17">
        <f>P81*P91</f>
        <v>76702.122000000003</v>
      </c>
      <c r="Q126" s="18">
        <f t="shared" ref="Q126:AA126" si="104">Q81*Q91</f>
        <v>71448.551999999996</v>
      </c>
      <c r="R126" s="18">
        <f t="shared" si="104"/>
        <v>84407.358000000007</v>
      </c>
      <c r="S126" s="18">
        <f t="shared" si="104"/>
        <v>97015.926000000007</v>
      </c>
      <c r="T126" s="18">
        <f t="shared" si="104"/>
        <v>86859.02399999999</v>
      </c>
      <c r="U126" s="18">
        <f t="shared" si="104"/>
        <v>74950.932000000001</v>
      </c>
      <c r="V126" s="18">
        <f t="shared" si="104"/>
        <v>75301.17</v>
      </c>
      <c r="W126" s="18">
        <f t="shared" si="104"/>
        <v>74250.456000000006</v>
      </c>
      <c r="X126" s="18">
        <f t="shared" si="104"/>
        <v>85808.31</v>
      </c>
      <c r="Y126" s="18">
        <f t="shared" si="104"/>
        <v>83006.406000000003</v>
      </c>
      <c r="Z126" s="18">
        <f t="shared" si="104"/>
        <v>96665.688000000009</v>
      </c>
      <c r="AA126" s="18">
        <f t="shared" si="104"/>
        <v>90011.166000000012</v>
      </c>
    </row>
    <row r="127" spans="1:29" x14ac:dyDescent="0.3">
      <c r="A127" s="166"/>
      <c r="B127" s="167"/>
      <c r="C127" s="129" t="s">
        <v>105</v>
      </c>
      <c r="D127" s="102">
        <f t="shared" ref="D127:O127" si="105">D80*D92</f>
        <v>42404.544000000002</v>
      </c>
      <c r="E127" s="102">
        <f t="shared" si="105"/>
        <v>33570.264000000003</v>
      </c>
      <c r="F127" s="102">
        <f t="shared" si="105"/>
        <v>37103.976000000002</v>
      </c>
      <c r="G127" s="102">
        <f t="shared" si="105"/>
        <v>42404.544000000002</v>
      </c>
      <c r="H127" s="102">
        <f t="shared" si="105"/>
        <v>44171.4</v>
      </c>
      <c r="I127" s="102">
        <f t="shared" si="105"/>
        <v>31803.407999999999</v>
      </c>
      <c r="J127" s="102">
        <f t="shared" si="105"/>
        <v>38870.832000000002</v>
      </c>
      <c r="K127" s="102">
        <f t="shared" si="105"/>
        <v>37103.976000000002</v>
      </c>
      <c r="L127" s="102">
        <f t="shared" si="105"/>
        <v>44171.4</v>
      </c>
      <c r="M127" s="102">
        <f t="shared" si="105"/>
        <v>61839.96</v>
      </c>
      <c r="N127" s="102">
        <f t="shared" si="105"/>
        <v>49471.968000000001</v>
      </c>
      <c r="O127" s="102">
        <f t="shared" si="105"/>
        <v>51238.824000000001</v>
      </c>
      <c r="P127" s="102">
        <f>P80*P92</f>
        <v>37103.976000000002</v>
      </c>
      <c r="Q127" s="103">
        <f t="shared" ref="Q127:AA127" si="106">Q80*Q92</f>
        <v>28269.696</v>
      </c>
      <c r="R127" s="103">
        <f t="shared" si="106"/>
        <v>47705.112000000001</v>
      </c>
      <c r="S127" s="103">
        <f t="shared" si="106"/>
        <v>61839.96</v>
      </c>
      <c r="T127" s="103">
        <f t="shared" si="106"/>
        <v>45938.256000000001</v>
      </c>
      <c r="U127" s="103">
        <f t="shared" si="106"/>
        <v>47705.112000000001</v>
      </c>
      <c r="V127" s="103">
        <f t="shared" si="106"/>
        <v>51238.824000000001</v>
      </c>
      <c r="W127" s="103">
        <f t="shared" si="106"/>
        <v>51238.824000000001</v>
      </c>
      <c r="X127" s="103">
        <f t="shared" si="106"/>
        <v>49471.968000000001</v>
      </c>
      <c r="Y127" s="103">
        <f t="shared" si="106"/>
        <v>44171.4</v>
      </c>
      <c r="Z127" s="103">
        <f t="shared" si="106"/>
        <v>56539.392</v>
      </c>
      <c r="AA127" s="103">
        <f t="shared" si="106"/>
        <v>51238.824000000001</v>
      </c>
    </row>
    <row r="128" spans="1:29" x14ac:dyDescent="0.3">
      <c r="A128" s="166"/>
      <c r="B128" s="167"/>
      <c r="C128" s="129" t="s">
        <v>106</v>
      </c>
      <c r="D128" s="17">
        <f t="shared" ref="D128:O128" si="107">D81*D93</f>
        <v>299917.63199999998</v>
      </c>
      <c r="E128" s="17">
        <f t="shared" si="107"/>
        <v>253451.51999999999</v>
      </c>
      <c r="F128" s="17">
        <f t="shared" si="107"/>
        <v>262955.95199999999</v>
      </c>
      <c r="G128" s="17">
        <f t="shared" si="107"/>
        <v>283020.864</v>
      </c>
      <c r="H128" s="17">
        <f t="shared" si="107"/>
        <v>275628.52799999999</v>
      </c>
      <c r="I128" s="17">
        <f t="shared" si="107"/>
        <v>215433.79199999999</v>
      </c>
      <c r="J128" s="17">
        <f t="shared" si="107"/>
        <v>185864.448</v>
      </c>
      <c r="K128" s="17">
        <f t="shared" si="107"/>
        <v>190088.63999999998</v>
      </c>
      <c r="L128" s="17">
        <f t="shared" si="107"/>
        <v>214377.74400000001</v>
      </c>
      <c r="M128" s="17">
        <f t="shared" si="107"/>
        <v>299917.63199999998</v>
      </c>
      <c r="N128" s="17">
        <f t="shared" si="107"/>
        <v>275628.52799999999</v>
      </c>
      <c r="O128" s="17">
        <f t="shared" si="107"/>
        <v>286189.00800000003</v>
      </c>
      <c r="P128" s="17">
        <f>P81*P93</f>
        <v>231274.51199999999</v>
      </c>
      <c r="Q128" s="18">
        <f t="shared" ref="Q128:AA128" si="108">Q81*Q93</f>
        <v>215433.79199999999</v>
      </c>
      <c r="R128" s="18">
        <f t="shared" si="108"/>
        <v>254507.568</v>
      </c>
      <c r="S128" s="18">
        <f t="shared" si="108"/>
        <v>292525.29600000003</v>
      </c>
      <c r="T128" s="18">
        <f t="shared" si="108"/>
        <v>261899.90399999998</v>
      </c>
      <c r="U128" s="18">
        <f t="shared" si="108"/>
        <v>225994.272</v>
      </c>
      <c r="V128" s="18">
        <f t="shared" si="108"/>
        <v>227050.32</v>
      </c>
      <c r="W128" s="18">
        <f t="shared" si="108"/>
        <v>223882.17600000001</v>
      </c>
      <c r="X128" s="18">
        <f t="shared" si="108"/>
        <v>258731.76</v>
      </c>
      <c r="Y128" s="18">
        <f t="shared" si="108"/>
        <v>250283.37599999999</v>
      </c>
      <c r="Z128" s="18">
        <f t="shared" si="108"/>
        <v>291469.24800000002</v>
      </c>
      <c r="AA128" s="18">
        <f t="shared" si="108"/>
        <v>271404.33600000001</v>
      </c>
    </row>
    <row r="129" spans="1:32" x14ac:dyDescent="0.3">
      <c r="A129" s="166"/>
      <c r="B129" s="167"/>
      <c r="C129" s="130" t="s">
        <v>107</v>
      </c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3"/>
      <c r="R129" s="103"/>
      <c r="S129" s="103"/>
      <c r="T129" s="103"/>
      <c r="U129" s="103"/>
      <c r="V129" s="103"/>
      <c r="W129" s="103"/>
      <c r="X129" s="103"/>
      <c r="Y129" s="103"/>
      <c r="Z129" s="103"/>
      <c r="AA129" s="103"/>
    </row>
    <row r="130" spans="1:32" x14ac:dyDescent="0.3">
      <c r="A130" s="166"/>
      <c r="B130" s="167"/>
      <c r="C130" s="130" t="s">
        <v>110</v>
      </c>
      <c r="D130" s="21">
        <f t="shared" ref="D130:O130" si="109">SUM(D123:D129)/(1-SUM(D95:D96))*SUM(D95:D96)</f>
        <v>314550.65223529417</v>
      </c>
      <c r="E130" s="21">
        <f t="shared" si="109"/>
        <v>268497.46447058825</v>
      </c>
      <c r="F130" s="21">
        <f t="shared" si="109"/>
        <v>281227.41741176479</v>
      </c>
      <c r="G130" s="21">
        <f t="shared" si="109"/>
        <v>303962.14588235301</v>
      </c>
      <c r="H130" s="21">
        <f t="shared" si="109"/>
        <v>302716.63341176481</v>
      </c>
      <c r="I130" s="21">
        <f t="shared" si="109"/>
        <v>241286.36611764706</v>
      </c>
      <c r="J130" s="21">
        <f t="shared" si="109"/>
        <v>236304.31623529416</v>
      </c>
      <c r="K130" s="21">
        <f t="shared" si="109"/>
        <v>235564.48376470592</v>
      </c>
      <c r="L130" s="21">
        <f t="shared" si="109"/>
        <v>264333.29788235301</v>
      </c>
      <c r="M130" s="21">
        <f t="shared" si="109"/>
        <v>351807.20188235299</v>
      </c>
      <c r="N130" s="21">
        <f t="shared" si="109"/>
        <v>312877.51058823528</v>
      </c>
      <c r="O130" s="21">
        <f t="shared" si="109"/>
        <v>322882.28611764713</v>
      </c>
      <c r="P130" s="21">
        <f>SUM(P123:P129)/(1-SUM(P95:P96))*SUM(P95:P96)</f>
        <v>261373.96800000005</v>
      </c>
      <c r="Q130" s="22">
        <f t="shared" ref="Q130:AA130" si="110">SUM(Q123:Q129)/(1-SUM(Q95:Q96))*SUM(Q95:Q96)</f>
        <v>234512.44800000006</v>
      </c>
      <c r="R130" s="22">
        <f t="shared" si="110"/>
        <v>296254.91858823533</v>
      </c>
      <c r="S130" s="22">
        <f t="shared" si="110"/>
        <v>347174.73035294126</v>
      </c>
      <c r="T130" s="22">
        <f t="shared" si="110"/>
        <v>297500.43105882354</v>
      </c>
      <c r="U130" s="22">
        <f t="shared" si="110"/>
        <v>278386.81411764707</v>
      </c>
      <c r="V130" s="22">
        <f t="shared" si="110"/>
        <v>285822.51388235291</v>
      </c>
      <c r="W130" s="22">
        <f t="shared" si="110"/>
        <v>283837.16894117655</v>
      </c>
      <c r="X130" s="22">
        <f t="shared" si="110"/>
        <v>302289.00423529418</v>
      </c>
      <c r="Y130" s="22">
        <f t="shared" si="110"/>
        <v>286833.87388235301</v>
      </c>
      <c r="Z130" s="22">
        <f t="shared" si="110"/>
        <v>336352.07152941183</v>
      </c>
      <c r="AA130" s="22">
        <f t="shared" si="110"/>
        <v>313617.34305882355</v>
      </c>
    </row>
    <row r="131" spans="1:32" ht="17.25" thickBot="1" x14ac:dyDescent="0.35">
      <c r="A131" s="166"/>
      <c r="B131" s="167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  <c r="AA131" s="45"/>
    </row>
    <row r="132" spans="1:32" ht="17.25" thickBot="1" x14ac:dyDescent="0.35">
      <c r="A132" s="166"/>
      <c r="B132" s="167"/>
      <c r="C132" s="134" t="s">
        <v>109</v>
      </c>
      <c r="D132" s="46">
        <f t="shared" ref="D132:O132" si="111">+SUM(D123:D130)</f>
        <v>982970.78823529417</v>
      </c>
      <c r="E132" s="46">
        <f t="shared" si="111"/>
        <v>839054.57647058822</v>
      </c>
      <c r="F132" s="46">
        <f t="shared" si="111"/>
        <v>878835.67941176496</v>
      </c>
      <c r="G132" s="46">
        <f t="shared" si="111"/>
        <v>949881.70588235301</v>
      </c>
      <c r="H132" s="46">
        <f t="shared" si="111"/>
        <v>945989.479411765</v>
      </c>
      <c r="I132" s="46">
        <f t="shared" si="111"/>
        <v>754019.89411764697</v>
      </c>
      <c r="J132" s="46">
        <f t="shared" si="111"/>
        <v>738450.98823529412</v>
      </c>
      <c r="K132" s="46">
        <f t="shared" si="111"/>
        <v>736139.011764706</v>
      </c>
      <c r="L132" s="46">
        <f t="shared" si="111"/>
        <v>826041.5558823531</v>
      </c>
      <c r="M132" s="46">
        <f t="shared" si="111"/>
        <v>1099397.5058823531</v>
      </c>
      <c r="N132" s="46">
        <f t="shared" si="111"/>
        <v>977742.22058823518</v>
      </c>
      <c r="O132" s="46">
        <f t="shared" si="111"/>
        <v>1009007.1441176471</v>
      </c>
      <c r="P132" s="46">
        <f>+SUM(P123:P130)</f>
        <v>816793.65000000014</v>
      </c>
      <c r="Q132" s="46">
        <f t="shared" ref="Q132:AA132" si="112">+SUM(Q123:Q130)</f>
        <v>732851.40000000014</v>
      </c>
      <c r="R132" s="46">
        <f t="shared" si="112"/>
        <v>925796.62058823532</v>
      </c>
      <c r="S132" s="46">
        <f t="shared" si="112"/>
        <v>1084921.0323529413</v>
      </c>
      <c r="T132" s="46">
        <f t="shared" si="112"/>
        <v>929688.84705882357</v>
      </c>
      <c r="U132" s="46">
        <f t="shared" si="112"/>
        <v>869958.79411764699</v>
      </c>
      <c r="V132" s="46">
        <f t="shared" si="112"/>
        <v>893195.35588235292</v>
      </c>
      <c r="W132" s="46">
        <f t="shared" si="112"/>
        <v>886991.15294117667</v>
      </c>
      <c r="X132" s="46">
        <f t="shared" si="112"/>
        <v>944653.13823529426</v>
      </c>
      <c r="Y132" s="46">
        <f t="shared" si="112"/>
        <v>896355.85588235315</v>
      </c>
      <c r="Z132" s="46">
        <f t="shared" si="112"/>
        <v>1051100.2235294119</v>
      </c>
      <c r="AA132" s="46">
        <f t="shared" si="112"/>
        <v>980054.19705882366</v>
      </c>
      <c r="AC132" s="47">
        <f>SUM(D132:AA132)</f>
        <v>21749890.817647059</v>
      </c>
    </row>
    <row r="133" spans="1:32" ht="17.25" thickBot="1" x14ac:dyDescent="0.35">
      <c r="A133" s="166"/>
      <c r="B133" s="167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  <c r="AA133" s="41"/>
    </row>
    <row r="134" spans="1:32" ht="17.25" thickBot="1" x14ac:dyDescent="0.35">
      <c r="A134" s="166"/>
      <c r="B134" s="167"/>
      <c r="C134" s="134" t="s">
        <v>111</v>
      </c>
      <c r="D134" s="46">
        <f t="shared" ref="D134:O134" si="113">D132-D120</f>
        <v>172302.63440451259</v>
      </c>
      <c r="E134" s="46">
        <f t="shared" si="113"/>
        <v>152972.07907010475</v>
      </c>
      <c r="F134" s="46">
        <f t="shared" si="113"/>
        <v>162687.0301643837</v>
      </c>
      <c r="G134" s="46">
        <f t="shared" si="113"/>
        <v>175991.43247058825</v>
      </c>
      <c r="H134" s="46">
        <f t="shared" si="113"/>
        <v>183500.23162771983</v>
      </c>
      <c r="I134" s="46">
        <f t="shared" si="113"/>
        <v>155376.9247155519</v>
      </c>
      <c r="J134" s="46">
        <f t="shared" si="113"/>
        <v>185412.1213440774</v>
      </c>
      <c r="K134" s="46">
        <f t="shared" si="113"/>
        <v>178594.97182433528</v>
      </c>
      <c r="L134" s="46">
        <f t="shared" si="113"/>
        <v>196872.12461724435</v>
      </c>
      <c r="M134" s="46">
        <f t="shared" si="113"/>
        <v>237147.08443996776</v>
      </c>
      <c r="N134" s="46">
        <f t="shared" si="113"/>
        <v>201185.08163738903</v>
      </c>
      <c r="O134" s="46">
        <f t="shared" si="113"/>
        <v>204774.53284931497</v>
      </c>
      <c r="P134" s="46">
        <f>P132-P120</f>
        <v>169603.52653827576</v>
      </c>
      <c r="Q134" s="46">
        <f t="shared" ref="Q134:AA134" si="114">Q132-Q120</f>
        <v>143587.02470910572</v>
      </c>
      <c r="R134" s="46">
        <f t="shared" si="114"/>
        <v>199901.12921676063</v>
      </c>
      <c r="S134" s="46">
        <f t="shared" si="114"/>
        <v>238760.93359387596</v>
      </c>
      <c r="T134" s="46">
        <f t="shared" si="114"/>
        <v>192392.3300596294</v>
      </c>
      <c r="U134" s="46">
        <f t="shared" si="114"/>
        <v>206125.97595326335</v>
      </c>
      <c r="V134" s="46">
        <f t="shared" si="114"/>
        <v>217685.32608058013</v>
      </c>
      <c r="W134" s="46">
        <f t="shared" si="114"/>
        <v>218376.97571796947</v>
      </c>
      <c r="X134" s="46">
        <f t="shared" si="114"/>
        <v>204873.87970346503</v>
      </c>
      <c r="Y134" s="46">
        <f t="shared" si="114"/>
        <v>189033.42872683343</v>
      </c>
      <c r="Z134" s="46">
        <f t="shared" si="114"/>
        <v>221306.63346333615</v>
      </c>
      <c r="AA134" s="46">
        <f t="shared" si="114"/>
        <v>208002.23115713149</v>
      </c>
      <c r="AC134" s="47">
        <f>AC132-AC120</f>
        <v>4616465.6440854147</v>
      </c>
    </row>
    <row r="135" spans="1:32" ht="17.25" thickBot="1" x14ac:dyDescent="0.35">
      <c r="A135" s="168"/>
      <c r="B135" s="169"/>
      <c r="C135" s="134" t="s">
        <v>112</v>
      </c>
      <c r="D135" s="105">
        <f t="shared" ref="D135:O135" si="115">D134/D132</f>
        <v>0.17528764482802558</v>
      </c>
      <c r="E135" s="105">
        <f t="shared" si="115"/>
        <v>0.18231481402982008</v>
      </c>
      <c r="F135" s="105">
        <f t="shared" si="115"/>
        <v>0.18511655133673652</v>
      </c>
      <c r="G135" s="105">
        <f t="shared" si="115"/>
        <v>0.1852772101838811</v>
      </c>
      <c r="H135" s="105">
        <f t="shared" si="115"/>
        <v>0.19397703211437817</v>
      </c>
      <c r="I135" s="105">
        <f t="shared" si="115"/>
        <v>0.20606475495898388</v>
      </c>
      <c r="J135" s="105">
        <f t="shared" si="115"/>
        <v>0.25108250147672517</v>
      </c>
      <c r="K135" s="105">
        <f t="shared" si="115"/>
        <v>0.24261038875823096</v>
      </c>
      <c r="L135" s="105">
        <f t="shared" si="115"/>
        <v>0.23833198610323106</v>
      </c>
      <c r="M135" s="105">
        <f t="shared" si="115"/>
        <v>0.21570640570958777</v>
      </c>
      <c r="N135" s="105">
        <f t="shared" si="115"/>
        <v>0.20576495256219052</v>
      </c>
      <c r="O135" s="105">
        <f t="shared" si="115"/>
        <v>0.20294656390008564</v>
      </c>
      <c r="P135" s="105">
        <f>P134/P132</f>
        <v>0.20764550084133948</v>
      </c>
      <c r="Q135" s="105">
        <f>Q134/Q132</f>
        <v>0.19592924938003214</v>
      </c>
      <c r="R135" s="105">
        <f t="shared" ref="R135:AA135" si="116">R134/R132</f>
        <v>0.21592337320236368</v>
      </c>
      <c r="S135" s="105">
        <f t="shared" si="116"/>
        <v>0.22007217712063248</v>
      </c>
      <c r="T135" s="105">
        <f t="shared" si="116"/>
        <v>0.20694271063731098</v>
      </c>
      <c r="U135" s="105">
        <f t="shared" si="116"/>
        <v>0.23693763123841513</v>
      </c>
      <c r="V135" s="105">
        <f t="shared" si="116"/>
        <v>0.24371524621905055</v>
      </c>
      <c r="W135" s="105">
        <f t="shared" si="116"/>
        <v>0.24619972250439318</v>
      </c>
      <c r="X135" s="105">
        <f t="shared" si="116"/>
        <v>0.21687736102395189</v>
      </c>
      <c r="Y135" s="105">
        <f t="shared" si="116"/>
        <v>0.21089105123405821</v>
      </c>
      <c r="Z135" s="105">
        <f t="shared" si="116"/>
        <v>0.21054760384335847</v>
      </c>
      <c r="AA135" s="105">
        <f t="shared" si="116"/>
        <v>0.21223543736800815</v>
      </c>
      <c r="AC135" s="106">
        <f>AC134/AC132</f>
        <v>0.21225235946195117</v>
      </c>
    </row>
    <row r="136" spans="1:32" x14ac:dyDescent="0.3"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"/>
    </row>
    <row r="137" spans="1:32" ht="17.25" thickBot="1" x14ac:dyDescent="0.35"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"/>
    </row>
    <row r="138" spans="1:32" ht="45.75" x14ac:dyDescent="0.3">
      <c r="A138" s="164" t="s">
        <v>128</v>
      </c>
      <c r="B138" s="165"/>
      <c r="C138" s="170" t="s">
        <v>100</v>
      </c>
      <c r="D138" s="170"/>
      <c r="E138" s="170"/>
      <c r="F138" s="170"/>
      <c r="G138" s="170"/>
      <c r="H138" s="170"/>
      <c r="I138" s="170"/>
      <c r="J138" s="170"/>
      <c r="K138" s="170"/>
      <c r="L138" s="170"/>
      <c r="M138" s="170"/>
      <c r="N138" s="170"/>
      <c r="O138" s="170"/>
      <c r="P138" s="170"/>
      <c r="Q138" s="170"/>
      <c r="R138" s="170"/>
      <c r="S138" s="170"/>
      <c r="T138" s="170"/>
      <c r="U138" s="170"/>
      <c r="V138" s="170"/>
      <c r="W138" s="170"/>
      <c r="X138" s="170"/>
      <c r="Y138" s="170"/>
      <c r="Z138" s="170"/>
      <c r="AA138" s="171"/>
      <c r="AC138" s="5"/>
    </row>
    <row r="139" spans="1:32" x14ac:dyDescent="0.3">
      <c r="A139" s="166"/>
      <c r="B139" s="167"/>
      <c r="C139" s="128" t="s">
        <v>3</v>
      </c>
      <c r="D139" s="7">
        <v>43101</v>
      </c>
      <c r="E139" s="7">
        <v>43133</v>
      </c>
      <c r="F139" s="7">
        <v>43165</v>
      </c>
      <c r="G139" s="7">
        <v>43197</v>
      </c>
      <c r="H139" s="7">
        <v>43229</v>
      </c>
      <c r="I139" s="7">
        <v>43261</v>
      </c>
      <c r="J139" s="7">
        <v>43293</v>
      </c>
      <c r="K139" s="7">
        <v>43325</v>
      </c>
      <c r="L139" s="7">
        <v>43357</v>
      </c>
      <c r="M139" s="7">
        <v>43389</v>
      </c>
      <c r="N139" s="7">
        <v>43421</v>
      </c>
      <c r="O139" s="7">
        <v>43453</v>
      </c>
      <c r="P139" s="7">
        <v>43485</v>
      </c>
      <c r="Q139" s="7">
        <v>43517</v>
      </c>
      <c r="R139" s="7">
        <v>43549</v>
      </c>
      <c r="S139" s="7">
        <v>43581</v>
      </c>
      <c r="T139" s="7">
        <v>43613</v>
      </c>
      <c r="U139" s="7">
        <v>43645</v>
      </c>
      <c r="V139" s="7">
        <v>43677</v>
      </c>
      <c r="W139" s="7">
        <v>43709</v>
      </c>
      <c r="X139" s="7">
        <v>43741</v>
      </c>
      <c r="Y139" s="7">
        <v>43773</v>
      </c>
      <c r="Z139" s="7">
        <v>43805</v>
      </c>
      <c r="AA139" s="7">
        <v>43806</v>
      </c>
    </row>
    <row r="140" spans="1:32" x14ac:dyDescent="0.3">
      <c r="A140" s="166"/>
      <c r="B140" s="167"/>
      <c r="C140" s="128" t="s">
        <v>4</v>
      </c>
      <c r="D140" s="6">
        <v>744</v>
      </c>
      <c r="E140" s="6">
        <v>696</v>
      </c>
      <c r="F140" s="6">
        <v>744</v>
      </c>
      <c r="G140" s="6">
        <v>720</v>
      </c>
      <c r="H140" s="6">
        <v>744</v>
      </c>
      <c r="I140" s="6">
        <v>720</v>
      </c>
      <c r="J140" s="6">
        <v>744</v>
      </c>
      <c r="K140" s="6">
        <v>744</v>
      </c>
      <c r="L140" s="6">
        <v>720</v>
      </c>
      <c r="M140" s="6">
        <v>744</v>
      </c>
      <c r="N140" s="6">
        <v>720</v>
      </c>
      <c r="O140" s="6">
        <v>744</v>
      </c>
      <c r="P140" s="6">
        <v>744</v>
      </c>
      <c r="Q140" s="6">
        <v>672</v>
      </c>
      <c r="R140" s="6">
        <v>744</v>
      </c>
      <c r="S140" s="6">
        <v>720</v>
      </c>
      <c r="T140" s="6">
        <v>744</v>
      </c>
      <c r="U140" s="6">
        <v>720</v>
      </c>
      <c r="V140" s="6">
        <v>744</v>
      </c>
      <c r="W140" s="6">
        <v>744</v>
      </c>
      <c r="X140" s="6">
        <v>720</v>
      </c>
      <c r="Y140" s="6">
        <v>744</v>
      </c>
      <c r="Z140" s="6">
        <v>720</v>
      </c>
      <c r="AA140" s="6">
        <v>744</v>
      </c>
    </row>
    <row r="141" spans="1:32" x14ac:dyDescent="0.3">
      <c r="A141" s="166"/>
      <c r="B141" s="167"/>
      <c r="C141" s="107"/>
      <c r="D141" s="107"/>
      <c r="E141" s="107"/>
      <c r="F141" s="107"/>
      <c r="G141" s="107"/>
      <c r="H141" s="107"/>
      <c r="I141" s="107"/>
      <c r="J141" s="107"/>
      <c r="K141" s="107"/>
      <c r="L141" s="107"/>
      <c r="M141" s="107"/>
      <c r="N141" s="107"/>
      <c r="O141" s="107"/>
      <c r="P141" s="107"/>
      <c r="Q141" s="107"/>
      <c r="R141" s="107"/>
      <c r="S141" s="107"/>
      <c r="T141" s="107"/>
      <c r="U141" s="107"/>
      <c r="V141" s="107"/>
      <c r="W141" s="107"/>
      <c r="X141" s="107"/>
      <c r="Y141" s="107"/>
      <c r="Z141" s="107"/>
      <c r="AA141" s="139"/>
      <c r="AB141" s="150"/>
      <c r="AC141" s="150"/>
      <c r="AD141" s="150"/>
      <c r="AE141" s="150"/>
      <c r="AF141" s="150"/>
    </row>
    <row r="142" spans="1:32" x14ac:dyDescent="0.3">
      <c r="A142" s="166"/>
      <c r="B142" s="167"/>
      <c r="C142" s="129" t="s">
        <v>5</v>
      </c>
      <c r="D142" s="115">
        <v>2352</v>
      </c>
      <c r="E142" s="115">
        <v>2352</v>
      </c>
      <c r="F142" s="115">
        <v>2436</v>
      </c>
      <c r="G142" s="115">
        <v>2436</v>
      </c>
      <c r="H142" s="115">
        <v>2646</v>
      </c>
      <c r="I142" s="115">
        <v>1890</v>
      </c>
      <c r="J142" s="115">
        <v>2142</v>
      </c>
      <c r="K142" s="115">
        <v>2226</v>
      </c>
      <c r="L142" s="115">
        <v>2814</v>
      </c>
      <c r="M142" s="115">
        <v>3150</v>
      </c>
      <c r="N142" s="115">
        <v>3066</v>
      </c>
      <c r="O142" s="115">
        <v>2730</v>
      </c>
      <c r="P142" s="111">
        <v>2520</v>
      </c>
      <c r="Q142" s="111">
        <v>2352</v>
      </c>
      <c r="R142" s="111">
        <v>2982</v>
      </c>
      <c r="S142" s="111">
        <v>2982</v>
      </c>
      <c r="T142" s="111">
        <v>2394</v>
      </c>
      <c r="U142" s="111">
        <v>2772</v>
      </c>
      <c r="V142" s="111">
        <v>2604</v>
      </c>
      <c r="W142" s="111">
        <v>2394</v>
      </c>
      <c r="X142" s="111">
        <v>2772</v>
      </c>
      <c r="Y142" s="111">
        <v>2688</v>
      </c>
      <c r="Z142" s="111">
        <v>2772</v>
      </c>
      <c r="AA142" s="140">
        <v>2772</v>
      </c>
      <c r="AB142" s="150"/>
      <c r="AC142" s="150" t="s">
        <v>92</v>
      </c>
      <c r="AD142" s="151" t="s">
        <v>96</v>
      </c>
      <c r="AE142" s="150" t="s">
        <v>97</v>
      </c>
      <c r="AF142" s="152" t="s">
        <v>108</v>
      </c>
    </row>
    <row r="143" spans="1:32" x14ac:dyDescent="0.3">
      <c r="A143" s="166"/>
      <c r="B143" s="167"/>
      <c r="C143" s="129" t="s">
        <v>41</v>
      </c>
      <c r="D143" s="115">
        <v>4578</v>
      </c>
      <c r="E143" s="115">
        <v>4536</v>
      </c>
      <c r="F143" s="115">
        <v>4662</v>
      </c>
      <c r="G143" s="115">
        <v>4326</v>
      </c>
      <c r="H143" s="115">
        <v>4452</v>
      </c>
      <c r="I143" s="115">
        <v>3864</v>
      </c>
      <c r="J143" s="115">
        <v>3108</v>
      </c>
      <c r="K143" s="115">
        <v>3318</v>
      </c>
      <c r="L143" s="115">
        <v>4242</v>
      </c>
      <c r="M143" s="115">
        <v>4662</v>
      </c>
      <c r="N143" s="115">
        <v>4578</v>
      </c>
      <c r="O143" s="115">
        <v>4872</v>
      </c>
      <c r="P143" s="111">
        <v>4536</v>
      </c>
      <c r="Q143" s="111">
        <v>4284</v>
      </c>
      <c r="R143" s="111">
        <v>4746</v>
      </c>
      <c r="S143" s="111">
        <v>4452</v>
      </c>
      <c r="T143" s="111">
        <v>3990</v>
      </c>
      <c r="U143" s="111">
        <v>4116</v>
      </c>
      <c r="V143" s="111">
        <v>3864</v>
      </c>
      <c r="W143" s="111">
        <v>3696</v>
      </c>
      <c r="X143" s="111">
        <v>4326</v>
      </c>
      <c r="Y143" s="111">
        <v>4620</v>
      </c>
      <c r="Z143" s="111">
        <v>4788</v>
      </c>
      <c r="AA143" s="140">
        <v>4704</v>
      </c>
      <c r="AB143" s="150"/>
      <c r="AC143" s="150" t="s">
        <v>93</v>
      </c>
      <c r="AD143" s="153">
        <v>0</v>
      </c>
      <c r="AE143" s="151">
        <v>175</v>
      </c>
      <c r="AF143" s="152">
        <v>13.43</v>
      </c>
    </row>
    <row r="144" spans="1:32" x14ac:dyDescent="0.3">
      <c r="A144" s="166"/>
      <c r="B144" s="167"/>
      <c r="C144" s="129" t="s">
        <v>6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41">
        <v>0</v>
      </c>
      <c r="AB144" s="150"/>
      <c r="AC144" s="150" t="s">
        <v>94</v>
      </c>
      <c r="AD144" s="153">
        <v>0.5</v>
      </c>
      <c r="AE144" s="151">
        <v>220</v>
      </c>
      <c r="AF144" s="152">
        <v>41.69</v>
      </c>
    </row>
    <row r="145" spans="1:32" x14ac:dyDescent="0.3">
      <c r="A145" s="166"/>
      <c r="B145" s="167"/>
      <c r="C145" s="129" t="s">
        <v>7</v>
      </c>
      <c r="D145" s="116">
        <v>5000</v>
      </c>
      <c r="E145" s="116">
        <v>5000</v>
      </c>
      <c r="F145" s="116">
        <v>5000</v>
      </c>
      <c r="G145" s="116">
        <v>5000</v>
      </c>
      <c r="H145" s="116">
        <v>5000</v>
      </c>
      <c r="I145" s="116">
        <v>5000</v>
      </c>
      <c r="J145" s="116">
        <v>5000</v>
      </c>
      <c r="K145" s="116">
        <v>5000</v>
      </c>
      <c r="L145" s="116">
        <v>5000</v>
      </c>
      <c r="M145" s="116">
        <v>5000</v>
      </c>
      <c r="N145" s="116">
        <v>5000</v>
      </c>
      <c r="O145" s="116">
        <v>5000</v>
      </c>
      <c r="P145" s="112">
        <v>5000</v>
      </c>
      <c r="Q145" s="112">
        <v>5000</v>
      </c>
      <c r="R145" s="112">
        <v>5000</v>
      </c>
      <c r="S145" s="112">
        <v>5000</v>
      </c>
      <c r="T145" s="112">
        <v>5000</v>
      </c>
      <c r="U145" s="112">
        <v>5000</v>
      </c>
      <c r="V145" s="112">
        <v>5000</v>
      </c>
      <c r="W145" s="112">
        <v>5000</v>
      </c>
      <c r="X145" s="112">
        <v>5000</v>
      </c>
      <c r="Y145" s="112">
        <v>5000</v>
      </c>
      <c r="Z145" s="112">
        <v>5000</v>
      </c>
      <c r="AA145" s="142">
        <v>5000</v>
      </c>
      <c r="AB145" s="150"/>
      <c r="AC145" s="150" t="s">
        <v>95</v>
      </c>
      <c r="AD145" s="153">
        <v>1</v>
      </c>
      <c r="AE145" s="151">
        <v>310</v>
      </c>
      <c r="AF145" s="152">
        <v>62.43</v>
      </c>
    </row>
    <row r="146" spans="1:32" x14ac:dyDescent="0.3">
      <c r="A146" s="166"/>
      <c r="B146" s="167"/>
      <c r="C146" s="129" t="s">
        <v>8</v>
      </c>
      <c r="D146" s="16">
        <f t="shared" ref="D146:AA146" si="117">IF(D155="Verde",0,IF(D142&gt;D144*1.05,D142-D144,0))</f>
        <v>0</v>
      </c>
      <c r="E146" s="16">
        <f t="shared" si="117"/>
        <v>0</v>
      </c>
      <c r="F146" s="16">
        <f t="shared" si="117"/>
        <v>0</v>
      </c>
      <c r="G146" s="16">
        <f t="shared" si="117"/>
        <v>0</v>
      </c>
      <c r="H146" s="16">
        <f t="shared" si="117"/>
        <v>0</v>
      </c>
      <c r="I146" s="16">
        <f t="shared" si="117"/>
        <v>0</v>
      </c>
      <c r="J146" s="16">
        <f t="shared" si="117"/>
        <v>0</v>
      </c>
      <c r="K146" s="16">
        <f t="shared" si="117"/>
        <v>0</v>
      </c>
      <c r="L146" s="16">
        <f t="shared" si="117"/>
        <v>0</v>
      </c>
      <c r="M146" s="16">
        <f t="shared" si="117"/>
        <v>0</v>
      </c>
      <c r="N146" s="16">
        <f t="shared" si="117"/>
        <v>0</v>
      </c>
      <c r="O146" s="16">
        <f t="shared" si="117"/>
        <v>0</v>
      </c>
      <c r="P146" s="16">
        <f t="shared" si="117"/>
        <v>0</v>
      </c>
      <c r="Q146" s="16">
        <f t="shared" si="117"/>
        <v>0</v>
      </c>
      <c r="R146" s="16">
        <f t="shared" si="117"/>
        <v>0</v>
      </c>
      <c r="S146" s="16">
        <f t="shared" si="117"/>
        <v>0</v>
      </c>
      <c r="T146" s="16">
        <f t="shared" si="117"/>
        <v>0</v>
      </c>
      <c r="U146" s="16">
        <f t="shared" si="117"/>
        <v>0</v>
      </c>
      <c r="V146" s="16">
        <f t="shared" si="117"/>
        <v>0</v>
      </c>
      <c r="W146" s="16">
        <f t="shared" si="117"/>
        <v>0</v>
      </c>
      <c r="X146" s="16">
        <f t="shared" si="117"/>
        <v>0</v>
      </c>
      <c r="Y146" s="16">
        <f t="shared" si="117"/>
        <v>0</v>
      </c>
      <c r="Z146" s="16">
        <f t="shared" si="117"/>
        <v>0</v>
      </c>
      <c r="AA146" s="143">
        <f t="shared" si="117"/>
        <v>0</v>
      </c>
      <c r="AB146" s="150"/>
      <c r="AC146" s="150"/>
      <c r="AD146" s="150"/>
      <c r="AE146" s="150"/>
      <c r="AF146" s="150"/>
    </row>
    <row r="147" spans="1:32" x14ac:dyDescent="0.3">
      <c r="A147" s="166"/>
      <c r="B147" s="167"/>
      <c r="C147" s="129" t="s">
        <v>9</v>
      </c>
      <c r="D147" s="18">
        <f t="shared" ref="D147:AA147" si="118">IF(D143&gt;D145*1.05,D143-D145,0)</f>
        <v>0</v>
      </c>
      <c r="E147" s="18">
        <f t="shared" si="118"/>
        <v>0</v>
      </c>
      <c r="F147" s="18">
        <f t="shared" si="118"/>
        <v>0</v>
      </c>
      <c r="G147" s="18">
        <f t="shared" si="118"/>
        <v>0</v>
      </c>
      <c r="H147" s="18">
        <f t="shared" si="118"/>
        <v>0</v>
      </c>
      <c r="I147" s="18">
        <f t="shared" si="118"/>
        <v>0</v>
      </c>
      <c r="J147" s="18">
        <f t="shared" si="118"/>
        <v>0</v>
      </c>
      <c r="K147" s="18">
        <f t="shared" si="118"/>
        <v>0</v>
      </c>
      <c r="L147" s="18">
        <f t="shared" si="118"/>
        <v>0</v>
      </c>
      <c r="M147" s="18">
        <f t="shared" si="118"/>
        <v>0</v>
      </c>
      <c r="N147" s="18">
        <f t="shared" si="118"/>
        <v>0</v>
      </c>
      <c r="O147" s="18">
        <f t="shared" si="118"/>
        <v>0</v>
      </c>
      <c r="P147" s="18">
        <f t="shared" si="118"/>
        <v>0</v>
      </c>
      <c r="Q147" s="18">
        <f t="shared" si="118"/>
        <v>0</v>
      </c>
      <c r="R147" s="18">
        <f t="shared" si="118"/>
        <v>0</v>
      </c>
      <c r="S147" s="18">
        <f t="shared" si="118"/>
        <v>0</v>
      </c>
      <c r="T147" s="18">
        <f t="shared" si="118"/>
        <v>0</v>
      </c>
      <c r="U147" s="18">
        <f t="shared" si="118"/>
        <v>0</v>
      </c>
      <c r="V147" s="18">
        <f t="shared" si="118"/>
        <v>0</v>
      </c>
      <c r="W147" s="18">
        <f t="shared" si="118"/>
        <v>0</v>
      </c>
      <c r="X147" s="18">
        <f t="shared" si="118"/>
        <v>0</v>
      </c>
      <c r="Y147" s="18">
        <f t="shared" si="118"/>
        <v>0</v>
      </c>
      <c r="Z147" s="18">
        <f t="shared" si="118"/>
        <v>0</v>
      </c>
      <c r="AA147" s="144">
        <f t="shared" si="118"/>
        <v>0</v>
      </c>
      <c r="AB147" s="150" t="s">
        <v>43</v>
      </c>
      <c r="AC147" s="150"/>
      <c r="AD147" s="150"/>
      <c r="AE147" s="150"/>
      <c r="AF147" s="150"/>
    </row>
    <row r="148" spans="1:32" x14ac:dyDescent="0.3">
      <c r="A148" s="166"/>
      <c r="B148" s="167"/>
      <c r="C148" s="129" t="s">
        <v>10</v>
      </c>
      <c r="D148" s="117">
        <v>100.8</v>
      </c>
      <c r="E148" s="117">
        <v>79.8</v>
      </c>
      <c r="F148" s="117">
        <v>88.2</v>
      </c>
      <c r="G148" s="117">
        <v>100.8</v>
      </c>
      <c r="H148" s="117">
        <v>105</v>
      </c>
      <c r="I148" s="117">
        <v>75.599999999999994</v>
      </c>
      <c r="J148" s="117">
        <v>92.4</v>
      </c>
      <c r="K148" s="117">
        <v>88.2</v>
      </c>
      <c r="L148" s="117">
        <v>105</v>
      </c>
      <c r="M148" s="117">
        <v>147</v>
      </c>
      <c r="N148" s="117">
        <v>117.6</v>
      </c>
      <c r="O148" s="117">
        <v>121.8</v>
      </c>
      <c r="P148" s="117">
        <v>88.2</v>
      </c>
      <c r="Q148" s="117">
        <v>67.2</v>
      </c>
      <c r="R148" s="117">
        <v>113.4</v>
      </c>
      <c r="S148" s="117">
        <v>147</v>
      </c>
      <c r="T148" s="117">
        <v>109.2</v>
      </c>
      <c r="U148" s="117">
        <v>113.4</v>
      </c>
      <c r="V148" s="117">
        <v>121.8</v>
      </c>
      <c r="W148" s="117">
        <v>121.8</v>
      </c>
      <c r="X148" s="117">
        <v>117.6</v>
      </c>
      <c r="Y148" s="117">
        <v>105</v>
      </c>
      <c r="Z148" s="117">
        <v>134.4</v>
      </c>
      <c r="AA148" s="145">
        <v>121.8</v>
      </c>
      <c r="AB148" s="150"/>
      <c r="AC148" s="150"/>
      <c r="AD148" s="150"/>
      <c r="AE148" s="150"/>
      <c r="AF148" s="150"/>
    </row>
    <row r="149" spans="1:32" x14ac:dyDescent="0.3">
      <c r="A149" s="166"/>
      <c r="B149" s="167"/>
      <c r="C149" s="129" t="s">
        <v>11</v>
      </c>
      <c r="D149" s="117">
        <v>1192.8</v>
      </c>
      <c r="E149" s="117">
        <v>1008</v>
      </c>
      <c r="F149" s="117">
        <v>1045.8</v>
      </c>
      <c r="G149" s="117">
        <v>1125.5999999999999</v>
      </c>
      <c r="H149" s="117">
        <v>1096.2</v>
      </c>
      <c r="I149" s="117">
        <v>856.8</v>
      </c>
      <c r="J149" s="117">
        <v>739.2</v>
      </c>
      <c r="K149" s="117">
        <v>756</v>
      </c>
      <c r="L149" s="117">
        <v>852.6</v>
      </c>
      <c r="M149" s="117">
        <v>1192.8</v>
      </c>
      <c r="N149" s="117">
        <v>1096.2</v>
      </c>
      <c r="O149" s="117">
        <v>1138.2</v>
      </c>
      <c r="P149" s="117">
        <v>919.8</v>
      </c>
      <c r="Q149" s="117">
        <v>856.8</v>
      </c>
      <c r="R149" s="117">
        <v>1012.2</v>
      </c>
      <c r="S149" s="117">
        <v>1163.4000000000001</v>
      </c>
      <c r="T149" s="117">
        <v>1041.5999999999999</v>
      </c>
      <c r="U149" s="117">
        <v>898.8</v>
      </c>
      <c r="V149" s="117">
        <v>903</v>
      </c>
      <c r="W149" s="117">
        <v>890.4</v>
      </c>
      <c r="X149" s="117">
        <v>1029</v>
      </c>
      <c r="Y149" s="117">
        <v>995.4</v>
      </c>
      <c r="Z149" s="117">
        <v>1159.2</v>
      </c>
      <c r="AA149" s="145">
        <v>1079.4000000000001</v>
      </c>
      <c r="AB149" s="150"/>
      <c r="AC149" s="150" t="s">
        <v>45</v>
      </c>
      <c r="AD149" s="150">
        <f>SUM(P148:AA149)/SUM(P140:AA140)</f>
        <v>1.5193835616438358</v>
      </c>
      <c r="AE149" s="150"/>
      <c r="AF149" s="150">
        <v>145</v>
      </c>
    </row>
    <row r="150" spans="1:32" x14ac:dyDescent="0.3">
      <c r="A150" s="166"/>
      <c r="B150" s="167"/>
      <c r="C150" s="129" t="s">
        <v>0</v>
      </c>
      <c r="D150" s="19" t="s">
        <v>44</v>
      </c>
      <c r="E150" s="20" t="s">
        <v>44</v>
      </c>
      <c r="F150" s="20" t="s">
        <v>44</v>
      </c>
      <c r="G150" s="20" t="s">
        <v>44</v>
      </c>
      <c r="H150" s="20" t="s">
        <v>44</v>
      </c>
      <c r="I150" s="20" t="s">
        <v>44</v>
      </c>
      <c r="J150" s="19" t="s">
        <v>44</v>
      </c>
      <c r="K150" s="20" t="s">
        <v>44</v>
      </c>
      <c r="L150" s="20" t="s">
        <v>44</v>
      </c>
      <c r="M150" s="20" t="s">
        <v>44</v>
      </c>
      <c r="N150" s="20" t="s">
        <v>44</v>
      </c>
      <c r="O150" s="20" t="s">
        <v>44</v>
      </c>
      <c r="P150" s="20" t="s">
        <v>44</v>
      </c>
      <c r="Q150" s="20" t="s">
        <v>44</v>
      </c>
      <c r="R150" s="20" t="s">
        <v>44</v>
      </c>
      <c r="S150" s="20" t="s">
        <v>44</v>
      </c>
      <c r="T150" s="20" t="s">
        <v>44</v>
      </c>
      <c r="U150" s="20" t="s">
        <v>44</v>
      </c>
      <c r="V150" s="20" t="s">
        <v>44</v>
      </c>
      <c r="W150" s="20" t="s">
        <v>44</v>
      </c>
      <c r="X150" s="20" t="s">
        <v>44</v>
      </c>
      <c r="Y150" s="20" t="s">
        <v>44</v>
      </c>
      <c r="Z150" s="20" t="s">
        <v>44</v>
      </c>
      <c r="AA150" s="146" t="s">
        <v>44</v>
      </c>
      <c r="AB150" s="150"/>
      <c r="AC150" s="150" t="s">
        <v>91</v>
      </c>
      <c r="AD150" s="138">
        <f>SUM(P148:AA148)/SUM(P148:AA149)</f>
        <v>0.10224045440201955</v>
      </c>
      <c r="AE150" s="150"/>
      <c r="AF150" s="150">
        <v>17.64</v>
      </c>
    </row>
    <row r="151" spans="1:32" x14ac:dyDescent="0.3">
      <c r="A151" s="166"/>
      <c r="B151" s="167"/>
      <c r="C151" s="107"/>
      <c r="D151" s="107"/>
      <c r="E151" s="107"/>
      <c r="F151" s="107"/>
      <c r="G151" s="107"/>
      <c r="H151" s="107"/>
      <c r="I151" s="107"/>
      <c r="J151" s="107"/>
      <c r="K151" s="107"/>
      <c r="L151" s="107"/>
      <c r="M151" s="107"/>
      <c r="N151" s="107"/>
      <c r="O151" s="107"/>
      <c r="P151" s="107"/>
      <c r="Q151" s="107"/>
      <c r="R151" s="107"/>
      <c r="S151" s="107"/>
      <c r="T151" s="107"/>
      <c r="U151" s="107"/>
      <c r="V151" s="107"/>
      <c r="W151" s="107"/>
      <c r="X151" s="107"/>
      <c r="Y151" s="107"/>
      <c r="Z151" s="107"/>
      <c r="AA151" s="107"/>
      <c r="AB151" s="150"/>
      <c r="AC151" s="150"/>
      <c r="AD151" s="150">
        <v>0.12392200974878137</v>
      </c>
      <c r="AE151" s="150"/>
      <c r="AF151" s="150">
        <f>AF149+AF150</f>
        <v>162.63999999999999</v>
      </c>
    </row>
    <row r="152" spans="1:32" x14ac:dyDescent="0.3">
      <c r="A152" s="166"/>
      <c r="B152" s="167"/>
      <c r="C152" s="129" t="s">
        <v>12</v>
      </c>
      <c r="D152" s="126">
        <f>'SIMULAÇÃO CENÁRIOS'!$D$6</f>
        <v>0</v>
      </c>
      <c r="E152" s="126">
        <f>'SIMULAÇÃO CENÁRIOS'!$D$6</f>
        <v>0</v>
      </c>
      <c r="F152" s="126">
        <f>'SIMULAÇÃO CENÁRIOS'!$D$6</f>
        <v>0</v>
      </c>
      <c r="G152" s="126">
        <f>'SIMULAÇÃO CENÁRIOS'!$D$6</f>
        <v>0</v>
      </c>
      <c r="H152" s="126">
        <f>'SIMULAÇÃO CENÁRIOS'!$D$6</f>
        <v>0</v>
      </c>
      <c r="I152" s="126">
        <f>'SIMULAÇÃO CENÁRIOS'!$D$6</f>
        <v>0</v>
      </c>
      <c r="J152" s="126">
        <f>'SIMULAÇÃO CENÁRIOS'!$D$6</f>
        <v>0</v>
      </c>
      <c r="K152" s="126">
        <f>'SIMULAÇÃO CENÁRIOS'!$D$6</f>
        <v>0</v>
      </c>
      <c r="L152" s="126">
        <f>'SIMULAÇÃO CENÁRIOS'!$D$6</f>
        <v>0</v>
      </c>
      <c r="M152" s="126">
        <f>'SIMULAÇÃO CENÁRIOS'!$D$6</f>
        <v>0</v>
      </c>
      <c r="N152" s="126">
        <f>'SIMULAÇÃO CENÁRIOS'!$D$6</f>
        <v>0</v>
      </c>
      <c r="O152" s="126">
        <f>'SIMULAÇÃO CENÁRIOS'!$D$6</f>
        <v>0</v>
      </c>
      <c r="P152" s="126">
        <f>'SIMULAÇÃO CENÁRIOS'!$D$6</f>
        <v>0</v>
      </c>
      <c r="Q152" s="126">
        <f>'SIMULAÇÃO CENÁRIOS'!$D$6</f>
        <v>0</v>
      </c>
      <c r="R152" s="126">
        <f>'SIMULAÇÃO CENÁRIOS'!$D$6</f>
        <v>0</v>
      </c>
      <c r="S152" s="126">
        <f>'SIMULAÇÃO CENÁRIOS'!$D$6</f>
        <v>0</v>
      </c>
      <c r="T152" s="126">
        <f>'SIMULAÇÃO CENÁRIOS'!$D$6</f>
        <v>0</v>
      </c>
      <c r="U152" s="126">
        <f>'SIMULAÇÃO CENÁRIOS'!$D$6</f>
        <v>0</v>
      </c>
      <c r="V152" s="126">
        <f>'SIMULAÇÃO CENÁRIOS'!$D$6</f>
        <v>0</v>
      </c>
      <c r="W152" s="126">
        <f>'SIMULAÇÃO CENÁRIOS'!$D$6</f>
        <v>0</v>
      </c>
      <c r="X152" s="126">
        <f>'SIMULAÇÃO CENÁRIOS'!$D$6</f>
        <v>0</v>
      </c>
      <c r="Y152" s="126">
        <f>'SIMULAÇÃO CENÁRIOS'!$D$6</f>
        <v>0</v>
      </c>
      <c r="Z152" s="126">
        <f>'SIMULAÇÃO CENÁRIOS'!$D$6</f>
        <v>0</v>
      </c>
      <c r="AA152" s="126">
        <f>'SIMULAÇÃO CENÁRIOS'!$D$6</f>
        <v>0</v>
      </c>
      <c r="AB152" s="150"/>
      <c r="AC152" s="150"/>
      <c r="AD152" s="150"/>
      <c r="AE152" s="150"/>
      <c r="AF152" s="150"/>
    </row>
    <row r="153" spans="1:32" x14ac:dyDescent="0.3">
      <c r="A153" s="166"/>
      <c r="B153" s="167"/>
      <c r="C153" s="107"/>
      <c r="D153" s="107"/>
      <c r="E153" s="107"/>
      <c r="F153" s="107"/>
      <c r="G153" s="107"/>
      <c r="H153" s="107"/>
      <c r="I153" s="107"/>
      <c r="J153" s="107"/>
      <c r="K153" s="107"/>
      <c r="L153" s="107"/>
      <c r="M153" s="107"/>
      <c r="N153" s="107"/>
      <c r="O153" s="107"/>
      <c r="P153" s="107"/>
      <c r="Q153" s="107"/>
      <c r="R153" s="107"/>
      <c r="S153" s="107"/>
      <c r="T153" s="107"/>
      <c r="U153" s="107"/>
      <c r="V153" s="107"/>
      <c r="W153" s="107"/>
      <c r="X153" s="107"/>
      <c r="Y153" s="107"/>
      <c r="Z153" s="107"/>
      <c r="AA153" s="107"/>
      <c r="AB153" s="150"/>
      <c r="AC153" s="150"/>
      <c r="AD153" s="150"/>
      <c r="AE153" s="150"/>
      <c r="AF153" s="150"/>
    </row>
    <row r="154" spans="1:32" x14ac:dyDescent="0.3">
      <c r="A154" s="166"/>
      <c r="B154" s="167"/>
      <c r="C154" s="129" t="s">
        <v>13</v>
      </c>
      <c r="D154" s="9" t="s">
        <v>1</v>
      </c>
      <c r="E154" s="10" t="s">
        <v>1</v>
      </c>
      <c r="F154" s="10" t="s">
        <v>1</v>
      </c>
      <c r="G154" s="10" t="s">
        <v>1</v>
      </c>
      <c r="H154" s="10" t="s">
        <v>1</v>
      </c>
      <c r="I154" s="10" t="s">
        <v>1</v>
      </c>
      <c r="J154" s="9" t="s">
        <v>1</v>
      </c>
      <c r="K154" s="10" t="s">
        <v>1</v>
      </c>
      <c r="L154" s="10" t="s">
        <v>1</v>
      </c>
      <c r="M154" s="10" t="s">
        <v>1</v>
      </c>
      <c r="N154" s="10" t="s">
        <v>1</v>
      </c>
      <c r="O154" s="10" t="s">
        <v>1</v>
      </c>
      <c r="P154" s="9" t="s">
        <v>1</v>
      </c>
      <c r="Q154" s="9" t="s">
        <v>1</v>
      </c>
      <c r="R154" s="9" t="s">
        <v>1</v>
      </c>
      <c r="S154" s="9" t="s">
        <v>1</v>
      </c>
      <c r="T154" s="9" t="s">
        <v>1</v>
      </c>
      <c r="U154" s="9" t="s">
        <v>1</v>
      </c>
      <c r="V154" s="9" t="s">
        <v>1</v>
      </c>
      <c r="W154" s="9" t="s">
        <v>1</v>
      </c>
      <c r="X154" s="9" t="s">
        <v>1</v>
      </c>
      <c r="Y154" s="9" t="s">
        <v>1</v>
      </c>
      <c r="Z154" s="9" t="s">
        <v>1</v>
      </c>
      <c r="AA154" s="147" t="s">
        <v>1</v>
      </c>
      <c r="AB154" s="150"/>
      <c r="AC154" s="150"/>
      <c r="AD154" s="150"/>
      <c r="AE154" s="150"/>
      <c r="AF154" s="154">
        <f>AF151*1000</f>
        <v>162640</v>
      </c>
    </row>
    <row r="155" spans="1:32" x14ac:dyDescent="0.3">
      <c r="A155" s="166"/>
      <c r="B155" s="167"/>
      <c r="C155" s="129" t="s">
        <v>14</v>
      </c>
      <c r="D155" s="11" t="s">
        <v>42</v>
      </c>
      <c r="E155" s="12" t="s">
        <v>42</v>
      </c>
      <c r="F155" s="12" t="s">
        <v>42</v>
      </c>
      <c r="G155" s="12" t="s">
        <v>42</v>
      </c>
      <c r="H155" s="12" t="s">
        <v>42</v>
      </c>
      <c r="I155" s="12" t="s">
        <v>42</v>
      </c>
      <c r="J155" s="11" t="s">
        <v>42</v>
      </c>
      <c r="K155" s="12" t="s">
        <v>42</v>
      </c>
      <c r="L155" s="12" t="s">
        <v>42</v>
      </c>
      <c r="M155" s="12" t="s">
        <v>42</v>
      </c>
      <c r="N155" s="12" t="s">
        <v>42</v>
      </c>
      <c r="O155" s="12" t="s">
        <v>42</v>
      </c>
      <c r="P155" s="12" t="s">
        <v>42</v>
      </c>
      <c r="Q155" s="12" t="s">
        <v>42</v>
      </c>
      <c r="R155" s="12" t="s">
        <v>42</v>
      </c>
      <c r="S155" s="12" t="s">
        <v>42</v>
      </c>
      <c r="T155" s="12" t="s">
        <v>42</v>
      </c>
      <c r="U155" s="12" t="s">
        <v>42</v>
      </c>
      <c r="V155" s="12" t="s">
        <v>42</v>
      </c>
      <c r="W155" s="12" t="s">
        <v>42</v>
      </c>
      <c r="X155" s="12" t="s">
        <v>42</v>
      </c>
      <c r="Y155" s="12" t="s">
        <v>42</v>
      </c>
      <c r="Z155" s="12" t="s">
        <v>42</v>
      </c>
      <c r="AA155" s="148" t="s">
        <v>42</v>
      </c>
      <c r="AB155" s="150"/>
      <c r="AC155" s="150"/>
      <c r="AD155" s="150"/>
      <c r="AE155" s="150"/>
      <c r="AF155" s="154">
        <f>AF154/100</f>
        <v>1626.4</v>
      </c>
    </row>
    <row r="156" spans="1:32" x14ac:dyDescent="0.3">
      <c r="A156" s="166"/>
      <c r="B156" s="167"/>
      <c r="C156" s="129" t="s">
        <v>15</v>
      </c>
      <c r="D156" s="13">
        <v>49.84</v>
      </c>
      <c r="E156" s="14">
        <v>49.84</v>
      </c>
      <c r="F156" s="14">
        <v>49.84</v>
      </c>
      <c r="G156" s="14">
        <v>49.84</v>
      </c>
      <c r="H156" s="14">
        <v>49.84</v>
      </c>
      <c r="I156" s="14">
        <v>49.84</v>
      </c>
      <c r="J156" s="13">
        <v>49.84</v>
      </c>
      <c r="K156" s="14">
        <v>49.84</v>
      </c>
      <c r="L156" s="14">
        <v>49.84</v>
      </c>
      <c r="M156" s="14">
        <v>49.84</v>
      </c>
      <c r="N156" s="14">
        <v>49.84</v>
      </c>
      <c r="O156" s="14">
        <v>49.84</v>
      </c>
      <c r="P156" s="14">
        <v>49.84</v>
      </c>
      <c r="Q156" s="14">
        <v>49.84</v>
      </c>
      <c r="R156" s="14">
        <v>49.84</v>
      </c>
      <c r="S156" s="14">
        <v>49.84</v>
      </c>
      <c r="T156" s="14">
        <v>49.84</v>
      </c>
      <c r="U156" s="14">
        <v>49.84</v>
      </c>
      <c r="V156" s="14">
        <v>49.84</v>
      </c>
      <c r="W156" s="14">
        <v>49.84</v>
      </c>
      <c r="X156" s="14">
        <v>49.84</v>
      </c>
      <c r="Y156" s="14">
        <v>49.84</v>
      </c>
      <c r="Z156" s="14">
        <v>49.84</v>
      </c>
      <c r="AA156" s="149">
        <v>49.84</v>
      </c>
      <c r="AB156" s="150"/>
      <c r="AC156" s="150"/>
      <c r="AD156" s="150"/>
      <c r="AE156" s="150"/>
      <c r="AF156" s="150">
        <f>AF155*1.343</f>
        <v>2184.2552000000001</v>
      </c>
    </row>
    <row r="157" spans="1:32" x14ac:dyDescent="0.3">
      <c r="A157" s="166"/>
      <c r="B157" s="167"/>
      <c r="C157" s="129" t="s">
        <v>16</v>
      </c>
      <c r="D157" s="11">
        <v>19.260000000000002</v>
      </c>
      <c r="E157" s="12">
        <v>19.260000000000002</v>
      </c>
      <c r="F157" s="12">
        <v>19.260000000000002</v>
      </c>
      <c r="G157" s="12">
        <v>19.260000000000002</v>
      </c>
      <c r="H157" s="12">
        <v>19.260000000000002</v>
      </c>
      <c r="I157" s="12">
        <v>19.260000000000002</v>
      </c>
      <c r="J157" s="11">
        <v>19.260000000000002</v>
      </c>
      <c r="K157" s="12">
        <v>19.260000000000002</v>
      </c>
      <c r="L157" s="12">
        <v>19.260000000000002</v>
      </c>
      <c r="M157" s="12">
        <v>19.260000000000002</v>
      </c>
      <c r="N157" s="12">
        <v>19.260000000000002</v>
      </c>
      <c r="O157" s="12">
        <v>19.260000000000002</v>
      </c>
      <c r="P157" s="12">
        <v>19.260000000000002</v>
      </c>
      <c r="Q157" s="12">
        <v>19.260000000000002</v>
      </c>
      <c r="R157" s="12">
        <v>19.260000000000002</v>
      </c>
      <c r="S157" s="12">
        <v>19.260000000000002</v>
      </c>
      <c r="T157" s="12">
        <v>19.260000000000002</v>
      </c>
      <c r="U157" s="12">
        <v>19.260000000000002</v>
      </c>
      <c r="V157" s="12">
        <v>19.260000000000002</v>
      </c>
      <c r="W157" s="12">
        <v>19.260000000000002</v>
      </c>
      <c r="X157" s="12">
        <v>19.260000000000002</v>
      </c>
      <c r="Y157" s="12">
        <v>19.260000000000002</v>
      </c>
      <c r="Z157" s="12">
        <v>19.260000000000002</v>
      </c>
      <c r="AA157" s="148">
        <v>19.260000000000002</v>
      </c>
      <c r="AB157" s="150"/>
      <c r="AC157" s="150"/>
      <c r="AD157" s="150"/>
      <c r="AE157" s="150"/>
      <c r="AF157" s="150"/>
    </row>
    <row r="158" spans="1:32" x14ac:dyDescent="0.3">
      <c r="A158" s="166"/>
      <c r="B158" s="167"/>
      <c r="C158" s="129" t="s">
        <v>17</v>
      </c>
      <c r="D158" s="15">
        <v>1292.96</v>
      </c>
      <c r="E158" s="16">
        <v>1292.96</v>
      </c>
      <c r="F158" s="16">
        <v>1292.96</v>
      </c>
      <c r="G158" s="16">
        <v>1292.96</v>
      </c>
      <c r="H158" s="16">
        <v>1292.96</v>
      </c>
      <c r="I158" s="16">
        <v>1292.96</v>
      </c>
      <c r="J158" s="15">
        <v>1292.96</v>
      </c>
      <c r="K158" s="16">
        <v>1292.96</v>
      </c>
      <c r="L158" s="16">
        <v>1292.96</v>
      </c>
      <c r="M158" s="16">
        <v>1292.96</v>
      </c>
      <c r="N158" s="16">
        <v>1292.96</v>
      </c>
      <c r="O158" s="16">
        <v>1292.96</v>
      </c>
      <c r="P158" s="16">
        <v>1292.96</v>
      </c>
      <c r="Q158" s="16">
        <v>1292.96</v>
      </c>
      <c r="R158" s="16">
        <v>1292.96</v>
      </c>
      <c r="S158" s="16">
        <v>1292.96</v>
      </c>
      <c r="T158" s="16">
        <v>1292.96</v>
      </c>
      <c r="U158" s="16">
        <v>1292.96</v>
      </c>
      <c r="V158" s="16">
        <v>1292.96</v>
      </c>
      <c r="W158" s="16">
        <v>1292.96</v>
      </c>
      <c r="X158" s="16">
        <v>1292.96</v>
      </c>
      <c r="Y158" s="16">
        <v>1292.96</v>
      </c>
      <c r="Z158" s="16">
        <v>1292.96</v>
      </c>
      <c r="AA158" s="143">
        <v>1292.96</v>
      </c>
      <c r="AB158" s="150"/>
      <c r="AC158" s="150"/>
      <c r="AD158" s="150"/>
      <c r="AE158" s="150"/>
      <c r="AF158" s="150"/>
    </row>
    <row r="159" spans="1:32" x14ac:dyDescent="0.3">
      <c r="A159" s="166"/>
      <c r="B159" s="167"/>
      <c r="C159" s="129" t="s">
        <v>18</v>
      </c>
      <c r="D159" s="17">
        <v>83.39</v>
      </c>
      <c r="E159" s="18">
        <v>83.39</v>
      </c>
      <c r="F159" s="18">
        <v>83.39</v>
      </c>
      <c r="G159" s="18">
        <v>83.39</v>
      </c>
      <c r="H159" s="18">
        <v>83.39</v>
      </c>
      <c r="I159" s="18">
        <v>83.39</v>
      </c>
      <c r="J159" s="17">
        <v>83.39</v>
      </c>
      <c r="K159" s="18">
        <v>83.39</v>
      </c>
      <c r="L159" s="18">
        <v>83.39</v>
      </c>
      <c r="M159" s="18">
        <v>83.39</v>
      </c>
      <c r="N159" s="18">
        <v>83.39</v>
      </c>
      <c r="O159" s="18">
        <v>83.39</v>
      </c>
      <c r="P159" s="18">
        <v>83.39</v>
      </c>
      <c r="Q159" s="18">
        <v>83.39</v>
      </c>
      <c r="R159" s="18">
        <v>83.39</v>
      </c>
      <c r="S159" s="18">
        <v>83.39</v>
      </c>
      <c r="T159" s="18">
        <v>83.39</v>
      </c>
      <c r="U159" s="18">
        <v>83.39</v>
      </c>
      <c r="V159" s="18">
        <v>83.39</v>
      </c>
      <c r="W159" s="18">
        <v>83.39</v>
      </c>
      <c r="X159" s="18">
        <v>83.39</v>
      </c>
      <c r="Y159" s="18">
        <v>83.39</v>
      </c>
      <c r="Z159" s="18">
        <v>83.39</v>
      </c>
      <c r="AA159" s="18">
        <v>83.39</v>
      </c>
    </row>
    <row r="160" spans="1:32" x14ac:dyDescent="0.3">
      <c r="A160" s="166"/>
      <c r="B160" s="167"/>
      <c r="C160" s="129" t="s">
        <v>19</v>
      </c>
      <c r="D160" s="15">
        <v>420.68</v>
      </c>
      <c r="E160" s="16">
        <v>420.68</v>
      </c>
      <c r="F160" s="16">
        <v>420.68</v>
      </c>
      <c r="G160" s="16">
        <v>420.68</v>
      </c>
      <c r="H160" s="16">
        <v>420.68</v>
      </c>
      <c r="I160" s="16">
        <v>420.68</v>
      </c>
      <c r="J160" s="15">
        <v>420.68</v>
      </c>
      <c r="K160" s="16">
        <v>420.68</v>
      </c>
      <c r="L160" s="16">
        <v>420.68</v>
      </c>
      <c r="M160" s="16">
        <v>420.68</v>
      </c>
      <c r="N160" s="16">
        <v>420.68</v>
      </c>
      <c r="O160" s="16">
        <v>420.68</v>
      </c>
      <c r="P160" s="16">
        <v>420.68</v>
      </c>
      <c r="Q160" s="16">
        <v>420.68</v>
      </c>
      <c r="R160" s="16">
        <v>420.68</v>
      </c>
      <c r="S160" s="16">
        <v>420.68</v>
      </c>
      <c r="T160" s="16">
        <v>420.68</v>
      </c>
      <c r="U160" s="16">
        <v>420.68</v>
      </c>
      <c r="V160" s="16">
        <v>420.68</v>
      </c>
      <c r="W160" s="16">
        <v>420.68</v>
      </c>
      <c r="X160" s="16">
        <v>420.68</v>
      </c>
      <c r="Y160" s="16">
        <v>420.68</v>
      </c>
      <c r="Z160" s="16">
        <v>420.68</v>
      </c>
      <c r="AA160" s="16">
        <v>420.68</v>
      </c>
    </row>
    <row r="161" spans="1:27" x14ac:dyDescent="0.3">
      <c r="A161" s="166"/>
      <c r="B161" s="167"/>
      <c r="C161" s="130" t="s">
        <v>20</v>
      </c>
      <c r="D161" s="21">
        <v>251.44</v>
      </c>
      <c r="E161" s="22">
        <v>251.44</v>
      </c>
      <c r="F161" s="22">
        <v>251.44</v>
      </c>
      <c r="G161" s="22">
        <v>251.44</v>
      </c>
      <c r="H161" s="22">
        <v>251.44</v>
      </c>
      <c r="I161" s="22">
        <v>251.44</v>
      </c>
      <c r="J161" s="21">
        <v>251.44</v>
      </c>
      <c r="K161" s="22">
        <v>251.44</v>
      </c>
      <c r="L161" s="22">
        <v>251.44</v>
      </c>
      <c r="M161" s="22">
        <v>251.44</v>
      </c>
      <c r="N161" s="22">
        <v>251.44</v>
      </c>
      <c r="O161" s="22">
        <v>251.44</v>
      </c>
      <c r="P161" s="22">
        <v>251.44</v>
      </c>
      <c r="Q161" s="22">
        <v>251.44</v>
      </c>
      <c r="R161" s="22">
        <v>251.44</v>
      </c>
      <c r="S161" s="22">
        <v>251.44</v>
      </c>
      <c r="T161" s="22">
        <v>251.44</v>
      </c>
      <c r="U161" s="22">
        <v>251.44</v>
      </c>
      <c r="V161" s="22">
        <v>251.44</v>
      </c>
      <c r="W161" s="22">
        <v>251.44</v>
      </c>
      <c r="X161" s="22">
        <v>251.44</v>
      </c>
      <c r="Y161" s="22">
        <v>251.44</v>
      </c>
      <c r="Z161" s="22">
        <v>251.44</v>
      </c>
      <c r="AA161" s="22">
        <v>251.44</v>
      </c>
    </row>
    <row r="162" spans="1:27" x14ac:dyDescent="0.3">
      <c r="A162" s="166"/>
      <c r="B162" s="167"/>
      <c r="C162" s="107"/>
      <c r="D162" s="107"/>
      <c r="E162" s="107"/>
      <c r="F162" s="107"/>
      <c r="G162" s="107"/>
      <c r="H162" s="107"/>
      <c r="I162" s="107"/>
      <c r="J162" s="107"/>
      <c r="K162" s="107"/>
      <c r="L162" s="107"/>
      <c r="M162" s="107"/>
      <c r="N162" s="107"/>
      <c r="O162" s="107"/>
      <c r="P162" s="107"/>
      <c r="Q162" s="107"/>
      <c r="R162" s="107"/>
      <c r="S162" s="107"/>
      <c r="T162" s="107"/>
      <c r="U162" s="107"/>
      <c r="V162" s="107"/>
      <c r="W162" s="107"/>
      <c r="X162" s="107"/>
      <c r="Y162" s="107"/>
      <c r="Z162" s="107"/>
      <c r="AA162" s="23"/>
    </row>
    <row r="163" spans="1:27" x14ac:dyDescent="0.3">
      <c r="A163" s="166"/>
      <c r="B163" s="167"/>
      <c r="C163" s="129" t="s">
        <v>21</v>
      </c>
      <c r="D163" s="24">
        <v>0.27</v>
      </c>
      <c r="E163" s="24">
        <v>0.27</v>
      </c>
      <c r="F163" s="24">
        <v>0.27</v>
      </c>
      <c r="G163" s="24">
        <v>0.27</v>
      </c>
      <c r="H163" s="24">
        <v>0.27</v>
      </c>
      <c r="I163" s="24">
        <v>0.27</v>
      </c>
      <c r="J163" s="24">
        <v>0.27</v>
      </c>
      <c r="K163" s="24">
        <v>0.27</v>
      </c>
      <c r="L163" s="24">
        <v>0.27</v>
      </c>
      <c r="M163" s="24">
        <v>0.27</v>
      </c>
      <c r="N163" s="24">
        <v>0.27</v>
      </c>
      <c r="O163" s="24">
        <v>0.27</v>
      </c>
      <c r="P163" s="24">
        <v>0.27</v>
      </c>
      <c r="Q163" s="24">
        <v>0.27</v>
      </c>
      <c r="R163" s="24">
        <v>0.27</v>
      </c>
      <c r="S163" s="24">
        <v>0.27</v>
      </c>
      <c r="T163" s="24">
        <v>0.27</v>
      </c>
      <c r="U163" s="24">
        <v>0.27</v>
      </c>
      <c r="V163" s="24">
        <v>0.27</v>
      </c>
      <c r="W163" s="24">
        <v>0.27</v>
      </c>
      <c r="X163" s="24">
        <v>0.27</v>
      </c>
      <c r="Y163" s="24">
        <v>0.27</v>
      </c>
      <c r="Z163" s="24">
        <v>0.27</v>
      </c>
      <c r="AA163" s="24">
        <v>0.27</v>
      </c>
    </row>
    <row r="164" spans="1:27" x14ac:dyDescent="0.3">
      <c r="A164" s="166"/>
      <c r="B164" s="167"/>
      <c r="C164" s="129" t="s">
        <v>22</v>
      </c>
      <c r="D164" s="25">
        <v>0.05</v>
      </c>
      <c r="E164" s="26">
        <v>0.05</v>
      </c>
      <c r="F164" s="26">
        <v>0.05</v>
      </c>
      <c r="G164" s="26">
        <v>0.05</v>
      </c>
      <c r="H164" s="26">
        <v>0.05</v>
      </c>
      <c r="I164" s="26">
        <v>0.05</v>
      </c>
      <c r="J164" s="25">
        <v>0.05</v>
      </c>
      <c r="K164" s="26">
        <v>0.05</v>
      </c>
      <c r="L164" s="26">
        <v>0.05</v>
      </c>
      <c r="M164" s="26">
        <v>0.05</v>
      </c>
      <c r="N164" s="26">
        <v>0.05</v>
      </c>
      <c r="O164" s="26">
        <v>0.05</v>
      </c>
      <c r="P164" s="26">
        <v>0.05</v>
      </c>
      <c r="Q164" s="26">
        <v>0.05</v>
      </c>
      <c r="R164" s="26">
        <v>0.05</v>
      </c>
      <c r="S164" s="26">
        <v>0.05</v>
      </c>
      <c r="T164" s="26">
        <v>0.05</v>
      </c>
      <c r="U164" s="26">
        <v>0.05</v>
      </c>
      <c r="V164" s="26">
        <v>0.05</v>
      </c>
      <c r="W164" s="26">
        <v>0.05</v>
      </c>
      <c r="X164" s="26">
        <v>0.05</v>
      </c>
      <c r="Y164" s="26">
        <v>0.05</v>
      </c>
      <c r="Z164" s="26">
        <v>0.05</v>
      </c>
      <c r="AA164" s="26">
        <v>0.05</v>
      </c>
    </row>
    <row r="165" spans="1:27" x14ac:dyDescent="0.3">
      <c r="A165" s="166"/>
      <c r="B165" s="167"/>
      <c r="C165" s="107"/>
      <c r="D165" s="107"/>
      <c r="E165" s="107"/>
      <c r="F165" s="107"/>
      <c r="G165" s="107"/>
      <c r="H165" s="107"/>
      <c r="I165" s="107"/>
      <c r="J165" s="107"/>
      <c r="K165" s="107"/>
      <c r="L165" s="107"/>
      <c r="M165" s="107"/>
      <c r="N165" s="107"/>
      <c r="O165" s="107"/>
      <c r="P165" s="107"/>
      <c r="Q165" s="107"/>
      <c r="R165" s="107"/>
      <c r="S165" s="107"/>
      <c r="T165" s="107"/>
      <c r="U165" s="107"/>
      <c r="V165" s="107"/>
      <c r="W165" s="107"/>
      <c r="X165" s="107"/>
      <c r="Y165" s="107"/>
      <c r="Z165" s="107"/>
      <c r="AA165" s="23"/>
    </row>
    <row r="166" spans="1:27" x14ac:dyDescent="0.3">
      <c r="A166" s="166"/>
      <c r="B166" s="167"/>
      <c r="C166" s="131" t="s">
        <v>23</v>
      </c>
      <c r="D166" s="27">
        <f>IF(D155="Azul",D144*D156*(1-D152),0)</f>
        <v>0</v>
      </c>
      <c r="E166" s="28">
        <f t="shared" ref="E166:O166" si="119">IF(E155="Azul",E144*E156*(1-E152),0)</f>
        <v>0</v>
      </c>
      <c r="F166" s="28">
        <f t="shared" si="119"/>
        <v>0</v>
      </c>
      <c r="G166" s="28">
        <f t="shared" si="119"/>
        <v>0</v>
      </c>
      <c r="H166" s="28">
        <f t="shared" si="119"/>
        <v>0</v>
      </c>
      <c r="I166" s="28">
        <f t="shared" si="119"/>
        <v>0</v>
      </c>
      <c r="J166" s="27">
        <f t="shared" si="119"/>
        <v>0</v>
      </c>
      <c r="K166" s="28">
        <f t="shared" si="119"/>
        <v>0</v>
      </c>
      <c r="L166" s="28">
        <f t="shared" si="119"/>
        <v>0</v>
      </c>
      <c r="M166" s="28">
        <f t="shared" si="119"/>
        <v>0</v>
      </c>
      <c r="N166" s="28">
        <f t="shared" si="119"/>
        <v>0</v>
      </c>
      <c r="O166" s="28">
        <f t="shared" si="119"/>
        <v>0</v>
      </c>
      <c r="P166" s="27">
        <f>IF(P155="Azul",P144*P156*(1-P152),0)</f>
        <v>0</v>
      </c>
      <c r="Q166" s="28">
        <f t="shared" ref="Q166:AA166" si="120">IF(Q155="Azul",Q144*Q156*(1-Q152),0)</f>
        <v>0</v>
      </c>
      <c r="R166" s="28">
        <f t="shared" si="120"/>
        <v>0</v>
      </c>
      <c r="S166" s="28">
        <f t="shared" si="120"/>
        <v>0</v>
      </c>
      <c r="T166" s="28">
        <f t="shared" si="120"/>
        <v>0</v>
      </c>
      <c r="U166" s="28">
        <f t="shared" si="120"/>
        <v>0</v>
      </c>
      <c r="V166" s="28">
        <f t="shared" si="120"/>
        <v>0</v>
      </c>
      <c r="W166" s="28">
        <f t="shared" si="120"/>
        <v>0</v>
      </c>
      <c r="X166" s="28">
        <f t="shared" si="120"/>
        <v>0</v>
      </c>
      <c r="Y166" s="28">
        <f t="shared" si="120"/>
        <v>0</v>
      </c>
      <c r="Z166" s="28">
        <f t="shared" si="120"/>
        <v>0</v>
      </c>
      <c r="AA166" s="28">
        <f t="shared" si="120"/>
        <v>0</v>
      </c>
    </row>
    <row r="167" spans="1:27" x14ac:dyDescent="0.3">
      <c r="A167" s="166"/>
      <c r="B167" s="167"/>
      <c r="C167" s="131" t="s">
        <v>24</v>
      </c>
      <c r="D167" s="29">
        <f>D146*D156*2</f>
        <v>0</v>
      </c>
      <c r="E167" s="30">
        <f t="shared" ref="E167:O167" si="121">E146*E156*2</f>
        <v>0</v>
      </c>
      <c r="F167" s="30">
        <f t="shared" si="121"/>
        <v>0</v>
      </c>
      <c r="G167" s="30">
        <f t="shared" si="121"/>
        <v>0</v>
      </c>
      <c r="H167" s="30">
        <f t="shared" si="121"/>
        <v>0</v>
      </c>
      <c r="I167" s="30">
        <f t="shared" si="121"/>
        <v>0</v>
      </c>
      <c r="J167" s="29">
        <f t="shared" si="121"/>
        <v>0</v>
      </c>
      <c r="K167" s="30">
        <f t="shared" si="121"/>
        <v>0</v>
      </c>
      <c r="L167" s="30">
        <f t="shared" si="121"/>
        <v>0</v>
      </c>
      <c r="M167" s="30">
        <f t="shared" si="121"/>
        <v>0</v>
      </c>
      <c r="N167" s="30">
        <f t="shared" si="121"/>
        <v>0</v>
      </c>
      <c r="O167" s="30">
        <f t="shared" si="121"/>
        <v>0</v>
      </c>
      <c r="P167" s="29">
        <f>P146*P156*2</f>
        <v>0</v>
      </c>
      <c r="Q167" s="30">
        <f t="shared" ref="Q167:AA167" si="122">Q146*Q156*2</f>
        <v>0</v>
      </c>
      <c r="R167" s="30">
        <f t="shared" si="122"/>
        <v>0</v>
      </c>
      <c r="S167" s="30">
        <f t="shared" si="122"/>
        <v>0</v>
      </c>
      <c r="T167" s="30">
        <f t="shared" si="122"/>
        <v>0</v>
      </c>
      <c r="U167" s="30">
        <f t="shared" si="122"/>
        <v>0</v>
      </c>
      <c r="V167" s="30">
        <f t="shared" si="122"/>
        <v>0</v>
      </c>
      <c r="W167" s="30">
        <f t="shared" si="122"/>
        <v>0</v>
      </c>
      <c r="X167" s="30">
        <f t="shared" si="122"/>
        <v>0</v>
      </c>
      <c r="Y167" s="30">
        <f t="shared" si="122"/>
        <v>0</v>
      </c>
      <c r="Z167" s="30">
        <f t="shared" si="122"/>
        <v>0</v>
      </c>
      <c r="AA167" s="30">
        <f t="shared" si="122"/>
        <v>0</v>
      </c>
    </row>
    <row r="168" spans="1:27" x14ac:dyDescent="0.3">
      <c r="A168" s="166"/>
      <c r="B168" s="167"/>
      <c r="C168" s="131" t="s">
        <v>25</v>
      </c>
      <c r="D168" s="31">
        <f>D145*D157*(1-D152)</f>
        <v>96300.000000000015</v>
      </c>
      <c r="E168" s="32">
        <f t="shared" ref="E168:O168" si="123">E145*E157*(1-E152)</f>
        <v>96300.000000000015</v>
      </c>
      <c r="F168" s="32">
        <f t="shared" si="123"/>
        <v>96300.000000000015</v>
      </c>
      <c r="G168" s="32">
        <f t="shared" si="123"/>
        <v>96300.000000000015</v>
      </c>
      <c r="H168" s="32">
        <f t="shared" si="123"/>
        <v>96300.000000000015</v>
      </c>
      <c r="I168" s="32">
        <f t="shared" si="123"/>
        <v>96300.000000000015</v>
      </c>
      <c r="J168" s="31">
        <f t="shared" si="123"/>
        <v>96300.000000000015</v>
      </c>
      <c r="K168" s="32">
        <f t="shared" si="123"/>
        <v>96300.000000000015</v>
      </c>
      <c r="L168" s="32">
        <f t="shared" si="123"/>
        <v>96300.000000000015</v>
      </c>
      <c r="M168" s="32">
        <f t="shared" si="123"/>
        <v>96300.000000000015</v>
      </c>
      <c r="N168" s="32">
        <f t="shared" si="123"/>
        <v>96300.000000000015</v>
      </c>
      <c r="O168" s="32">
        <f t="shared" si="123"/>
        <v>96300.000000000015</v>
      </c>
      <c r="P168" s="31">
        <f>P145*P157*(1-P152)</f>
        <v>96300.000000000015</v>
      </c>
      <c r="Q168" s="32">
        <f t="shared" ref="Q168:AA168" si="124">Q145*Q157*(1-Q152)</f>
        <v>96300.000000000015</v>
      </c>
      <c r="R168" s="32">
        <f t="shared" si="124"/>
        <v>96300.000000000015</v>
      </c>
      <c r="S168" s="32">
        <f t="shared" si="124"/>
        <v>96300.000000000015</v>
      </c>
      <c r="T168" s="32">
        <f t="shared" si="124"/>
        <v>96300.000000000015</v>
      </c>
      <c r="U168" s="32">
        <f t="shared" si="124"/>
        <v>96300.000000000015</v>
      </c>
      <c r="V168" s="32">
        <f t="shared" si="124"/>
        <v>96300.000000000015</v>
      </c>
      <c r="W168" s="32">
        <f t="shared" si="124"/>
        <v>96300.000000000015</v>
      </c>
      <c r="X168" s="32">
        <f t="shared" si="124"/>
        <v>96300.000000000015</v>
      </c>
      <c r="Y168" s="32">
        <f t="shared" si="124"/>
        <v>96300.000000000015</v>
      </c>
      <c r="Z168" s="32">
        <f t="shared" si="124"/>
        <v>96300.000000000015</v>
      </c>
      <c r="AA168" s="32">
        <f t="shared" si="124"/>
        <v>96300.000000000015</v>
      </c>
    </row>
    <row r="169" spans="1:27" x14ac:dyDescent="0.3">
      <c r="A169" s="166"/>
      <c r="B169" s="167"/>
      <c r="C169" s="131" t="s">
        <v>26</v>
      </c>
      <c r="D169" s="29">
        <f>D147*D157*2</f>
        <v>0</v>
      </c>
      <c r="E169" s="30">
        <f t="shared" ref="E169:O169" si="125">E147*E157*2</f>
        <v>0</v>
      </c>
      <c r="F169" s="30">
        <f t="shared" si="125"/>
        <v>0</v>
      </c>
      <c r="G169" s="30">
        <f t="shared" si="125"/>
        <v>0</v>
      </c>
      <c r="H169" s="30">
        <f t="shared" si="125"/>
        <v>0</v>
      </c>
      <c r="I169" s="30">
        <f t="shared" si="125"/>
        <v>0</v>
      </c>
      <c r="J169" s="29">
        <f t="shared" si="125"/>
        <v>0</v>
      </c>
      <c r="K169" s="30">
        <f t="shared" si="125"/>
        <v>0</v>
      </c>
      <c r="L169" s="30">
        <f t="shared" si="125"/>
        <v>0</v>
      </c>
      <c r="M169" s="30">
        <f t="shared" si="125"/>
        <v>0</v>
      </c>
      <c r="N169" s="30">
        <f t="shared" si="125"/>
        <v>0</v>
      </c>
      <c r="O169" s="30">
        <f t="shared" si="125"/>
        <v>0</v>
      </c>
      <c r="P169" s="29">
        <f>P147*P157*2</f>
        <v>0</v>
      </c>
      <c r="Q169" s="30">
        <f t="shared" ref="Q169:AA169" si="126">Q147*Q157*2</f>
        <v>0</v>
      </c>
      <c r="R169" s="30">
        <f t="shared" si="126"/>
        <v>0</v>
      </c>
      <c r="S169" s="30">
        <f t="shared" si="126"/>
        <v>0</v>
      </c>
      <c r="T169" s="30">
        <f t="shared" si="126"/>
        <v>0</v>
      </c>
      <c r="U169" s="30">
        <f t="shared" si="126"/>
        <v>0</v>
      </c>
      <c r="V169" s="30">
        <f t="shared" si="126"/>
        <v>0</v>
      </c>
      <c r="W169" s="30">
        <f t="shared" si="126"/>
        <v>0</v>
      </c>
      <c r="X169" s="30">
        <f t="shared" si="126"/>
        <v>0</v>
      </c>
      <c r="Y169" s="30">
        <f t="shared" si="126"/>
        <v>0</v>
      </c>
      <c r="Z169" s="30">
        <f t="shared" si="126"/>
        <v>0</v>
      </c>
      <c r="AA169" s="30">
        <f t="shared" si="126"/>
        <v>0</v>
      </c>
    </row>
    <row r="170" spans="1:27" x14ac:dyDescent="0.3">
      <c r="A170" s="166"/>
      <c r="B170" s="167"/>
      <c r="C170" s="131" t="s">
        <v>27</v>
      </c>
      <c r="D170" s="31">
        <f>IF(D155="Azul",D148*D159,D148*((D158-D159)*(1-D152)+D159))</f>
        <v>130330.368</v>
      </c>
      <c r="E170" s="32">
        <f t="shared" ref="E170:O170" si="127">IF(E155="Azul",E148*E159,E148*((E158-E159)*(1-E152)+E159))</f>
        <v>103178.208</v>
      </c>
      <c r="F170" s="32">
        <f t="shared" si="127"/>
        <v>114039.072</v>
      </c>
      <c r="G170" s="32">
        <f t="shared" si="127"/>
        <v>130330.368</v>
      </c>
      <c r="H170" s="32">
        <f t="shared" si="127"/>
        <v>135760.80000000002</v>
      </c>
      <c r="I170" s="32">
        <f t="shared" si="127"/>
        <v>97747.775999999998</v>
      </c>
      <c r="J170" s="31">
        <f t="shared" si="127"/>
        <v>119469.50400000002</v>
      </c>
      <c r="K170" s="32">
        <f t="shared" si="127"/>
        <v>114039.072</v>
      </c>
      <c r="L170" s="32">
        <f t="shared" si="127"/>
        <v>135760.80000000002</v>
      </c>
      <c r="M170" s="32">
        <f t="shared" si="127"/>
        <v>190065.12</v>
      </c>
      <c r="N170" s="32">
        <f t="shared" si="127"/>
        <v>152052.09599999999</v>
      </c>
      <c r="O170" s="32">
        <f t="shared" si="127"/>
        <v>157482.52799999999</v>
      </c>
      <c r="P170" s="31">
        <f>IF(P155="Azul",P148*P159,P148*((P158-P159)*(1-P152)+P159))</f>
        <v>114039.072</v>
      </c>
      <c r="Q170" s="32">
        <f t="shared" ref="Q170:AA170" si="128">IF(Q155="Azul",Q148*Q159,Q148*((Q158-Q159)*(1-Q152)+Q159))</f>
        <v>86886.912000000011</v>
      </c>
      <c r="R170" s="32">
        <f t="shared" si="128"/>
        <v>146621.66400000002</v>
      </c>
      <c r="S170" s="32">
        <f t="shared" si="128"/>
        <v>190065.12</v>
      </c>
      <c r="T170" s="32">
        <f t="shared" si="128"/>
        <v>141191.23200000002</v>
      </c>
      <c r="U170" s="32">
        <f t="shared" si="128"/>
        <v>146621.66400000002</v>
      </c>
      <c r="V170" s="32">
        <f t="shared" si="128"/>
        <v>157482.52799999999</v>
      </c>
      <c r="W170" s="32">
        <f t="shared" si="128"/>
        <v>157482.52799999999</v>
      </c>
      <c r="X170" s="32">
        <f t="shared" si="128"/>
        <v>152052.09599999999</v>
      </c>
      <c r="Y170" s="32">
        <f t="shared" si="128"/>
        <v>135760.80000000002</v>
      </c>
      <c r="Z170" s="32">
        <f t="shared" si="128"/>
        <v>173773.82400000002</v>
      </c>
      <c r="AA170" s="32">
        <f t="shared" si="128"/>
        <v>157482.52799999999</v>
      </c>
    </row>
    <row r="171" spans="1:27" x14ac:dyDescent="0.3">
      <c r="A171" s="166"/>
      <c r="B171" s="167"/>
      <c r="C171" s="132" t="s">
        <v>28</v>
      </c>
      <c r="D171" s="33">
        <f>D149*D159</f>
        <v>99467.59199999999</v>
      </c>
      <c r="E171" s="34">
        <f t="shared" ref="E171:O171" si="129">E149*E159</f>
        <v>84057.12</v>
      </c>
      <c r="F171" s="34">
        <f t="shared" si="129"/>
        <v>87209.262000000002</v>
      </c>
      <c r="G171" s="34">
        <f t="shared" si="129"/>
        <v>93863.784</v>
      </c>
      <c r="H171" s="34">
        <f t="shared" si="129"/>
        <v>91412.118000000002</v>
      </c>
      <c r="I171" s="34">
        <f t="shared" si="129"/>
        <v>71448.551999999996</v>
      </c>
      <c r="J171" s="33">
        <f t="shared" si="129"/>
        <v>61641.888000000006</v>
      </c>
      <c r="K171" s="34">
        <f t="shared" si="129"/>
        <v>63042.840000000004</v>
      </c>
      <c r="L171" s="34">
        <f t="shared" si="129"/>
        <v>71098.313999999998</v>
      </c>
      <c r="M171" s="34">
        <f t="shared" si="129"/>
        <v>99467.59199999999</v>
      </c>
      <c r="N171" s="34">
        <f t="shared" si="129"/>
        <v>91412.118000000002</v>
      </c>
      <c r="O171" s="34">
        <f t="shared" si="129"/>
        <v>94914.498000000007</v>
      </c>
      <c r="P171" s="33">
        <f>P149*P159</f>
        <v>76702.122000000003</v>
      </c>
      <c r="Q171" s="34">
        <f t="shared" ref="Q171:AA171" si="130">Q149*Q159</f>
        <v>71448.551999999996</v>
      </c>
      <c r="R171" s="34">
        <f t="shared" si="130"/>
        <v>84407.358000000007</v>
      </c>
      <c r="S171" s="34">
        <f t="shared" si="130"/>
        <v>97015.926000000007</v>
      </c>
      <c r="T171" s="34">
        <f t="shared" si="130"/>
        <v>86859.02399999999</v>
      </c>
      <c r="U171" s="34">
        <f t="shared" si="130"/>
        <v>74950.932000000001</v>
      </c>
      <c r="V171" s="34">
        <f t="shared" si="130"/>
        <v>75301.17</v>
      </c>
      <c r="W171" s="34">
        <f t="shared" si="130"/>
        <v>74250.456000000006</v>
      </c>
      <c r="X171" s="34">
        <f t="shared" si="130"/>
        <v>85808.31</v>
      </c>
      <c r="Y171" s="34">
        <f t="shared" si="130"/>
        <v>83006.406000000003</v>
      </c>
      <c r="Z171" s="34">
        <f t="shared" si="130"/>
        <v>96665.688000000009</v>
      </c>
      <c r="AA171" s="34">
        <f t="shared" si="130"/>
        <v>90011.166000000012</v>
      </c>
    </row>
    <row r="172" spans="1:27" x14ac:dyDescent="0.3">
      <c r="A172" s="166"/>
      <c r="B172" s="167"/>
      <c r="C172" s="131" t="s">
        <v>29</v>
      </c>
      <c r="D172" s="27">
        <f>SUM(D166:D171)</f>
        <v>326097.96000000002</v>
      </c>
      <c r="E172" s="28">
        <f>SUM(E166:E171)</f>
        <v>283535.32799999998</v>
      </c>
      <c r="F172" s="28">
        <f>SUM(F166:F171)</f>
        <v>297548.33400000003</v>
      </c>
      <c r="G172" s="28">
        <f t="shared" ref="G172:O172" si="131">SUM(G166:G171)</f>
        <v>320494.152</v>
      </c>
      <c r="H172" s="28">
        <f t="shared" si="131"/>
        <v>323472.91800000006</v>
      </c>
      <c r="I172" s="28">
        <f t="shared" si="131"/>
        <v>265496.32799999998</v>
      </c>
      <c r="J172" s="27">
        <f t="shared" si="131"/>
        <v>277411.39199999999</v>
      </c>
      <c r="K172" s="28">
        <f t="shared" si="131"/>
        <v>273381.91200000001</v>
      </c>
      <c r="L172" s="28">
        <f t="shared" si="131"/>
        <v>303159.11400000006</v>
      </c>
      <c r="M172" s="28">
        <f t="shared" si="131"/>
        <v>385832.712</v>
      </c>
      <c r="N172" s="28">
        <f t="shared" si="131"/>
        <v>339764.21400000004</v>
      </c>
      <c r="O172" s="28">
        <f t="shared" si="131"/>
        <v>348697.02600000001</v>
      </c>
      <c r="P172" s="27">
        <f>SUM(P166:P171)</f>
        <v>287041.19400000002</v>
      </c>
      <c r="Q172" s="28">
        <f t="shared" ref="Q172:AA172" si="132">SUM(Q166:Q171)</f>
        <v>254635.46400000001</v>
      </c>
      <c r="R172" s="28">
        <f t="shared" si="132"/>
        <v>327329.02200000006</v>
      </c>
      <c r="S172" s="28">
        <f t="shared" si="132"/>
        <v>383381.04599999997</v>
      </c>
      <c r="T172" s="28">
        <f t="shared" si="132"/>
        <v>324350.25599999999</v>
      </c>
      <c r="U172" s="28">
        <f t="shared" si="132"/>
        <v>317872.59600000002</v>
      </c>
      <c r="V172" s="28">
        <f t="shared" si="132"/>
        <v>329083.69799999997</v>
      </c>
      <c r="W172" s="28">
        <f t="shared" si="132"/>
        <v>328032.984</v>
      </c>
      <c r="X172" s="28">
        <f t="shared" si="132"/>
        <v>334160.40600000002</v>
      </c>
      <c r="Y172" s="28">
        <f t="shared" si="132"/>
        <v>315067.20600000006</v>
      </c>
      <c r="Z172" s="28">
        <f t="shared" si="132"/>
        <v>366739.51200000005</v>
      </c>
      <c r="AA172" s="28">
        <f t="shared" si="132"/>
        <v>343793.69400000002</v>
      </c>
    </row>
    <row r="173" spans="1:27" x14ac:dyDescent="0.3">
      <c r="A173" s="166"/>
      <c r="B173" s="167"/>
      <c r="C173" s="131" t="s">
        <v>30</v>
      </c>
      <c r="D173" s="35">
        <f>D172/(1-SUM(D163:D164))*SUM(D163:D164)+((D175+D176+D177)/(1-SUM(D163:D164)))*SUM(D163:D164)</f>
        <v>153457.86352941181</v>
      </c>
      <c r="E173" s="36">
        <f t="shared" ref="E173:AA173" si="133">E172/(1-SUM(E163:E164))*SUM(E163:E164)+((E175+E176+E177)/(1-SUM(E163:E164)))*SUM(E163:E164)</f>
        <v>133428.38964705882</v>
      </c>
      <c r="F173" s="36">
        <f t="shared" si="133"/>
        <v>140022.74541176474</v>
      </c>
      <c r="G173" s="36">
        <f t="shared" si="133"/>
        <v>150820.77741176472</v>
      </c>
      <c r="H173" s="36">
        <f t="shared" si="133"/>
        <v>152222.54964705886</v>
      </c>
      <c r="I173" s="36">
        <f t="shared" si="133"/>
        <v>124939.44847058824</v>
      </c>
      <c r="J173" s="35">
        <f t="shared" si="133"/>
        <v>130546.53741176472</v>
      </c>
      <c r="K173" s="36">
        <f t="shared" si="133"/>
        <v>128650.31152941179</v>
      </c>
      <c r="L173" s="36">
        <f t="shared" si="133"/>
        <v>142663.11247058827</v>
      </c>
      <c r="M173" s="36">
        <f t="shared" si="133"/>
        <v>181568.33505882358</v>
      </c>
      <c r="N173" s="36">
        <f t="shared" si="133"/>
        <v>159889.04188235299</v>
      </c>
      <c r="O173" s="36">
        <f t="shared" si="133"/>
        <v>164092.71811764708</v>
      </c>
      <c r="P173" s="35">
        <f t="shared" si="133"/>
        <v>135078.2089411765</v>
      </c>
      <c r="Q173" s="36">
        <f t="shared" si="133"/>
        <v>119828.45364705884</v>
      </c>
      <c r="R173" s="36">
        <f t="shared" si="133"/>
        <v>154037.18682352945</v>
      </c>
      <c r="S173" s="36">
        <f t="shared" si="133"/>
        <v>180414.60988235296</v>
      </c>
      <c r="T173" s="36">
        <f t="shared" si="133"/>
        <v>152635.41458823529</v>
      </c>
      <c r="U173" s="36">
        <f t="shared" si="133"/>
        <v>149587.10400000002</v>
      </c>
      <c r="V173" s="36">
        <f t="shared" si="133"/>
        <v>154862.91670588238</v>
      </c>
      <c r="W173" s="36">
        <f t="shared" si="133"/>
        <v>154368.46305882354</v>
      </c>
      <c r="X173" s="36">
        <f t="shared" si="133"/>
        <v>157251.95576470593</v>
      </c>
      <c r="Y173" s="36">
        <f t="shared" si="133"/>
        <v>148266.92047058829</v>
      </c>
      <c r="Z173" s="36">
        <f t="shared" si="133"/>
        <v>172583.29976470594</v>
      </c>
      <c r="AA173" s="36">
        <f t="shared" si="133"/>
        <v>161785.2677647059</v>
      </c>
    </row>
    <row r="174" spans="1:27" x14ac:dyDescent="0.3">
      <c r="A174" s="166"/>
      <c r="B174" s="167"/>
      <c r="C174" s="107"/>
      <c r="D174" s="107"/>
      <c r="E174" s="107"/>
      <c r="F174" s="107"/>
      <c r="G174" s="107"/>
      <c r="H174" s="107"/>
      <c r="I174" s="107"/>
      <c r="J174" s="107"/>
      <c r="K174" s="107"/>
      <c r="L174" s="107"/>
      <c r="M174" s="107"/>
      <c r="N174" s="107"/>
      <c r="O174" s="107"/>
      <c r="P174" s="107"/>
      <c r="Q174" s="107"/>
      <c r="R174" s="107"/>
      <c r="S174" s="107"/>
      <c r="T174" s="107"/>
      <c r="U174" s="107"/>
      <c r="V174" s="107"/>
      <c r="W174" s="107"/>
      <c r="X174" s="107"/>
      <c r="Y174" s="107"/>
      <c r="Z174" s="107"/>
      <c r="AA174" s="37"/>
    </row>
    <row r="175" spans="1:27" x14ac:dyDescent="0.3">
      <c r="A175" s="166"/>
      <c r="B175" s="167"/>
      <c r="C175" s="131" t="s">
        <v>31</v>
      </c>
      <c r="D175" s="9">
        <f>IF(D155="Azul",D144*D156*(D152),0)</f>
        <v>0</v>
      </c>
      <c r="E175" s="10">
        <f t="shared" ref="E175:O175" si="134">IF(E155="Azul",E144*E156*(E152),0)</f>
        <v>0</v>
      </c>
      <c r="F175" s="10">
        <f t="shared" si="134"/>
        <v>0</v>
      </c>
      <c r="G175" s="10">
        <f t="shared" si="134"/>
        <v>0</v>
      </c>
      <c r="H175" s="10">
        <f t="shared" si="134"/>
        <v>0</v>
      </c>
      <c r="I175" s="10">
        <f t="shared" si="134"/>
        <v>0</v>
      </c>
      <c r="J175" s="9">
        <f t="shared" si="134"/>
        <v>0</v>
      </c>
      <c r="K175" s="10">
        <f t="shared" si="134"/>
        <v>0</v>
      </c>
      <c r="L175" s="10">
        <f t="shared" si="134"/>
        <v>0</v>
      </c>
      <c r="M175" s="10">
        <f t="shared" si="134"/>
        <v>0</v>
      </c>
      <c r="N175" s="10">
        <f t="shared" si="134"/>
        <v>0</v>
      </c>
      <c r="O175" s="10">
        <f t="shared" si="134"/>
        <v>0</v>
      </c>
      <c r="P175" s="10">
        <f>IF(P155="Azul",P144*P156*(P152),0)</f>
        <v>0</v>
      </c>
      <c r="Q175" s="10">
        <f t="shared" ref="Q175:AA175" si="135">IF(Q155="Azul",Q144*Q156*(Q152),0)</f>
        <v>0</v>
      </c>
      <c r="R175" s="10">
        <f t="shared" si="135"/>
        <v>0</v>
      </c>
      <c r="S175" s="10">
        <f t="shared" si="135"/>
        <v>0</v>
      </c>
      <c r="T175" s="10">
        <f t="shared" si="135"/>
        <v>0</v>
      </c>
      <c r="U175" s="10">
        <f t="shared" si="135"/>
        <v>0</v>
      </c>
      <c r="V175" s="10">
        <f t="shared" si="135"/>
        <v>0</v>
      </c>
      <c r="W175" s="10">
        <f t="shared" si="135"/>
        <v>0</v>
      </c>
      <c r="X175" s="10">
        <f t="shared" si="135"/>
        <v>0</v>
      </c>
      <c r="Y175" s="10">
        <f t="shared" si="135"/>
        <v>0</v>
      </c>
      <c r="Z175" s="10">
        <f t="shared" si="135"/>
        <v>0</v>
      </c>
      <c r="AA175" s="10">
        <f t="shared" si="135"/>
        <v>0</v>
      </c>
    </row>
    <row r="176" spans="1:27" x14ac:dyDescent="0.3">
      <c r="A176" s="166"/>
      <c r="B176" s="167"/>
      <c r="C176" s="131" t="s">
        <v>32</v>
      </c>
      <c r="D176" s="11">
        <f>D145*D157*(D152)</f>
        <v>0</v>
      </c>
      <c r="E176" s="12">
        <f t="shared" ref="E176:O176" si="136">E145*E157*(E152)</f>
        <v>0</v>
      </c>
      <c r="F176" s="12">
        <f t="shared" si="136"/>
        <v>0</v>
      </c>
      <c r="G176" s="12">
        <f t="shared" si="136"/>
        <v>0</v>
      </c>
      <c r="H176" s="12">
        <f t="shared" si="136"/>
        <v>0</v>
      </c>
      <c r="I176" s="12">
        <f t="shared" si="136"/>
        <v>0</v>
      </c>
      <c r="J176" s="11">
        <f t="shared" si="136"/>
        <v>0</v>
      </c>
      <c r="K176" s="12">
        <f t="shared" si="136"/>
        <v>0</v>
      </c>
      <c r="L176" s="12">
        <f t="shared" si="136"/>
        <v>0</v>
      </c>
      <c r="M176" s="12">
        <f t="shared" si="136"/>
        <v>0</v>
      </c>
      <c r="N176" s="12">
        <f t="shared" si="136"/>
        <v>0</v>
      </c>
      <c r="O176" s="12">
        <f t="shared" si="136"/>
        <v>0</v>
      </c>
      <c r="P176" s="12">
        <f>P145*P157*(P152)</f>
        <v>0</v>
      </c>
      <c r="Q176" s="12">
        <f t="shared" ref="Q176:AA176" si="137">Q145*Q157*(Q152)</f>
        <v>0</v>
      </c>
      <c r="R176" s="12">
        <f t="shared" si="137"/>
        <v>0</v>
      </c>
      <c r="S176" s="12">
        <f t="shared" si="137"/>
        <v>0</v>
      </c>
      <c r="T176" s="12">
        <f t="shared" si="137"/>
        <v>0</v>
      </c>
      <c r="U176" s="12">
        <f t="shared" si="137"/>
        <v>0</v>
      </c>
      <c r="V176" s="12">
        <f t="shared" si="137"/>
        <v>0</v>
      </c>
      <c r="W176" s="12">
        <f t="shared" si="137"/>
        <v>0</v>
      </c>
      <c r="X176" s="12">
        <f t="shared" si="137"/>
        <v>0</v>
      </c>
      <c r="Y176" s="12">
        <f t="shared" si="137"/>
        <v>0</v>
      </c>
      <c r="Z176" s="12">
        <f t="shared" si="137"/>
        <v>0</v>
      </c>
      <c r="AA176" s="12">
        <f t="shared" si="137"/>
        <v>0</v>
      </c>
    </row>
    <row r="177" spans="1:29" x14ac:dyDescent="0.3">
      <c r="A177" s="166"/>
      <c r="B177" s="167"/>
      <c r="C177" s="129" t="s">
        <v>33</v>
      </c>
      <c r="D177" s="19">
        <f>IF(D155="Verde",D148*(D158-D159)*(D152),0)</f>
        <v>0</v>
      </c>
      <c r="E177" s="20">
        <f t="shared" ref="E177:AA177" si="138">IF(E155="Verde",E148*(E158-E159)*(E152),0)</f>
        <v>0</v>
      </c>
      <c r="F177" s="20">
        <f t="shared" si="138"/>
        <v>0</v>
      </c>
      <c r="G177" s="20">
        <f t="shared" si="138"/>
        <v>0</v>
      </c>
      <c r="H177" s="20">
        <f t="shared" si="138"/>
        <v>0</v>
      </c>
      <c r="I177" s="20">
        <f t="shared" si="138"/>
        <v>0</v>
      </c>
      <c r="J177" s="19">
        <f t="shared" si="138"/>
        <v>0</v>
      </c>
      <c r="K177" s="20">
        <f t="shared" si="138"/>
        <v>0</v>
      </c>
      <c r="L177" s="20">
        <f t="shared" si="138"/>
        <v>0</v>
      </c>
      <c r="M177" s="20">
        <f t="shared" si="138"/>
        <v>0</v>
      </c>
      <c r="N177" s="20">
        <f t="shared" si="138"/>
        <v>0</v>
      </c>
      <c r="O177" s="20">
        <f t="shared" si="138"/>
        <v>0</v>
      </c>
      <c r="P177" s="20">
        <f t="shared" si="138"/>
        <v>0</v>
      </c>
      <c r="Q177" s="20">
        <f t="shared" si="138"/>
        <v>0</v>
      </c>
      <c r="R177" s="20">
        <f t="shared" si="138"/>
        <v>0</v>
      </c>
      <c r="S177" s="20">
        <f t="shared" si="138"/>
        <v>0</v>
      </c>
      <c r="T177" s="20">
        <f t="shared" si="138"/>
        <v>0</v>
      </c>
      <c r="U177" s="20">
        <f t="shared" si="138"/>
        <v>0</v>
      </c>
      <c r="V177" s="20">
        <f t="shared" si="138"/>
        <v>0</v>
      </c>
      <c r="W177" s="20">
        <f t="shared" si="138"/>
        <v>0</v>
      </c>
      <c r="X177" s="20">
        <f t="shared" si="138"/>
        <v>0</v>
      </c>
      <c r="Y177" s="20">
        <f t="shared" si="138"/>
        <v>0</v>
      </c>
      <c r="Z177" s="20">
        <f t="shared" si="138"/>
        <v>0</v>
      </c>
      <c r="AA177" s="20">
        <f t="shared" si="138"/>
        <v>0</v>
      </c>
      <c r="AC177" s="92"/>
    </row>
    <row r="178" spans="1:29" x14ac:dyDescent="0.3">
      <c r="A178" s="166"/>
      <c r="B178" s="167"/>
      <c r="C178" s="109"/>
      <c r="D178" s="109"/>
      <c r="E178" s="109"/>
      <c r="F178" s="109"/>
      <c r="G178" s="109"/>
      <c r="H178" s="109"/>
      <c r="I178" s="109"/>
      <c r="J178" s="109"/>
      <c r="K178" s="109"/>
      <c r="L178" s="109"/>
      <c r="M178" s="109"/>
      <c r="N178" s="109"/>
      <c r="O178" s="109"/>
      <c r="P178" s="109"/>
      <c r="Q178" s="109"/>
      <c r="R178" s="109"/>
      <c r="S178" s="109"/>
      <c r="T178" s="109"/>
      <c r="U178" s="109"/>
      <c r="V178" s="109"/>
      <c r="W178" s="109"/>
      <c r="X178" s="109"/>
      <c r="Y178" s="109"/>
      <c r="Z178" s="109"/>
      <c r="AA178" s="38"/>
    </row>
    <row r="179" spans="1:29" x14ac:dyDescent="0.3">
      <c r="A179" s="166"/>
      <c r="B179" s="167"/>
      <c r="C179" s="129" t="s">
        <v>34</v>
      </c>
      <c r="D179" s="98">
        <f>SUM(D148:D149)/D140</f>
        <v>1.7387096774193547</v>
      </c>
      <c r="E179" s="98">
        <f t="shared" ref="E179:O179" si="139">SUM(E148:E149)/E140</f>
        <v>1.5629310344827585</v>
      </c>
      <c r="F179" s="98">
        <f t="shared" si="139"/>
        <v>1.5241935483870968</v>
      </c>
      <c r="G179" s="98">
        <f t="shared" si="139"/>
        <v>1.7033333333333331</v>
      </c>
      <c r="H179" s="98">
        <f t="shared" si="139"/>
        <v>1.6145161290322581</v>
      </c>
      <c r="I179" s="98">
        <f t="shared" si="139"/>
        <v>1.2949999999999999</v>
      </c>
      <c r="J179" s="98">
        <f t="shared" si="139"/>
        <v>1.1177419354838709</v>
      </c>
      <c r="K179" s="98">
        <f t="shared" si="139"/>
        <v>1.1346774193548388</v>
      </c>
      <c r="L179" s="98">
        <f t="shared" si="139"/>
        <v>1.33</v>
      </c>
      <c r="M179" s="98">
        <f t="shared" si="139"/>
        <v>1.8008064516129032</v>
      </c>
      <c r="N179" s="98">
        <f t="shared" si="139"/>
        <v>1.6858333333333333</v>
      </c>
      <c r="O179" s="98">
        <f t="shared" si="139"/>
        <v>1.6935483870967742</v>
      </c>
      <c r="P179" s="98">
        <f>SUM(P148:P149)/P140</f>
        <v>1.3548387096774193</v>
      </c>
      <c r="Q179" s="98">
        <f t="shared" ref="Q179:AA179" si="140">SUM(Q148:Q149)/Q140</f>
        <v>1.375</v>
      </c>
      <c r="R179" s="98">
        <f t="shared" si="140"/>
        <v>1.5129032258064519</v>
      </c>
      <c r="S179" s="98">
        <f t="shared" si="140"/>
        <v>1.82</v>
      </c>
      <c r="T179" s="98">
        <f t="shared" si="140"/>
        <v>1.546774193548387</v>
      </c>
      <c r="U179" s="98">
        <f t="shared" si="140"/>
        <v>1.4058333333333333</v>
      </c>
      <c r="V179" s="98">
        <f t="shared" si="140"/>
        <v>1.3774193548387097</v>
      </c>
      <c r="W179" s="98">
        <f t="shared" si="140"/>
        <v>1.3604838709677418</v>
      </c>
      <c r="X179" s="98">
        <f t="shared" si="140"/>
        <v>1.5924999999999998</v>
      </c>
      <c r="Y179" s="98">
        <f t="shared" si="140"/>
        <v>1.4790322580645163</v>
      </c>
      <c r="Z179" s="98">
        <f t="shared" si="140"/>
        <v>1.7966666666666669</v>
      </c>
      <c r="AA179" s="98">
        <f t="shared" si="140"/>
        <v>1.6145161290322581</v>
      </c>
    </row>
    <row r="180" spans="1:29" x14ac:dyDescent="0.3">
      <c r="A180" s="166"/>
      <c r="B180" s="167"/>
      <c r="C180" s="133" t="s">
        <v>35</v>
      </c>
      <c r="D180" s="97">
        <f t="shared" ref="D180:T180" si="141">D179*D140</f>
        <v>1293.5999999999999</v>
      </c>
      <c r="E180" s="97">
        <f t="shared" si="141"/>
        <v>1087.8</v>
      </c>
      <c r="F180" s="97">
        <f t="shared" si="141"/>
        <v>1134</v>
      </c>
      <c r="G180" s="97">
        <f t="shared" si="141"/>
        <v>1226.3999999999999</v>
      </c>
      <c r="H180" s="97">
        <f t="shared" si="141"/>
        <v>1201.2</v>
      </c>
      <c r="I180" s="97">
        <f t="shared" si="141"/>
        <v>932.4</v>
      </c>
      <c r="J180" s="97">
        <f t="shared" si="141"/>
        <v>831.59999999999991</v>
      </c>
      <c r="K180" s="97">
        <f t="shared" si="141"/>
        <v>844.2</v>
      </c>
      <c r="L180" s="97">
        <f t="shared" si="141"/>
        <v>957.6</v>
      </c>
      <c r="M180" s="97">
        <f t="shared" si="141"/>
        <v>1339.8</v>
      </c>
      <c r="N180" s="97">
        <f t="shared" si="141"/>
        <v>1213.8</v>
      </c>
      <c r="O180" s="97">
        <f t="shared" si="141"/>
        <v>1260</v>
      </c>
      <c r="P180" s="97">
        <f t="shared" si="141"/>
        <v>1007.9999999999999</v>
      </c>
      <c r="Q180" s="97">
        <f t="shared" si="141"/>
        <v>924</v>
      </c>
      <c r="R180" s="97">
        <f t="shared" si="141"/>
        <v>1125.6000000000001</v>
      </c>
      <c r="S180" s="97">
        <f t="shared" si="141"/>
        <v>1310.4000000000001</v>
      </c>
      <c r="T180" s="97">
        <f t="shared" si="141"/>
        <v>1150.8</v>
      </c>
      <c r="U180" s="97">
        <f>U179*U140</f>
        <v>1012.1999999999999</v>
      </c>
      <c r="V180" s="97">
        <f t="shared" ref="V180:AA180" si="142">V179*V140</f>
        <v>1024.8</v>
      </c>
      <c r="W180" s="97">
        <f t="shared" si="142"/>
        <v>1012.1999999999999</v>
      </c>
      <c r="X180" s="97">
        <f t="shared" si="142"/>
        <v>1146.5999999999999</v>
      </c>
      <c r="Y180" s="97">
        <f t="shared" si="142"/>
        <v>1100.4000000000001</v>
      </c>
      <c r="Z180" s="97">
        <f t="shared" si="142"/>
        <v>1293.6000000000001</v>
      </c>
      <c r="AA180" s="97">
        <f t="shared" si="142"/>
        <v>1201.2</v>
      </c>
    </row>
    <row r="181" spans="1:29" x14ac:dyDescent="0.3">
      <c r="A181" s="166"/>
      <c r="B181" s="167"/>
      <c r="C181" s="129" t="s">
        <v>36</v>
      </c>
      <c r="D181" s="39">
        <f t="shared" ref="D181:AA181" si="143">D180*1.1</f>
        <v>1422.96</v>
      </c>
      <c r="E181" s="39">
        <f t="shared" si="143"/>
        <v>1196.5800000000002</v>
      </c>
      <c r="F181" s="39">
        <f t="shared" si="143"/>
        <v>1247.4000000000001</v>
      </c>
      <c r="G181" s="39">
        <f t="shared" si="143"/>
        <v>1349.04</v>
      </c>
      <c r="H181" s="39">
        <f t="shared" si="143"/>
        <v>1321.3200000000002</v>
      </c>
      <c r="I181" s="39">
        <f t="shared" si="143"/>
        <v>1025.6400000000001</v>
      </c>
      <c r="J181" s="39">
        <f t="shared" si="143"/>
        <v>914.76</v>
      </c>
      <c r="K181" s="39">
        <f t="shared" si="143"/>
        <v>928.62000000000012</v>
      </c>
      <c r="L181" s="39">
        <f t="shared" si="143"/>
        <v>1053.3600000000001</v>
      </c>
      <c r="M181" s="39">
        <f t="shared" si="143"/>
        <v>1473.78</v>
      </c>
      <c r="N181" s="39">
        <f t="shared" si="143"/>
        <v>1335.18</v>
      </c>
      <c r="O181" s="39">
        <f t="shared" si="143"/>
        <v>1386</v>
      </c>
      <c r="P181" s="39">
        <f t="shared" si="143"/>
        <v>1108.8</v>
      </c>
      <c r="Q181" s="39">
        <f t="shared" si="143"/>
        <v>1016.4000000000001</v>
      </c>
      <c r="R181" s="39">
        <f t="shared" si="143"/>
        <v>1238.1600000000003</v>
      </c>
      <c r="S181" s="39">
        <f t="shared" si="143"/>
        <v>1441.4400000000003</v>
      </c>
      <c r="T181" s="39">
        <f t="shared" si="143"/>
        <v>1265.8800000000001</v>
      </c>
      <c r="U181" s="39">
        <f t="shared" si="143"/>
        <v>1113.42</v>
      </c>
      <c r="V181" s="39">
        <f t="shared" si="143"/>
        <v>1127.28</v>
      </c>
      <c r="W181" s="39">
        <f t="shared" si="143"/>
        <v>1113.42</v>
      </c>
      <c r="X181" s="39">
        <f t="shared" si="143"/>
        <v>1261.26</v>
      </c>
      <c r="Y181" s="39">
        <f t="shared" si="143"/>
        <v>1210.4400000000003</v>
      </c>
      <c r="Z181" s="39">
        <f t="shared" si="143"/>
        <v>1422.9600000000003</v>
      </c>
      <c r="AA181" s="39">
        <f t="shared" si="143"/>
        <v>1321.3200000000002</v>
      </c>
    </row>
    <row r="182" spans="1:29" x14ac:dyDescent="0.3">
      <c r="A182" s="166"/>
      <c r="B182" s="167"/>
      <c r="C182" s="129" t="s">
        <v>37</v>
      </c>
      <c r="D182" s="40">
        <f t="shared" ref="D182:AA182" si="144">D180*0.9</f>
        <v>1164.24</v>
      </c>
      <c r="E182" s="40">
        <f t="shared" si="144"/>
        <v>979.02</v>
      </c>
      <c r="F182" s="40">
        <f t="shared" si="144"/>
        <v>1020.6</v>
      </c>
      <c r="G182" s="40">
        <f t="shared" si="144"/>
        <v>1103.76</v>
      </c>
      <c r="H182" s="40">
        <f t="shared" si="144"/>
        <v>1081.0800000000002</v>
      </c>
      <c r="I182" s="40">
        <f t="shared" si="144"/>
        <v>839.16</v>
      </c>
      <c r="J182" s="40">
        <f t="shared" si="144"/>
        <v>748.43999999999994</v>
      </c>
      <c r="K182" s="40">
        <f t="shared" si="144"/>
        <v>759.78000000000009</v>
      </c>
      <c r="L182" s="40">
        <f t="shared" si="144"/>
        <v>861.84</v>
      </c>
      <c r="M182" s="40">
        <f t="shared" si="144"/>
        <v>1205.82</v>
      </c>
      <c r="N182" s="40">
        <f t="shared" si="144"/>
        <v>1092.42</v>
      </c>
      <c r="O182" s="40">
        <f t="shared" si="144"/>
        <v>1134</v>
      </c>
      <c r="P182" s="40">
        <f t="shared" si="144"/>
        <v>907.19999999999993</v>
      </c>
      <c r="Q182" s="40">
        <f t="shared" si="144"/>
        <v>831.6</v>
      </c>
      <c r="R182" s="40">
        <f t="shared" si="144"/>
        <v>1013.0400000000002</v>
      </c>
      <c r="S182" s="40">
        <f t="shared" si="144"/>
        <v>1179.3600000000001</v>
      </c>
      <c r="T182" s="40">
        <f t="shared" si="144"/>
        <v>1035.72</v>
      </c>
      <c r="U182" s="40">
        <f t="shared" si="144"/>
        <v>910.9799999999999</v>
      </c>
      <c r="V182" s="40">
        <f t="shared" si="144"/>
        <v>922.31999999999994</v>
      </c>
      <c r="W182" s="40">
        <f t="shared" si="144"/>
        <v>910.9799999999999</v>
      </c>
      <c r="X182" s="40">
        <f t="shared" si="144"/>
        <v>1031.94</v>
      </c>
      <c r="Y182" s="40">
        <f t="shared" si="144"/>
        <v>990.36000000000013</v>
      </c>
      <c r="Z182" s="40">
        <f t="shared" si="144"/>
        <v>1164.2400000000002</v>
      </c>
      <c r="AA182" s="40">
        <f t="shared" si="144"/>
        <v>1081.0800000000002</v>
      </c>
    </row>
    <row r="183" spans="1:29" x14ac:dyDescent="0.3">
      <c r="A183" s="166"/>
      <c r="B183" s="167"/>
      <c r="C183" s="101"/>
      <c r="D183" s="101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1"/>
      <c r="AA183" s="41"/>
    </row>
    <row r="184" spans="1:29" x14ac:dyDescent="0.3">
      <c r="A184" s="166"/>
      <c r="B184" s="167"/>
      <c r="C184" s="129" t="s">
        <v>38</v>
      </c>
      <c r="D184" s="43">
        <f t="shared" ref="D184:O184" si="145">D180</f>
        <v>1293.5999999999999</v>
      </c>
      <c r="E184" s="43">
        <f t="shared" si="145"/>
        <v>1087.8</v>
      </c>
      <c r="F184" s="43">
        <f t="shared" si="145"/>
        <v>1134</v>
      </c>
      <c r="G184" s="43">
        <f t="shared" si="145"/>
        <v>1226.3999999999999</v>
      </c>
      <c r="H184" s="43">
        <f t="shared" si="145"/>
        <v>1201.2</v>
      </c>
      <c r="I184" s="43">
        <f t="shared" si="145"/>
        <v>932.4</v>
      </c>
      <c r="J184" s="43">
        <f t="shared" si="145"/>
        <v>831.59999999999991</v>
      </c>
      <c r="K184" s="43">
        <f t="shared" si="145"/>
        <v>844.2</v>
      </c>
      <c r="L184" s="43">
        <f t="shared" si="145"/>
        <v>957.6</v>
      </c>
      <c r="M184" s="43">
        <f t="shared" si="145"/>
        <v>1339.8</v>
      </c>
      <c r="N184" s="43">
        <f t="shared" si="145"/>
        <v>1213.8</v>
      </c>
      <c r="O184" s="43">
        <f t="shared" si="145"/>
        <v>1260</v>
      </c>
      <c r="P184" s="43">
        <f>P180</f>
        <v>1007.9999999999999</v>
      </c>
      <c r="Q184" s="43">
        <f t="shared" ref="Q184:AA184" si="146">Q180</f>
        <v>924</v>
      </c>
      <c r="R184" s="43">
        <f t="shared" si="146"/>
        <v>1125.6000000000001</v>
      </c>
      <c r="S184" s="43">
        <f t="shared" si="146"/>
        <v>1310.4000000000001</v>
      </c>
      <c r="T184" s="43">
        <f t="shared" si="146"/>
        <v>1150.8</v>
      </c>
      <c r="U184" s="43">
        <f t="shared" si="146"/>
        <v>1012.1999999999999</v>
      </c>
      <c r="V184" s="43">
        <f t="shared" si="146"/>
        <v>1024.8</v>
      </c>
      <c r="W184" s="43">
        <f t="shared" si="146"/>
        <v>1012.1999999999999</v>
      </c>
      <c r="X184" s="43">
        <f t="shared" si="146"/>
        <v>1146.5999999999999</v>
      </c>
      <c r="Y184" s="43">
        <f t="shared" si="146"/>
        <v>1100.4000000000001</v>
      </c>
      <c r="Z184" s="43">
        <f t="shared" si="146"/>
        <v>1293.6000000000001</v>
      </c>
      <c r="AA184" s="43">
        <f t="shared" si="146"/>
        <v>1201.2</v>
      </c>
    </row>
    <row r="185" spans="1:29" x14ac:dyDescent="0.3">
      <c r="A185" s="166"/>
      <c r="B185" s="167"/>
      <c r="C185" s="129" t="s">
        <v>39</v>
      </c>
      <c r="D185" s="127">
        <f>'SIMULAÇÃO CENÁRIOS'!$E$6</f>
        <v>175</v>
      </c>
      <c r="E185" s="127">
        <f>'SIMULAÇÃO CENÁRIOS'!$E$6</f>
        <v>175</v>
      </c>
      <c r="F185" s="127">
        <f>'SIMULAÇÃO CENÁRIOS'!$E$6</f>
        <v>175</v>
      </c>
      <c r="G185" s="127">
        <f>'SIMULAÇÃO CENÁRIOS'!$E$6</f>
        <v>175</v>
      </c>
      <c r="H185" s="127">
        <f>'SIMULAÇÃO CENÁRIOS'!$E$6</f>
        <v>175</v>
      </c>
      <c r="I185" s="127">
        <f>'SIMULAÇÃO CENÁRIOS'!$E$6</f>
        <v>175</v>
      </c>
      <c r="J185" s="127">
        <f>'SIMULAÇÃO CENÁRIOS'!$E$6</f>
        <v>175</v>
      </c>
      <c r="K185" s="127">
        <f>'SIMULAÇÃO CENÁRIOS'!$E$6</f>
        <v>175</v>
      </c>
      <c r="L185" s="127">
        <f>'SIMULAÇÃO CENÁRIOS'!$E$6</f>
        <v>175</v>
      </c>
      <c r="M185" s="127">
        <f>'SIMULAÇÃO CENÁRIOS'!$E$6</f>
        <v>175</v>
      </c>
      <c r="N185" s="127">
        <f>'SIMULAÇÃO CENÁRIOS'!$E$6</f>
        <v>175</v>
      </c>
      <c r="O185" s="127">
        <f>'SIMULAÇÃO CENÁRIOS'!$E$6</f>
        <v>175</v>
      </c>
      <c r="P185" s="127">
        <f>'SIMULAÇÃO CENÁRIOS'!$E$6</f>
        <v>175</v>
      </c>
      <c r="Q185" s="127">
        <f>'SIMULAÇÃO CENÁRIOS'!$E$6</f>
        <v>175</v>
      </c>
      <c r="R185" s="127">
        <f>'SIMULAÇÃO CENÁRIOS'!$E$6</f>
        <v>175</v>
      </c>
      <c r="S185" s="127">
        <f>'SIMULAÇÃO CENÁRIOS'!$E$6</f>
        <v>175</v>
      </c>
      <c r="T185" s="127">
        <f>'SIMULAÇÃO CENÁRIOS'!$E$6</f>
        <v>175</v>
      </c>
      <c r="U185" s="127">
        <f>'SIMULAÇÃO CENÁRIOS'!$E$6</f>
        <v>175</v>
      </c>
      <c r="V185" s="127">
        <f>'SIMULAÇÃO CENÁRIOS'!$E$6</f>
        <v>175</v>
      </c>
      <c r="W185" s="127">
        <f>'SIMULAÇÃO CENÁRIOS'!$E$6</f>
        <v>175</v>
      </c>
      <c r="X185" s="127">
        <f>'SIMULAÇÃO CENÁRIOS'!$E$6</f>
        <v>175</v>
      </c>
      <c r="Y185" s="127">
        <f>'SIMULAÇÃO CENÁRIOS'!$E$6</f>
        <v>175</v>
      </c>
      <c r="Z185" s="127">
        <f>'SIMULAÇÃO CENÁRIOS'!$E$6</f>
        <v>175</v>
      </c>
      <c r="AA185" s="127">
        <f>'SIMULAÇÃO CENÁRIOS'!$E$6</f>
        <v>175</v>
      </c>
    </row>
    <row r="186" spans="1:29" x14ac:dyDescent="0.3">
      <c r="A186" s="166"/>
      <c r="B186" s="167"/>
      <c r="C186" s="129" t="s">
        <v>40</v>
      </c>
      <c r="D186" s="44">
        <f>D184*D185/(1-D163)</f>
        <v>310109.58904109587</v>
      </c>
      <c r="E186" s="44">
        <f>E184*E185/(1-E163)</f>
        <v>260773.97260273973</v>
      </c>
      <c r="F186" s="44">
        <f t="shared" ref="F186" si="147">F184*F185/(1-F163)</f>
        <v>271849.31506849313</v>
      </c>
      <c r="G186" s="44">
        <f t="shared" ref="G186" si="148">G184*G185/(1-G163)</f>
        <v>293999.99999999994</v>
      </c>
      <c r="H186" s="44">
        <f t="shared" ref="H186" si="149">H184*H185/(1-H163)</f>
        <v>287958.90410958906</v>
      </c>
      <c r="I186" s="44">
        <f>I184*I185/(1-I163)</f>
        <v>223520.54794520547</v>
      </c>
      <c r="J186" s="44">
        <f>J184*J185/(1-J163)</f>
        <v>199356.16438356161</v>
      </c>
      <c r="K186" s="44">
        <f t="shared" ref="K186" si="150">K184*K185/(1-K163)</f>
        <v>202376.71232876714</v>
      </c>
      <c r="L186" s="44">
        <f t="shared" ref="L186" si="151">L184*L185/(1-L163)</f>
        <v>229561.64383561644</v>
      </c>
      <c r="M186" s="44">
        <f t="shared" ref="M186" si="152">M184*M185/(1-M163)</f>
        <v>321184.9315068493</v>
      </c>
      <c r="N186" s="44">
        <f t="shared" ref="N186" si="153">N184*N185/(1-N163)</f>
        <v>290979.45205479453</v>
      </c>
      <c r="O186" s="44">
        <f t="shared" ref="O186" si="154">O184*O185/(1-O163)</f>
        <v>302054.79452054796</v>
      </c>
      <c r="P186" s="44">
        <f t="shared" ref="P186" si="155">P184*P185/(1-P163)</f>
        <v>241643.83561643833</v>
      </c>
      <c r="Q186" s="44">
        <f t="shared" ref="Q186" si="156">Q184*Q185/(1-Q163)</f>
        <v>221506.84931506851</v>
      </c>
      <c r="R186" s="44">
        <f t="shared" ref="R186" si="157">R184*R185/(1-R163)</f>
        <v>269835.61643835623</v>
      </c>
      <c r="S186" s="44">
        <f t="shared" ref="S186" si="158">S184*S185/(1-S163)</f>
        <v>314136.98630136991</v>
      </c>
      <c r="T186" s="44">
        <f t="shared" ref="T186" si="159">T184*T185/(1-T163)</f>
        <v>275876.71232876711</v>
      </c>
      <c r="U186" s="44">
        <f t="shared" ref="U186" si="160">U184*U185/(1-U163)</f>
        <v>242650.68493150687</v>
      </c>
      <c r="V186" s="44">
        <f t="shared" ref="V186" si="161">V184*V185/(1-V163)</f>
        <v>245671.23287671234</v>
      </c>
      <c r="W186" s="44">
        <f t="shared" ref="W186" si="162">W184*W185/(1-W163)</f>
        <v>242650.68493150687</v>
      </c>
      <c r="X186" s="44">
        <f t="shared" ref="X186" si="163">X184*X185/(1-X163)</f>
        <v>274869.8630136986</v>
      </c>
      <c r="Y186" s="44">
        <f t="shared" ref="Y186" si="164">Y184*Y185/(1-Y163)</f>
        <v>263794.52054794523</v>
      </c>
      <c r="Z186" s="44">
        <f t="shared" ref="Z186" si="165">Z184*Z185/(1-Z163)</f>
        <v>310109.58904109593</v>
      </c>
      <c r="AA186" s="44">
        <f t="shared" ref="AA186" si="166">AA184*AA185/(1-AA163)</f>
        <v>287958.90410958906</v>
      </c>
    </row>
    <row r="187" spans="1:29" ht="17.25" thickBot="1" x14ac:dyDescent="0.35">
      <c r="A187" s="166"/>
      <c r="B187" s="167"/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1"/>
      <c r="AA187" s="45"/>
    </row>
    <row r="188" spans="1:29" ht="17.25" thickBot="1" x14ac:dyDescent="0.35">
      <c r="A188" s="166"/>
      <c r="B188" s="167"/>
      <c r="C188" s="134" t="s">
        <v>98</v>
      </c>
      <c r="D188" s="46">
        <f t="shared" ref="D188:O188" si="167">+D186+D173+D172</f>
        <v>789665.41257050773</v>
      </c>
      <c r="E188" s="46">
        <f t="shared" si="167"/>
        <v>677737.69024979859</v>
      </c>
      <c r="F188" s="46">
        <f t="shared" si="167"/>
        <v>709420.39448025788</v>
      </c>
      <c r="G188" s="46">
        <f t="shared" si="167"/>
        <v>765314.92941176472</v>
      </c>
      <c r="H188" s="46">
        <f t="shared" si="167"/>
        <v>763654.37175664795</v>
      </c>
      <c r="I188" s="46">
        <f t="shared" si="167"/>
        <v>613956.32441579364</v>
      </c>
      <c r="J188" s="46">
        <f t="shared" si="167"/>
        <v>607314.09379532631</v>
      </c>
      <c r="K188" s="46">
        <f t="shared" si="167"/>
        <v>604408.93585817888</v>
      </c>
      <c r="L188" s="46">
        <f t="shared" si="167"/>
        <v>675383.87030620477</v>
      </c>
      <c r="M188" s="46">
        <f t="shared" si="167"/>
        <v>888585.97856567288</v>
      </c>
      <c r="N188" s="46">
        <f t="shared" si="167"/>
        <v>790632.70793714758</v>
      </c>
      <c r="O188" s="46">
        <f t="shared" si="167"/>
        <v>814844.53863819502</v>
      </c>
      <c r="P188" s="46">
        <f>+P186+P173+P172</f>
        <v>663763.23855761485</v>
      </c>
      <c r="Q188" s="46">
        <f t="shared" ref="Q188:AA188" si="168">+Q186+Q173+Q172</f>
        <v>595970.76696212741</v>
      </c>
      <c r="R188" s="46">
        <f t="shared" si="168"/>
        <v>751201.82526188577</v>
      </c>
      <c r="S188" s="46">
        <f t="shared" si="168"/>
        <v>877932.64218372281</v>
      </c>
      <c r="T188" s="46">
        <f t="shared" si="168"/>
        <v>752862.38291700231</v>
      </c>
      <c r="U188" s="46">
        <f t="shared" si="168"/>
        <v>710110.38493150694</v>
      </c>
      <c r="V188" s="46">
        <f t="shared" si="168"/>
        <v>729617.84758259472</v>
      </c>
      <c r="W188" s="46">
        <f t="shared" si="168"/>
        <v>725052.13199033041</v>
      </c>
      <c r="X188" s="46">
        <f t="shared" si="168"/>
        <v>766282.22477840446</v>
      </c>
      <c r="Y188" s="46">
        <f t="shared" si="168"/>
        <v>727128.64701853367</v>
      </c>
      <c r="Z188" s="46">
        <f t="shared" si="168"/>
        <v>849432.40080580185</v>
      </c>
      <c r="AA188" s="46">
        <f t="shared" si="168"/>
        <v>793537.86587429501</v>
      </c>
      <c r="AC188" s="47">
        <f>SUM(D188:AA188)</f>
        <v>17643811.606849317</v>
      </c>
    </row>
    <row r="189" spans="1:29" x14ac:dyDescent="0.3">
      <c r="A189" s="166"/>
      <c r="B189" s="167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100"/>
    </row>
    <row r="190" spans="1:29" ht="45.75" x14ac:dyDescent="0.3">
      <c r="A190" s="166"/>
      <c r="B190" s="167"/>
      <c r="C190" s="172" t="s">
        <v>99</v>
      </c>
      <c r="D190" s="172"/>
      <c r="E190" s="172"/>
      <c r="F190" s="172"/>
      <c r="G190" s="172"/>
      <c r="H190" s="172"/>
      <c r="I190" s="172"/>
      <c r="J190" s="172"/>
      <c r="K190" s="172"/>
      <c r="L190" s="172"/>
      <c r="M190" s="172"/>
      <c r="N190" s="172"/>
      <c r="O190" s="172"/>
      <c r="P190" s="172"/>
      <c r="Q190" s="172"/>
      <c r="R190" s="172"/>
      <c r="S190" s="172"/>
      <c r="T190" s="172"/>
      <c r="U190" s="172"/>
      <c r="V190" s="172"/>
      <c r="W190" s="172"/>
      <c r="X190" s="172"/>
      <c r="Y190" s="172"/>
      <c r="Z190" s="172"/>
      <c r="AA190" s="173"/>
    </row>
    <row r="191" spans="1:29" x14ac:dyDescent="0.3">
      <c r="A191" s="166"/>
      <c r="B191" s="167"/>
      <c r="C191" s="129" t="s">
        <v>101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3">
        <v>0</v>
      </c>
      <c r="R191" s="43">
        <v>0</v>
      </c>
      <c r="S191" s="43">
        <v>0</v>
      </c>
      <c r="T191" s="43">
        <v>0</v>
      </c>
      <c r="U191" s="43">
        <v>0</v>
      </c>
      <c r="V191" s="43">
        <v>0</v>
      </c>
      <c r="W191" s="43">
        <v>0</v>
      </c>
      <c r="X191" s="43">
        <v>0</v>
      </c>
      <c r="Y191" s="43">
        <v>0</v>
      </c>
      <c r="Z191" s="43">
        <v>0</v>
      </c>
      <c r="AA191" s="43">
        <v>0</v>
      </c>
    </row>
    <row r="192" spans="1:29" x14ac:dyDescent="0.3">
      <c r="A192" s="166"/>
      <c r="B192" s="167"/>
      <c r="C192" s="129" t="s">
        <v>102</v>
      </c>
      <c r="D192" s="17">
        <f t="shared" ref="D192:O192" si="169">D145*D157+D147*D157*2</f>
        <v>96300.000000000015</v>
      </c>
      <c r="E192" s="17">
        <f t="shared" si="169"/>
        <v>96300.000000000015</v>
      </c>
      <c r="F192" s="17">
        <f t="shared" si="169"/>
        <v>96300.000000000015</v>
      </c>
      <c r="G192" s="17">
        <f t="shared" si="169"/>
        <v>96300.000000000015</v>
      </c>
      <c r="H192" s="17">
        <f t="shared" si="169"/>
        <v>96300.000000000015</v>
      </c>
      <c r="I192" s="17">
        <f t="shared" si="169"/>
        <v>96300.000000000015</v>
      </c>
      <c r="J192" s="17">
        <f t="shared" si="169"/>
        <v>96300.000000000015</v>
      </c>
      <c r="K192" s="17">
        <f t="shared" si="169"/>
        <v>96300.000000000015</v>
      </c>
      <c r="L192" s="17">
        <f t="shared" si="169"/>
        <v>96300.000000000015</v>
      </c>
      <c r="M192" s="17">
        <f t="shared" si="169"/>
        <v>96300.000000000015</v>
      </c>
      <c r="N192" s="17">
        <f t="shared" si="169"/>
        <v>96300.000000000015</v>
      </c>
      <c r="O192" s="17">
        <f t="shared" si="169"/>
        <v>96300.000000000015</v>
      </c>
      <c r="P192" s="17">
        <f>P145*P157+P147*P157*2</f>
        <v>96300.000000000015</v>
      </c>
      <c r="Q192" s="18">
        <f t="shared" ref="Q192:AA192" si="170">Q145*Q157+Q147*Q157*2</f>
        <v>96300.000000000015</v>
      </c>
      <c r="R192" s="18">
        <f t="shared" si="170"/>
        <v>96300.000000000015</v>
      </c>
      <c r="S192" s="18">
        <f t="shared" si="170"/>
        <v>96300.000000000015</v>
      </c>
      <c r="T192" s="18">
        <f t="shared" si="170"/>
        <v>96300.000000000015</v>
      </c>
      <c r="U192" s="18">
        <f t="shared" si="170"/>
        <v>96300.000000000015</v>
      </c>
      <c r="V192" s="18">
        <f t="shared" si="170"/>
        <v>96300.000000000015</v>
      </c>
      <c r="W192" s="18">
        <f t="shared" si="170"/>
        <v>96300.000000000015</v>
      </c>
      <c r="X192" s="18">
        <f t="shared" si="170"/>
        <v>96300.000000000015</v>
      </c>
      <c r="Y192" s="18">
        <f t="shared" si="170"/>
        <v>96300.000000000015</v>
      </c>
      <c r="Z192" s="18">
        <f t="shared" si="170"/>
        <v>96300.000000000015</v>
      </c>
      <c r="AA192" s="18">
        <f t="shared" si="170"/>
        <v>96300.000000000015</v>
      </c>
    </row>
    <row r="193" spans="1:29" x14ac:dyDescent="0.3">
      <c r="A193" s="166"/>
      <c r="B193" s="167"/>
      <c r="C193" s="129" t="s">
        <v>103</v>
      </c>
      <c r="D193" s="102">
        <f t="shared" ref="D193:O193" si="171">D148*D158</f>
        <v>130330.368</v>
      </c>
      <c r="E193" s="102">
        <f t="shared" si="171"/>
        <v>103178.208</v>
      </c>
      <c r="F193" s="102">
        <f t="shared" si="171"/>
        <v>114039.072</v>
      </c>
      <c r="G193" s="102">
        <f t="shared" si="171"/>
        <v>130330.368</v>
      </c>
      <c r="H193" s="102">
        <f t="shared" si="171"/>
        <v>135760.80000000002</v>
      </c>
      <c r="I193" s="102">
        <f t="shared" si="171"/>
        <v>97747.775999999998</v>
      </c>
      <c r="J193" s="102">
        <f t="shared" si="171"/>
        <v>119469.50400000002</v>
      </c>
      <c r="K193" s="102">
        <f t="shared" si="171"/>
        <v>114039.072</v>
      </c>
      <c r="L193" s="102">
        <f t="shared" si="171"/>
        <v>135760.80000000002</v>
      </c>
      <c r="M193" s="102">
        <f t="shared" si="171"/>
        <v>190065.12</v>
      </c>
      <c r="N193" s="102">
        <f t="shared" si="171"/>
        <v>152052.09599999999</v>
      </c>
      <c r="O193" s="102">
        <f t="shared" si="171"/>
        <v>157482.52799999999</v>
      </c>
      <c r="P193" s="102">
        <f>P148*P158</f>
        <v>114039.072</v>
      </c>
      <c r="Q193" s="103">
        <f t="shared" ref="Q193:AA193" si="172">Q148*Q158</f>
        <v>86886.912000000011</v>
      </c>
      <c r="R193" s="103">
        <f t="shared" si="172"/>
        <v>146621.66400000002</v>
      </c>
      <c r="S193" s="103">
        <f t="shared" si="172"/>
        <v>190065.12</v>
      </c>
      <c r="T193" s="103">
        <f t="shared" si="172"/>
        <v>141191.23200000002</v>
      </c>
      <c r="U193" s="103">
        <f t="shared" si="172"/>
        <v>146621.66400000002</v>
      </c>
      <c r="V193" s="103">
        <f t="shared" si="172"/>
        <v>157482.52799999999</v>
      </c>
      <c r="W193" s="103">
        <f t="shared" si="172"/>
        <v>157482.52799999999</v>
      </c>
      <c r="X193" s="103">
        <f t="shared" si="172"/>
        <v>152052.09599999999</v>
      </c>
      <c r="Y193" s="103">
        <f t="shared" si="172"/>
        <v>135760.80000000002</v>
      </c>
      <c r="Z193" s="103">
        <f t="shared" si="172"/>
        <v>173773.82400000002</v>
      </c>
      <c r="AA193" s="103">
        <f t="shared" si="172"/>
        <v>157482.52799999999</v>
      </c>
    </row>
    <row r="194" spans="1:29" x14ac:dyDescent="0.3">
      <c r="A194" s="166"/>
      <c r="B194" s="167"/>
      <c r="C194" s="129" t="s">
        <v>104</v>
      </c>
      <c r="D194" s="17">
        <f t="shared" ref="D194:O194" si="173">D149*D159</f>
        <v>99467.59199999999</v>
      </c>
      <c r="E194" s="17">
        <f t="shared" si="173"/>
        <v>84057.12</v>
      </c>
      <c r="F194" s="17">
        <f t="shared" si="173"/>
        <v>87209.262000000002</v>
      </c>
      <c r="G194" s="17">
        <f t="shared" si="173"/>
        <v>93863.784</v>
      </c>
      <c r="H194" s="17">
        <f t="shared" si="173"/>
        <v>91412.118000000002</v>
      </c>
      <c r="I194" s="17">
        <f t="shared" si="173"/>
        <v>71448.551999999996</v>
      </c>
      <c r="J194" s="17">
        <f t="shared" si="173"/>
        <v>61641.888000000006</v>
      </c>
      <c r="K194" s="17">
        <f t="shared" si="173"/>
        <v>63042.840000000004</v>
      </c>
      <c r="L194" s="17">
        <f t="shared" si="173"/>
        <v>71098.313999999998</v>
      </c>
      <c r="M194" s="17">
        <f t="shared" si="173"/>
        <v>99467.59199999999</v>
      </c>
      <c r="N194" s="17">
        <f t="shared" si="173"/>
        <v>91412.118000000002</v>
      </c>
      <c r="O194" s="17">
        <f t="shared" si="173"/>
        <v>94914.498000000007</v>
      </c>
      <c r="P194" s="17">
        <f>P149*P159</f>
        <v>76702.122000000003</v>
      </c>
      <c r="Q194" s="18">
        <f t="shared" ref="Q194:AA194" si="174">Q149*Q159</f>
        <v>71448.551999999996</v>
      </c>
      <c r="R194" s="18">
        <f t="shared" si="174"/>
        <v>84407.358000000007</v>
      </c>
      <c r="S194" s="18">
        <f t="shared" si="174"/>
        <v>97015.926000000007</v>
      </c>
      <c r="T194" s="18">
        <f t="shared" si="174"/>
        <v>86859.02399999999</v>
      </c>
      <c r="U194" s="18">
        <f t="shared" si="174"/>
        <v>74950.932000000001</v>
      </c>
      <c r="V194" s="18">
        <f t="shared" si="174"/>
        <v>75301.17</v>
      </c>
      <c r="W194" s="18">
        <f t="shared" si="174"/>
        <v>74250.456000000006</v>
      </c>
      <c r="X194" s="18">
        <f t="shared" si="174"/>
        <v>85808.31</v>
      </c>
      <c r="Y194" s="18">
        <f t="shared" si="174"/>
        <v>83006.406000000003</v>
      </c>
      <c r="Z194" s="18">
        <f t="shared" si="174"/>
        <v>96665.688000000009</v>
      </c>
      <c r="AA194" s="18">
        <f t="shared" si="174"/>
        <v>90011.166000000012</v>
      </c>
    </row>
    <row r="195" spans="1:29" x14ac:dyDescent="0.3">
      <c r="A195" s="166"/>
      <c r="B195" s="167"/>
      <c r="C195" s="129" t="s">
        <v>105</v>
      </c>
      <c r="D195" s="102">
        <f t="shared" ref="D195:O195" si="175">D148*D160</f>
        <v>42404.544000000002</v>
      </c>
      <c r="E195" s="102">
        <f t="shared" si="175"/>
        <v>33570.264000000003</v>
      </c>
      <c r="F195" s="102">
        <f t="shared" si="175"/>
        <v>37103.976000000002</v>
      </c>
      <c r="G195" s="102">
        <f t="shared" si="175"/>
        <v>42404.544000000002</v>
      </c>
      <c r="H195" s="102">
        <f t="shared" si="175"/>
        <v>44171.4</v>
      </c>
      <c r="I195" s="102">
        <f t="shared" si="175"/>
        <v>31803.407999999999</v>
      </c>
      <c r="J195" s="102">
        <f t="shared" si="175"/>
        <v>38870.832000000002</v>
      </c>
      <c r="K195" s="102">
        <f t="shared" si="175"/>
        <v>37103.976000000002</v>
      </c>
      <c r="L195" s="102">
        <f t="shared" si="175"/>
        <v>44171.4</v>
      </c>
      <c r="M195" s="102">
        <f t="shared" si="175"/>
        <v>61839.96</v>
      </c>
      <c r="N195" s="102">
        <f t="shared" si="175"/>
        <v>49471.968000000001</v>
      </c>
      <c r="O195" s="102">
        <f t="shared" si="175"/>
        <v>51238.824000000001</v>
      </c>
      <c r="P195" s="102">
        <f>P148*P160</f>
        <v>37103.976000000002</v>
      </c>
      <c r="Q195" s="103">
        <f t="shared" ref="Q195:AA195" si="176">Q148*Q160</f>
        <v>28269.696</v>
      </c>
      <c r="R195" s="103">
        <f t="shared" si="176"/>
        <v>47705.112000000001</v>
      </c>
      <c r="S195" s="103">
        <f t="shared" si="176"/>
        <v>61839.96</v>
      </c>
      <c r="T195" s="103">
        <f t="shared" si="176"/>
        <v>45938.256000000001</v>
      </c>
      <c r="U195" s="103">
        <f t="shared" si="176"/>
        <v>47705.112000000001</v>
      </c>
      <c r="V195" s="103">
        <f t="shared" si="176"/>
        <v>51238.824000000001</v>
      </c>
      <c r="W195" s="103">
        <f t="shared" si="176"/>
        <v>51238.824000000001</v>
      </c>
      <c r="X195" s="103">
        <f t="shared" si="176"/>
        <v>49471.968000000001</v>
      </c>
      <c r="Y195" s="103">
        <f t="shared" si="176"/>
        <v>44171.4</v>
      </c>
      <c r="Z195" s="103">
        <f t="shared" si="176"/>
        <v>56539.392</v>
      </c>
      <c r="AA195" s="103">
        <f t="shared" si="176"/>
        <v>51238.824000000001</v>
      </c>
    </row>
    <row r="196" spans="1:29" x14ac:dyDescent="0.3">
      <c r="A196" s="166"/>
      <c r="B196" s="167"/>
      <c r="C196" s="129" t="s">
        <v>106</v>
      </c>
      <c r="D196" s="17">
        <f t="shared" ref="D196:O196" si="177">D149*D161</f>
        <v>299917.63199999998</v>
      </c>
      <c r="E196" s="17">
        <f t="shared" si="177"/>
        <v>253451.51999999999</v>
      </c>
      <c r="F196" s="17">
        <f t="shared" si="177"/>
        <v>262955.95199999999</v>
      </c>
      <c r="G196" s="17">
        <f t="shared" si="177"/>
        <v>283020.864</v>
      </c>
      <c r="H196" s="17">
        <f t="shared" si="177"/>
        <v>275628.52799999999</v>
      </c>
      <c r="I196" s="17">
        <f t="shared" si="177"/>
        <v>215433.79199999999</v>
      </c>
      <c r="J196" s="17">
        <f t="shared" si="177"/>
        <v>185864.448</v>
      </c>
      <c r="K196" s="17">
        <f t="shared" si="177"/>
        <v>190088.63999999998</v>
      </c>
      <c r="L196" s="17">
        <f t="shared" si="177"/>
        <v>214377.74400000001</v>
      </c>
      <c r="M196" s="17">
        <f t="shared" si="177"/>
        <v>299917.63199999998</v>
      </c>
      <c r="N196" s="17">
        <f t="shared" si="177"/>
        <v>275628.52799999999</v>
      </c>
      <c r="O196" s="17">
        <f t="shared" si="177"/>
        <v>286189.00800000003</v>
      </c>
      <c r="P196" s="17">
        <f>P149*P161</f>
        <v>231274.51199999999</v>
      </c>
      <c r="Q196" s="18">
        <f t="shared" ref="Q196:AA196" si="178">Q149*Q161</f>
        <v>215433.79199999999</v>
      </c>
      <c r="R196" s="18">
        <f t="shared" si="178"/>
        <v>254507.568</v>
      </c>
      <c r="S196" s="18">
        <f t="shared" si="178"/>
        <v>292525.29600000003</v>
      </c>
      <c r="T196" s="18">
        <f t="shared" si="178"/>
        <v>261899.90399999998</v>
      </c>
      <c r="U196" s="18">
        <f t="shared" si="178"/>
        <v>225994.272</v>
      </c>
      <c r="V196" s="18">
        <f t="shared" si="178"/>
        <v>227050.32</v>
      </c>
      <c r="W196" s="18">
        <f t="shared" si="178"/>
        <v>223882.17600000001</v>
      </c>
      <c r="X196" s="18">
        <f t="shared" si="178"/>
        <v>258731.76</v>
      </c>
      <c r="Y196" s="18">
        <f t="shared" si="178"/>
        <v>250283.37599999999</v>
      </c>
      <c r="Z196" s="18">
        <f t="shared" si="178"/>
        <v>291469.24800000002</v>
      </c>
      <c r="AA196" s="18">
        <f t="shared" si="178"/>
        <v>271404.33600000001</v>
      </c>
    </row>
    <row r="197" spans="1:29" x14ac:dyDescent="0.3">
      <c r="A197" s="166"/>
      <c r="B197" s="167"/>
      <c r="C197" s="130" t="s">
        <v>107</v>
      </c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3"/>
      <c r="R197" s="103"/>
      <c r="S197" s="103"/>
      <c r="T197" s="103"/>
      <c r="U197" s="103"/>
      <c r="V197" s="103"/>
      <c r="W197" s="103"/>
      <c r="X197" s="103"/>
      <c r="Y197" s="103"/>
      <c r="Z197" s="103"/>
      <c r="AA197" s="103"/>
    </row>
    <row r="198" spans="1:29" x14ac:dyDescent="0.3">
      <c r="A198" s="166"/>
      <c r="B198" s="167"/>
      <c r="C198" s="130" t="s">
        <v>110</v>
      </c>
      <c r="D198" s="21">
        <f t="shared" ref="D198:O198" si="179">SUM(D191:D197)/(1-SUM(D163:D164))*SUM(D163:D164)</f>
        <v>314550.65223529417</v>
      </c>
      <c r="E198" s="21">
        <f t="shared" si="179"/>
        <v>268497.46447058825</v>
      </c>
      <c r="F198" s="21">
        <f t="shared" si="179"/>
        <v>281227.41741176479</v>
      </c>
      <c r="G198" s="21">
        <f t="shared" si="179"/>
        <v>303962.14588235301</v>
      </c>
      <c r="H198" s="21">
        <f t="shared" si="179"/>
        <v>302716.63341176481</v>
      </c>
      <c r="I198" s="21">
        <f t="shared" si="179"/>
        <v>241286.36611764706</v>
      </c>
      <c r="J198" s="21">
        <f t="shared" si="179"/>
        <v>236304.31623529416</v>
      </c>
      <c r="K198" s="21">
        <f t="shared" si="179"/>
        <v>235564.48376470592</v>
      </c>
      <c r="L198" s="21">
        <f t="shared" si="179"/>
        <v>264333.29788235301</v>
      </c>
      <c r="M198" s="21">
        <f t="shared" si="179"/>
        <v>351807.20188235299</v>
      </c>
      <c r="N198" s="21">
        <f t="shared" si="179"/>
        <v>312877.51058823528</v>
      </c>
      <c r="O198" s="21">
        <f t="shared" si="179"/>
        <v>322882.28611764713</v>
      </c>
      <c r="P198" s="21">
        <f>SUM(P191:P197)/(1-SUM(P163:P164))*SUM(P163:P164)</f>
        <v>261373.96800000005</v>
      </c>
      <c r="Q198" s="22">
        <f t="shared" ref="Q198:AA198" si="180">SUM(Q191:Q197)/(1-SUM(Q163:Q164))*SUM(Q163:Q164)</f>
        <v>234512.44800000006</v>
      </c>
      <c r="R198" s="22">
        <f t="shared" si="180"/>
        <v>296254.91858823533</v>
      </c>
      <c r="S198" s="22">
        <f t="shared" si="180"/>
        <v>347174.73035294126</v>
      </c>
      <c r="T198" s="22">
        <f t="shared" si="180"/>
        <v>297500.43105882354</v>
      </c>
      <c r="U198" s="22">
        <f t="shared" si="180"/>
        <v>278386.81411764707</v>
      </c>
      <c r="V198" s="22">
        <f t="shared" si="180"/>
        <v>285822.51388235291</v>
      </c>
      <c r="W198" s="22">
        <f t="shared" si="180"/>
        <v>283837.16894117655</v>
      </c>
      <c r="X198" s="22">
        <f t="shared" si="180"/>
        <v>302289.00423529418</v>
      </c>
      <c r="Y198" s="22">
        <f t="shared" si="180"/>
        <v>286833.87388235301</v>
      </c>
      <c r="Z198" s="22">
        <f t="shared" si="180"/>
        <v>336352.07152941183</v>
      </c>
      <c r="AA198" s="22">
        <f t="shared" si="180"/>
        <v>313617.34305882355</v>
      </c>
    </row>
    <row r="199" spans="1:29" ht="17.25" thickBot="1" x14ac:dyDescent="0.35">
      <c r="A199" s="166"/>
      <c r="B199" s="167"/>
      <c r="C199" s="101"/>
      <c r="D199" s="101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  <c r="Z199" s="101"/>
      <c r="AA199" s="45"/>
    </row>
    <row r="200" spans="1:29" ht="17.25" thickBot="1" x14ac:dyDescent="0.35">
      <c r="A200" s="166"/>
      <c r="B200" s="167"/>
      <c r="C200" s="134" t="s">
        <v>109</v>
      </c>
      <c r="D200" s="46">
        <f t="shared" ref="D200:O200" si="181">+SUM(D191:D198)</f>
        <v>982970.78823529417</v>
      </c>
      <c r="E200" s="46">
        <f t="shared" si="181"/>
        <v>839054.57647058822</v>
      </c>
      <c r="F200" s="46">
        <f t="shared" si="181"/>
        <v>878835.67941176496</v>
      </c>
      <c r="G200" s="46">
        <f t="shared" si="181"/>
        <v>949881.70588235301</v>
      </c>
      <c r="H200" s="46">
        <f t="shared" si="181"/>
        <v>945989.479411765</v>
      </c>
      <c r="I200" s="46">
        <f t="shared" si="181"/>
        <v>754019.89411764697</v>
      </c>
      <c r="J200" s="46">
        <f t="shared" si="181"/>
        <v>738450.98823529412</v>
      </c>
      <c r="K200" s="46">
        <f t="shared" si="181"/>
        <v>736139.011764706</v>
      </c>
      <c r="L200" s="46">
        <f t="shared" si="181"/>
        <v>826041.5558823531</v>
      </c>
      <c r="M200" s="46">
        <f t="shared" si="181"/>
        <v>1099397.5058823531</v>
      </c>
      <c r="N200" s="46">
        <f t="shared" si="181"/>
        <v>977742.22058823518</v>
      </c>
      <c r="O200" s="46">
        <f t="shared" si="181"/>
        <v>1009007.1441176471</v>
      </c>
      <c r="P200" s="46">
        <f>+SUM(P191:P198)</f>
        <v>816793.65000000014</v>
      </c>
      <c r="Q200" s="46">
        <f t="shared" ref="Q200:AA200" si="182">+SUM(Q191:Q198)</f>
        <v>732851.40000000014</v>
      </c>
      <c r="R200" s="46">
        <f t="shared" si="182"/>
        <v>925796.62058823532</v>
      </c>
      <c r="S200" s="46">
        <f t="shared" si="182"/>
        <v>1084921.0323529413</v>
      </c>
      <c r="T200" s="46">
        <f t="shared" si="182"/>
        <v>929688.84705882357</v>
      </c>
      <c r="U200" s="46">
        <f t="shared" si="182"/>
        <v>869958.79411764699</v>
      </c>
      <c r="V200" s="46">
        <f t="shared" si="182"/>
        <v>893195.35588235292</v>
      </c>
      <c r="W200" s="46">
        <f t="shared" si="182"/>
        <v>886991.15294117667</v>
      </c>
      <c r="X200" s="46">
        <f t="shared" si="182"/>
        <v>944653.13823529426</v>
      </c>
      <c r="Y200" s="46">
        <f t="shared" si="182"/>
        <v>896355.85588235315</v>
      </c>
      <c r="Z200" s="46">
        <f t="shared" si="182"/>
        <v>1051100.2235294119</v>
      </c>
      <c r="AA200" s="46">
        <f t="shared" si="182"/>
        <v>980054.19705882366</v>
      </c>
      <c r="AC200" s="47">
        <f>SUM(D200:AA200)</f>
        <v>21749890.817647059</v>
      </c>
    </row>
    <row r="201" spans="1:29" ht="17.25" thickBot="1" x14ac:dyDescent="0.35">
      <c r="A201" s="166"/>
      <c r="B201" s="167"/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101"/>
      <c r="AA201" s="41"/>
    </row>
    <row r="202" spans="1:29" ht="17.25" thickBot="1" x14ac:dyDescent="0.35">
      <c r="A202" s="166"/>
      <c r="B202" s="167"/>
      <c r="C202" s="134" t="s">
        <v>111</v>
      </c>
      <c r="D202" s="46">
        <f t="shared" ref="D202:O202" si="183">D200-D188</f>
        <v>193305.37566478644</v>
      </c>
      <c r="E202" s="46">
        <f t="shared" si="183"/>
        <v>161316.88622078963</v>
      </c>
      <c r="F202" s="46">
        <f t="shared" si="183"/>
        <v>169415.28493150708</v>
      </c>
      <c r="G202" s="46">
        <f t="shared" si="183"/>
        <v>184566.77647058829</v>
      </c>
      <c r="H202" s="46">
        <f t="shared" si="183"/>
        <v>182335.10765511706</v>
      </c>
      <c r="I202" s="46">
        <f t="shared" si="183"/>
        <v>140063.56970185332</v>
      </c>
      <c r="J202" s="46">
        <f t="shared" si="183"/>
        <v>131136.89443996781</v>
      </c>
      <c r="K202" s="46">
        <f t="shared" si="183"/>
        <v>131730.07590652711</v>
      </c>
      <c r="L202" s="46">
        <f t="shared" si="183"/>
        <v>150657.68557614833</v>
      </c>
      <c r="M202" s="46">
        <f t="shared" si="183"/>
        <v>210811.52731668018</v>
      </c>
      <c r="N202" s="46">
        <f t="shared" si="183"/>
        <v>187109.5126510876</v>
      </c>
      <c r="O202" s="46">
        <f t="shared" si="183"/>
        <v>194162.60547945206</v>
      </c>
      <c r="P202" s="46">
        <f>P200-P188</f>
        <v>153030.41144238529</v>
      </c>
      <c r="Q202" s="46">
        <f t="shared" ref="Q202:AA202" si="184">Q200-Q188</f>
        <v>136880.63303787273</v>
      </c>
      <c r="R202" s="46">
        <f t="shared" si="184"/>
        <v>174594.79532634956</v>
      </c>
      <c r="S202" s="46">
        <f t="shared" si="184"/>
        <v>206988.39016921853</v>
      </c>
      <c r="T202" s="46">
        <f t="shared" si="184"/>
        <v>176826.46414182126</v>
      </c>
      <c r="U202" s="46">
        <f t="shared" si="184"/>
        <v>159848.40918614005</v>
      </c>
      <c r="V202" s="46">
        <f t="shared" si="184"/>
        <v>163577.50829975819</v>
      </c>
      <c r="W202" s="46">
        <f t="shared" si="184"/>
        <v>161939.02095084626</v>
      </c>
      <c r="X202" s="46">
        <f t="shared" si="184"/>
        <v>178370.9134568898</v>
      </c>
      <c r="Y202" s="46">
        <f t="shared" si="184"/>
        <v>169227.20886381948</v>
      </c>
      <c r="Z202" s="46">
        <f t="shared" si="184"/>
        <v>201667.82272361009</v>
      </c>
      <c r="AA202" s="46">
        <f t="shared" si="184"/>
        <v>186516.33118452865</v>
      </c>
      <c r="AC202" s="47">
        <f>AC200-AC188</f>
        <v>4106079.210797742</v>
      </c>
    </row>
    <row r="203" spans="1:29" ht="17.25" thickBot="1" x14ac:dyDescent="0.35">
      <c r="A203" s="168"/>
      <c r="B203" s="169"/>
      <c r="C203" s="134" t="s">
        <v>112</v>
      </c>
      <c r="D203" s="105">
        <f t="shared" ref="D203:O203" si="185">D202/D200</f>
        <v>0.19665424240309656</v>
      </c>
      <c r="E203" s="105">
        <f t="shared" si="185"/>
        <v>0.1922603019452625</v>
      </c>
      <c r="F203" s="105">
        <f t="shared" si="185"/>
        <v>0.19277242481199963</v>
      </c>
      <c r="G203" s="105">
        <f t="shared" si="185"/>
        <v>0.19430501222164573</v>
      </c>
      <c r="H203" s="105">
        <f t="shared" si="185"/>
        <v>0.19274538631074062</v>
      </c>
      <c r="I203" s="105">
        <f t="shared" si="185"/>
        <v>0.18575580139799297</v>
      </c>
      <c r="J203" s="105">
        <f t="shared" si="185"/>
        <v>0.17758374831801757</v>
      </c>
      <c r="K203" s="105">
        <f t="shared" si="185"/>
        <v>0.17894728278391028</v>
      </c>
      <c r="L203" s="105">
        <f t="shared" si="185"/>
        <v>0.18238511670907434</v>
      </c>
      <c r="M203" s="105">
        <f t="shared" si="185"/>
        <v>0.19175186971839392</v>
      </c>
      <c r="N203" s="105">
        <f t="shared" si="185"/>
        <v>0.19136896076607762</v>
      </c>
      <c r="O203" s="105">
        <f t="shared" si="185"/>
        <v>0.19242936644342859</v>
      </c>
      <c r="P203" s="105">
        <f>P202/P200</f>
        <v>0.18735504547860438</v>
      </c>
      <c r="Q203" s="105">
        <f>Q202/Q200</f>
        <v>0.18677815589609667</v>
      </c>
      <c r="R203" s="105">
        <f t="shared" ref="R203:AA203" si="186">R202/R200</f>
        <v>0.18858871532217844</v>
      </c>
      <c r="S203" s="105">
        <f t="shared" si="186"/>
        <v>0.19078659551867003</v>
      </c>
      <c r="T203" s="105">
        <f t="shared" si="186"/>
        <v>0.19019961861566037</v>
      </c>
      <c r="U203" s="105">
        <f t="shared" si="186"/>
        <v>0.18374250627383543</v>
      </c>
      <c r="V203" s="105">
        <f t="shared" si="186"/>
        <v>0.18313743709310529</v>
      </c>
      <c r="W203" s="105">
        <f t="shared" si="186"/>
        <v>0.1825711794462348</v>
      </c>
      <c r="X203" s="105">
        <f t="shared" si="186"/>
        <v>0.18882159624230366</v>
      </c>
      <c r="Y203" s="105">
        <f t="shared" si="186"/>
        <v>0.18879467094822058</v>
      </c>
      <c r="Z203" s="105">
        <f t="shared" si="186"/>
        <v>0.19186355231325569</v>
      </c>
      <c r="AA203" s="105">
        <f t="shared" si="186"/>
        <v>0.19031226206088456</v>
      </c>
      <c r="AC203" s="106">
        <f>AC202/AC200</f>
        <v>0.1887861987549023</v>
      </c>
    </row>
    <row r="204" spans="1:29" x14ac:dyDescent="0.3"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"/>
    </row>
    <row r="205" spans="1:29" x14ac:dyDescent="0.3"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"/>
    </row>
    <row r="206" spans="1:29" x14ac:dyDescent="0.3"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"/>
    </row>
    <row r="207" spans="1:29" x14ac:dyDescent="0.3"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"/>
    </row>
    <row r="208" spans="1:29" x14ac:dyDescent="0.3"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"/>
    </row>
    <row r="209" spans="2:27" x14ac:dyDescent="0.3"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"/>
    </row>
    <row r="210" spans="2:27" x14ac:dyDescent="0.3"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"/>
    </row>
    <row r="211" spans="2:27" x14ac:dyDescent="0.3"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"/>
    </row>
    <row r="212" spans="2:27" x14ac:dyDescent="0.3"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"/>
    </row>
    <row r="213" spans="2:27" x14ac:dyDescent="0.3"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"/>
    </row>
    <row r="214" spans="2:27" x14ac:dyDescent="0.3"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"/>
    </row>
    <row r="215" spans="2:27" x14ac:dyDescent="0.3"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"/>
    </row>
    <row r="216" spans="2:27" x14ac:dyDescent="0.3"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"/>
    </row>
    <row r="217" spans="2:27" x14ac:dyDescent="0.3"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"/>
    </row>
    <row r="218" spans="2:27" x14ac:dyDescent="0.3"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"/>
    </row>
    <row r="219" spans="2:27" x14ac:dyDescent="0.3"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"/>
    </row>
    <row r="220" spans="2:27" x14ac:dyDescent="0.3"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"/>
    </row>
    <row r="221" spans="2:27" x14ac:dyDescent="0.3"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"/>
    </row>
    <row r="222" spans="2:27" x14ac:dyDescent="0.3"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"/>
    </row>
    <row r="223" spans="2:27" x14ac:dyDescent="0.3"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"/>
    </row>
    <row r="224" spans="2:27" x14ac:dyDescent="0.3"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"/>
    </row>
    <row r="225" spans="2:27" x14ac:dyDescent="0.3"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"/>
    </row>
    <row r="226" spans="2:27" x14ac:dyDescent="0.3"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"/>
    </row>
    <row r="227" spans="2:27" x14ac:dyDescent="0.3"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"/>
    </row>
    <row r="228" spans="2:27" x14ac:dyDescent="0.3"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"/>
    </row>
    <row r="229" spans="2:27" x14ac:dyDescent="0.3"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"/>
    </row>
    <row r="230" spans="2:27" x14ac:dyDescent="0.3"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"/>
    </row>
    <row r="231" spans="2:27" x14ac:dyDescent="0.3"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"/>
    </row>
    <row r="232" spans="2:27" x14ac:dyDescent="0.3"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"/>
    </row>
    <row r="233" spans="2:27" x14ac:dyDescent="0.3"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"/>
    </row>
    <row r="234" spans="2:27" x14ac:dyDescent="0.3"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"/>
    </row>
    <row r="235" spans="2:27" x14ac:dyDescent="0.3"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"/>
    </row>
    <row r="236" spans="2:27" x14ac:dyDescent="0.3"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"/>
    </row>
    <row r="237" spans="2:27" x14ac:dyDescent="0.3"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"/>
    </row>
    <row r="238" spans="2:27" x14ac:dyDescent="0.3"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"/>
    </row>
    <row r="239" spans="2:27" x14ac:dyDescent="0.3"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"/>
    </row>
    <row r="240" spans="2:27" x14ac:dyDescent="0.3"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"/>
    </row>
    <row r="241" spans="2:27" x14ac:dyDescent="0.3"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"/>
    </row>
    <row r="242" spans="2:27" x14ac:dyDescent="0.3"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"/>
    </row>
    <row r="243" spans="2:27" x14ac:dyDescent="0.3"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"/>
    </row>
    <row r="244" spans="2:27" x14ac:dyDescent="0.3"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"/>
    </row>
    <row r="245" spans="2:27" x14ac:dyDescent="0.3"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"/>
    </row>
    <row r="246" spans="2:27" x14ac:dyDescent="0.3"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"/>
    </row>
    <row r="247" spans="2:27" x14ac:dyDescent="0.3"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"/>
    </row>
    <row r="248" spans="2:27" x14ac:dyDescent="0.3"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"/>
    </row>
    <row r="249" spans="2:27" x14ac:dyDescent="0.3"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"/>
    </row>
    <row r="250" spans="2:27" x14ac:dyDescent="0.3"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"/>
    </row>
    <row r="251" spans="2:27" x14ac:dyDescent="0.3"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"/>
    </row>
    <row r="252" spans="2:27" x14ac:dyDescent="0.3"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"/>
    </row>
    <row r="253" spans="2:27" x14ac:dyDescent="0.3"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"/>
    </row>
    <row r="254" spans="2:27" x14ac:dyDescent="0.3"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"/>
    </row>
    <row r="255" spans="2:27" x14ac:dyDescent="0.3"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"/>
    </row>
    <row r="256" spans="2:27" x14ac:dyDescent="0.3"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"/>
    </row>
    <row r="257" spans="2:27" x14ac:dyDescent="0.3"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"/>
    </row>
    <row r="258" spans="2:27" x14ac:dyDescent="0.3"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"/>
    </row>
    <row r="259" spans="2:27" x14ac:dyDescent="0.3"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"/>
    </row>
    <row r="260" spans="2:27" x14ac:dyDescent="0.3"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"/>
    </row>
    <row r="261" spans="2:27" x14ac:dyDescent="0.3"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"/>
    </row>
    <row r="262" spans="2:27" x14ac:dyDescent="0.3"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"/>
    </row>
    <row r="263" spans="2:27" x14ac:dyDescent="0.3"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"/>
    </row>
    <row r="264" spans="2:27" x14ac:dyDescent="0.3"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"/>
    </row>
    <row r="265" spans="2:27" x14ac:dyDescent="0.3"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"/>
    </row>
    <row r="266" spans="2:27" x14ac:dyDescent="0.3"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"/>
    </row>
    <row r="267" spans="2:27" x14ac:dyDescent="0.3"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"/>
    </row>
    <row r="268" spans="2:27" x14ac:dyDescent="0.3"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"/>
    </row>
    <row r="269" spans="2:27" x14ac:dyDescent="0.3"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"/>
    </row>
    <row r="270" spans="2:27" x14ac:dyDescent="0.3"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"/>
    </row>
    <row r="271" spans="2:27" x14ac:dyDescent="0.3"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"/>
    </row>
    <row r="272" spans="2:27" x14ac:dyDescent="0.3"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"/>
    </row>
    <row r="273" spans="2:27" x14ac:dyDescent="0.3"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"/>
    </row>
    <row r="274" spans="2:27" x14ac:dyDescent="0.3"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"/>
    </row>
    <row r="275" spans="2:27" x14ac:dyDescent="0.3"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"/>
    </row>
    <row r="276" spans="2:27" x14ac:dyDescent="0.3"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"/>
    </row>
    <row r="277" spans="2:27" x14ac:dyDescent="0.3"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"/>
    </row>
    <row r="278" spans="2:27" x14ac:dyDescent="0.3"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"/>
    </row>
    <row r="279" spans="2:27" x14ac:dyDescent="0.3"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"/>
    </row>
    <row r="280" spans="2:27" x14ac:dyDescent="0.3"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"/>
    </row>
    <row r="281" spans="2:27" x14ac:dyDescent="0.3"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"/>
    </row>
    <row r="282" spans="2:27" x14ac:dyDescent="0.3"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"/>
    </row>
    <row r="283" spans="2:27" x14ac:dyDescent="0.3"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"/>
    </row>
    <row r="284" spans="2:27" x14ac:dyDescent="0.3"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"/>
    </row>
    <row r="285" spans="2:27" x14ac:dyDescent="0.3"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"/>
    </row>
    <row r="286" spans="2:27" x14ac:dyDescent="0.3"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"/>
    </row>
    <row r="287" spans="2:27" x14ac:dyDescent="0.3"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"/>
    </row>
    <row r="288" spans="2:27" x14ac:dyDescent="0.3"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"/>
    </row>
    <row r="289" spans="2:27" x14ac:dyDescent="0.3"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"/>
    </row>
    <row r="290" spans="2:27" x14ac:dyDescent="0.3"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"/>
    </row>
    <row r="291" spans="2:27" x14ac:dyDescent="0.3"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"/>
    </row>
    <row r="292" spans="2:27" x14ac:dyDescent="0.3"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"/>
    </row>
    <row r="293" spans="2:27" x14ac:dyDescent="0.3"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"/>
    </row>
    <row r="294" spans="2:27" x14ac:dyDescent="0.3"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"/>
    </row>
    <row r="295" spans="2:27" x14ac:dyDescent="0.3"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"/>
    </row>
    <row r="296" spans="2:27" x14ac:dyDescent="0.3"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"/>
    </row>
    <row r="297" spans="2:27" x14ac:dyDescent="0.3"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"/>
    </row>
    <row r="298" spans="2:27" x14ac:dyDescent="0.3"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"/>
    </row>
    <row r="299" spans="2:27" x14ac:dyDescent="0.3"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"/>
    </row>
    <row r="300" spans="2:27" x14ac:dyDescent="0.3"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"/>
    </row>
    <row r="301" spans="2:27" x14ac:dyDescent="0.3"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"/>
    </row>
    <row r="302" spans="2:27" x14ac:dyDescent="0.3"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"/>
    </row>
    <row r="303" spans="2:27" x14ac:dyDescent="0.3"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"/>
    </row>
    <row r="304" spans="2:27" x14ac:dyDescent="0.3"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"/>
    </row>
    <row r="305" spans="2:27" x14ac:dyDescent="0.3"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"/>
    </row>
    <row r="306" spans="2:27" x14ac:dyDescent="0.3"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"/>
    </row>
    <row r="307" spans="2:27" x14ac:dyDescent="0.3"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"/>
    </row>
    <row r="308" spans="2:27" x14ac:dyDescent="0.3"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"/>
    </row>
    <row r="309" spans="2:27" x14ac:dyDescent="0.3"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"/>
    </row>
    <row r="310" spans="2:27" x14ac:dyDescent="0.3"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"/>
    </row>
    <row r="311" spans="2:27" x14ac:dyDescent="0.3"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"/>
    </row>
    <row r="312" spans="2:27" x14ac:dyDescent="0.3"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"/>
    </row>
    <row r="313" spans="2:27" x14ac:dyDescent="0.3"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"/>
    </row>
    <row r="314" spans="2:27" x14ac:dyDescent="0.3"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"/>
    </row>
    <row r="315" spans="2:27" x14ac:dyDescent="0.3"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"/>
    </row>
    <row r="316" spans="2:27" x14ac:dyDescent="0.3"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"/>
    </row>
    <row r="317" spans="2:27" x14ac:dyDescent="0.3"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"/>
    </row>
    <row r="318" spans="2:27" x14ac:dyDescent="0.3"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"/>
    </row>
    <row r="319" spans="2:27" x14ac:dyDescent="0.3"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"/>
    </row>
    <row r="320" spans="2:27" x14ac:dyDescent="0.3"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"/>
    </row>
    <row r="321" spans="2:27" x14ac:dyDescent="0.3"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"/>
    </row>
    <row r="322" spans="2:27" x14ac:dyDescent="0.3"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"/>
    </row>
    <row r="323" spans="2:27" x14ac:dyDescent="0.3"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"/>
    </row>
    <row r="324" spans="2:27" x14ac:dyDescent="0.3"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"/>
    </row>
    <row r="325" spans="2:27" x14ac:dyDescent="0.3"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"/>
    </row>
    <row r="326" spans="2:27" x14ac:dyDescent="0.3"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"/>
    </row>
    <row r="327" spans="2:27" x14ac:dyDescent="0.3"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"/>
    </row>
    <row r="328" spans="2:27" x14ac:dyDescent="0.3"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"/>
    </row>
    <row r="329" spans="2:27" x14ac:dyDescent="0.3"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"/>
    </row>
    <row r="330" spans="2:27" x14ac:dyDescent="0.3"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"/>
    </row>
    <row r="331" spans="2:27" x14ac:dyDescent="0.3"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"/>
    </row>
    <row r="332" spans="2:27" x14ac:dyDescent="0.3"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"/>
    </row>
    <row r="333" spans="2:27" x14ac:dyDescent="0.3"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"/>
    </row>
    <row r="334" spans="2:27" x14ac:dyDescent="0.3"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"/>
    </row>
    <row r="335" spans="2:27" x14ac:dyDescent="0.3"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"/>
    </row>
    <row r="336" spans="2:27" x14ac:dyDescent="0.3"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"/>
    </row>
    <row r="337" spans="2:27" x14ac:dyDescent="0.3"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"/>
    </row>
    <row r="338" spans="2:27" x14ac:dyDescent="0.3"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"/>
    </row>
    <row r="339" spans="2:27" x14ac:dyDescent="0.3"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"/>
    </row>
    <row r="340" spans="2:27" x14ac:dyDescent="0.3"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"/>
    </row>
    <row r="341" spans="2:27" x14ac:dyDescent="0.3"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"/>
    </row>
    <row r="342" spans="2:27" x14ac:dyDescent="0.3"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"/>
    </row>
    <row r="343" spans="2:27" x14ac:dyDescent="0.3"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"/>
    </row>
    <row r="344" spans="2:27" x14ac:dyDescent="0.3"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"/>
    </row>
    <row r="345" spans="2:27" x14ac:dyDescent="0.3"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"/>
    </row>
    <row r="346" spans="2:27" x14ac:dyDescent="0.3"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"/>
    </row>
    <row r="347" spans="2:27" x14ac:dyDescent="0.3"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"/>
    </row>
    <row r="348" spans="2:27" x14ac:dyDescent="0.3"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"/>
    </row>
    <row r="349" spans="2:27" x14ac:dyDescent="0.3"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"/>
    </row>
    <row r="350" spans="2:27" x14ac:dyDescent="0.3"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"/>
    </row>
    <row r="351" spans="2:27" x14ac:dyDescent="0.3"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"/>
    </row>
    <row r="352" spans="2:27" x14ac:dyDescent="0.3"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"/>
    </row>
    <row r="353" spans="2:27" x14ac:dyDescent="0.3"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"/>
    </row>
    <row r="354" spans="2:27" x14ac:dyDescent="0.3"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"/>
    </row>
    <row r="355" spans="2:27" x14ac:dyDescent="0.3"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"/>
    </row>
    <row r="356" spans="2:27" x14ac:dyDescent="0.3"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"/>
    </row>
    <row r="357" spans="2:27" x14ac:dyDescent="0.3"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"/>
    </row>
    <row r="358" spans="2:27" x14ac:dyDescent="0.3"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"/>
    </row>
    <row r="359" spans="2:27" x14ac:dyDescent="0.3"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"/>
    </row>
    <row r="360" spans="2:27" x14ac:dyDescent="0.3"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"/>
    </row>
    <row r="361" spans="2:27" x14ac:dyDescent="0.3"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"/>
    </row>
    <row r="362" spans="2:27" x14ac:dyDescent="0.3"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"/>
    </row>
    <row r="363" spans="2:27" x14ac:dyDescent="0.3"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"/>
    </row>
    <row r="364" spans="2:27" x14ac:dyDescent="0.3"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"/>
    </row>
    <row r="365" spans="2:27" x14ac:dyDescent="0.3"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"/>
    </row>
    <row r="366" spans="2:27" x14ac:dyDescent="0.3"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"/>
    </row>
    <row r="367" spans="2:27" x14ac:dyDescent="0.3"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"/>
    </row>
    <row r="368" spans="2:27" x14ac:dyDescent="0.3"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"/>
    </row>
    <row r="369" spans="2:27" x14ac:dyDescent="0.3"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"/>
    </row>
    <row r="370" spans="2:27" x14ac:dyDescent="0.3"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"/>
    </row>
    <row r="371" spans="2:27" x14ac:dyDescent="0.3"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"/>
    </row>
    <row r="372" spans="2:27" x14ac:dyDescent="0.3"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"/>
    </row>
    <row r="373" spans="2:27" x14ac:dyDescent="0.3"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"/>
    </row>
    <row r="374" spans="2:27" x14ac:dyDescent="0.3"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"/>
    </row>
    <row r="375" spans="2:27" x14ac:dyDescent="0.3"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"/>
    </row>
    <row r="376" spans="2:27" x14ac:dyDescent="0.3"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"/>
    </row>
    <row r="377" spans="2:27" x14ac:dyDescent="0.3"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"/>
    </row>
    <row r="378" spans="2:27" x14ac:dyDescent="0.3"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"/>
    </row>
    <row r="379" spans="2:27" x14ac:dyDescent="0.3"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"/>
    </row>
    <row r="380" spans="2:27" x14ac:dyDescent="0.3"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"/>
    </row>
    <row r="381" spans="2:27" x14ac:dyDescent="0.3"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"/>
    </row>
    <row r="382" spans="2:27" x14ac:dyDescent="0.3"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"/>
    </row>
    <row r="383" spans="2:27" x14ac:dyDescent="0.3"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"/>
    </row>
    <row r="384" spans="2:27" x14ac:dyDescent="0.3"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"/>
    </row>
    <row r="385" spans="2:27" x14ac:dyDescent="0.3"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"/>
    </row>
    <row r="386" spans="2:27" x14ac:dyDescent="0.3"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"/>
    </row>
    <row r="387" spans="2:27" x14ac:dyDescent="0.3"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"/>
    </row>
    <row r="388" spans="2:27" x14ac:dyDescent="0.3"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"/>
    </row>
    <row r="389" spans="2:27" x14ac:dyDescent="0.3"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"/>
    </row>
    <row r="390" spans="2:27" x14ac:dyDescent="0.3"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"/>
    </row>
    <row r="391" spans="2:27" x14ac:dyDescent="0.3"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"/>
    </row>
    <row r="392" spans="2:27" x14ac:dyDescent="0.3"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"/>
    </row>
    <row r="393" spans="2:27" x14ac:dyDescent="0.3"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"/>
    </row>
    <row r="394" spans="2:27" x14ac:dyDescent="0.3"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"/>
    </row>
    <row r="395" spans="2:27" x14ac:dyDescent="0.3"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"/>
    </row>
    <row r="396" spans="2:27" x14ac:dyDescent="0.3"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"/>
    </row>
    <row r="397" spans="2:27" x14ac:dyDescent="0.3"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"/>
    </row>
    <row r="398" spans="2:27" x14ac:dyDescent="0.3"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"/>
    </row>
    <row r="399" spans="2:27" x14ac:dyDescent="0.3"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"/>
    </row>
    <row r="400" spans="2:27" x14ac:dyDescent="0.3"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"/>
    </row>
    <row r="401" spans="2:27" x14ac:dyDescent="0.3"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"/>
    </row>
    <row r="402" spans="2:27" x14ac:dyDescent="0.3"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"/>
    </row>
    <row r="403" spans="2:27" x14ac:dyDescent="0.3"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"/>
    </row>
    <row r="404" spans="2:27" x14ac:dyDescent="0.3"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"/>
    </row>
    <row r="405" spans="2:27" x14ac:dyDescent="0.3"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"/>
    </row>
    <row r="406" spans="2:27" x14ac:dyDescent="0.3"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"/>
    </row>
    <row r="407" spans="2:27" x14ac:dyDescent="0.3"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"/>
    </row>
    <row r="408" spans="2:27" x14ac:dyDescent="0.3"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"/>
    </row>
    <row r="409" spans="2:27" x14ac:dyDescent="0.3"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"/>
    </row>
    <row r="410" spans="2:27" x14ac:dyDescent="0.3"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"/>
    </row>
    <row r="411" spans="2:27" x14ac:dyDescent="0.3"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"/>
    </row>
    <row r="412" spans="2:27" x14ac:dyDescent="0.3"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"/>
    </row>
    <row r="413" spans="2:27" x14ac:dyDescent="0.3"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"/>
    </row>
    <row r="414" spans="2:27" x14ac:dyDescent="0.3"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"/>
    </row>
    <row r="415" spans="2:27" x14ac:dyDescent="0.3"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"/>
    </row>
    <row r="416" spans="2:27" x14ac:dyDescent="0.3"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"/>
    </row>
    <row r="417" spans="2:27" x14ac:dyDescent="0.3"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"/>
    </row>
    <row r="418" spans="2:27" x14ac:dyDescent="0.3"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"/>
    </row>
    <row r="419" spans="2:27" x14ac:dyDescent="0.3"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"/>
    </row>
    <row r="420" spans="2:27" x14ac:dyDescent="0.3"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"/>
    </row>
    <row r="421" spans="2:27" x14ac:dyDescent="0.3"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"/>
    </row>
    <row r="422" spans="2:27" x14ac:dyDescent="0.3"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"/>
    </row>
    <row r="423" spans="2:27" x14ac:dyDescent="0.3"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"/>
    </row>
    <row r="424" spans="2:27" x14ac:dyDescent="0.3"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"/>
    </row>
    <row r="425" spans="2:27" x14ac:dyDescent="0.3"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"/>
    </row>
    <row r="426" spans="2:27" x14ac:dyDescent="0.3"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"/>
    </row>
    <row r="427" spans="2:27" x14ac:dyDescent="0.3"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"/>
    </row>
    <row r="428" spans="2:27" x14ac:dyDescent="0.3"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"/>
    </row>
    <row r="429" spans="2:27" x14ac:dyDescent="0.3"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"/>
    </row>
    <row r="430" spans="2:27" x14ac:dyDescent="0.3"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"/>
    </row>
    <row r="431" spans="2:27" x14ac:dyDescent="0.3"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"/>
    </row>
    <row r="432" spans="2:27" x14ac:dyDescent="0.3"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"/>
    </row>
    <row r="433" spans="2:27" x14ac:dyDescent="0.3"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"/>
    </row>
    <row r="434" spans="2:27" x14ac:dyDescent="0.3"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"/>
    </row>
    <row r="435" spans="2:27" x14ac:dyDescent="0.3"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"/>
    </row>
    <row r="436" spans="2:27" x14ac:dyDescent="0.3"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"/>
    </row>
    <row r="437" spans="2:27" x14ac:dyDescent="0.3"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"/>
    </row>
    <row r="438" spans="2:27" x14ac:dyDescent="0.3"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"/>
    </row>
    <row r="439" spans="2:27" x14ac:dyDescent="0.3"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"/>
    </row>
    <row r="440" spans="2:27" x14ac:dyDescent="0.3"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"/>
    </row>
    <row r="441" spans="2:27" x14ac:dyDescent="0.3"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"/>
    </row>
    <row r="442" spans="2:27" x14ac:dyDescent="0.3"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"/>
    </row>
    <row r="443" spans="2:27" x14ac:dyDescent="0.3"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"/>
    </row>
    <row r="444" spans="2:27" x14ac:dyDescent="0.3"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"/>
    </row>
    <row r="445" spans="2:27" x14ac:dyDescent="0.3"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"/>
    </row>
    <row r="446" spans="2:27" x14ac:dyDescent="0.3"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"/>
    </row>
    <row r="447" spans="2:27" x14ac:dyDescent="0.3"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"/>
    </row>
    <row r="448" spans="2:27" x14ac:dyDescent="0.3"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"/>
    </row>
    <row r="449" spans="2:27" x14ac:dyDescent="0.3"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"/>
    </row>
    <row r="450" spans="2:27" x14ac:dyDescent="0.3"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"/>
    </row>
    <row r="451" spans="2:27" x14ac:dyDescent="0.3"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"/>
    </row>
    <row r="452" spans="2:27" x14ac:dyDescent="0.3"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"/>
    </row>
    <row r="453" spans="2:27" x14ac:dyDescent="0.3"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"/>
    </row>
    <row r="454" spans="2:27" x14ac:dyDescent="0.3"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"/>
    </row>
    <row r="455" spans="2:27" x14ac:dyDescent="0.3"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"/>
    </row>
    <row r="456" spans="2:27" x14ac:dyDescent="0.3"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"/>
    </row>
    <row r="457" spans="2:27" x14ac:dyDescent="0.3"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"/>
    </row>
    <row r="458" spans="2:27" x14ac:dyDescent="0.3"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"/>
    </row>
    <row r="459" spans="2:27" x14ac:dyDescent="0.3"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"/>
    </row>
    <row r="460" spans="2:27" x14ac:dyDescent="0.3"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"/>
    </row>
    <row r="461" spans="2:27" x14ac:dyDescent="0.3"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"/>
    </row>
    <row r="462" spans="2:27" x14ac:dyDescent="0.3"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"/>
    </row>
    <row r="463" spans="2:27" x14ac:dyDescent="0.3"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"/>
    </row>
    <row r="464" spans="2:27" x14ac:dyDescent="0.3"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"/>
    </row>
    <row r="465" spans="2:27" x14ac:dyDescent="0.3"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"/>
    </row>
    <row r="466" spans="2:27" x14ac:dyDescent="0.3"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"/>
    </row>
    <row r="467" spans="2:27" x14ac:dyDescent="0.3"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"/>
    </row>
    <row r="468" spans="2:27" x14ac:dyDescent="0.3"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"/>
    </row>
    <row r="469" spans="2:27" x14ac:dyDescent="0.3"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"/>
    </row>
    <row r="470" spans="2:27" x14ac:dyDescent="0.3"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"/>
    </row>
    <row r="471" spans="2:27" x14ac:dyDescent="0.3"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"/>
    </row>
    <row r="472" spans="2:27" x14ac:dyDescent="0.3"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"/>
    </row>
    <row r="473" spans="2:27" x14ac:dyDescent="0.3"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"/>
    </row>
    <row r="474" spans="2:27" x14ac:dyDescent="0.3"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"/>
    </row>
    <row r="475" spans="2:27" x14ac:dyDescent="0.3"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"/>
    </row>
    <row r="476" spans="2:27" x14ac:dyDescent="0.3"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"/>
    </row>
    <row r="477" spans="2:27" x14ac:dyDescent="0.3"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"/>
    </row>
    <row r="478" spans="2:27" x14ac:dyDescent="0.3"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"/>
    </row>
    <row r="479" spans="2:27" x14ac:dyDescent="0.3"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"/>
    </row>
    <row r="480" spans="2:27" x14ac:dyDescent="0.3"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"/>
    </row>
    <row r="481" spans="2:27" x14ac:dyDescent="0.3"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"/>
    </row>
    <row r="482" spans="2:27" x14ac:dyDescent="0.3"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"/>
    </row>
    <row r="483" spans="2:27" x14ac:dyDescent="0.3"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"/>
    </row>
    <row r="484" spans="2:27" x14ac:dyDescent="0.3"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"/>
    </row>
    <row r="485" spans="2:27" x14ac:dyDescent="0.3"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"/>
    </row>
    <row r="486" spans="2:27" x14ac:dyDescent="0.3"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"/>
    </row>
    <row r="487" spans="2:27" x14ac:dyDescent="0.3"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"/>
    </row>
    <row r="488" spans="2:27" x14ac:dyDescent="0.3"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"/>
    </row>
    <row r="489" spans="2:27" x14ac:dyDescent="0.3"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"/>
    </row>
    <row r="490" spans="2:27" x14ac:dyDescent="0.3"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"/>
    </row>
    <row r="491" spans="2:27" x14ac:dyDescent="0.3"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"/>
    </row>
    <row r="492" spans="2:27" x14ac:dyDescent="0.3"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"/>
    </row>
    <row r="493" spans="2:27" x14ac:dyDescent="0.3"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"/>
    </row>
    <row r="494" spans="2:27" x14ac:dyDescent="0.3"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"/>
    </row>
    <row r="495" spans="2:27" x14ac:dyDescent="0.3"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"/>
    </row>
    <row r="496" spans="2:27" x14ac:dyDescent="0.3"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"/>
    </row>
    <row r="497" spans="2:27" x14ac:dyDescent="0.3"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"/>
    </row>
    <row r="498" spans="2:27" x14ac:dyDescent="0.3"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"/>
    </row>
    <row r="499" spans="2:27" x14ac:dyDescent="0.3"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"/>
    </row>
    <row r="500" spans="2:27" x14ac:dyDescent="0.3"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"/>
    </row>
    <row r="501" spans="2:27" x14ac:dyDescent="0.3"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"/>
    </row>
    <row r="502" spans="2:27" x14ac:dyDescent="0.3"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"/>
    </row>
    <row r="503" spans="2:27" x14ac:dyDescent="0.3"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"/>
    </row>
    <row r="504" spans="2:27" x14ac:dyDescent="0.3"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"/>
    </row>
    <row r="505" spans="2:27" x14ac:dyDescent="0.3"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"/>
    </row>
    <row r="506" spans="2:27" x14ac:dyDescent="0.3"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"/>
    </row>
    <row r="507" spans="2:27" x14ac:dyDescent="0.3"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"/>
    </row>
    <row r="508" spans="2:27" x14ac:dyDescent="0.3"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"/>
    </row>
    <row r="509" spans="2:27" x14ac:dyDescent="0.3"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"/>
    </row>
    <row r="510" spans="2:27" x14ac:dyDescent="0.3"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"/>
    </row>
    <row r="511" spans="2:27" x14ac:dyDescent="0.3"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"/>
    </row>
    <row r="512" spans="2:27" x14ac:dyDescent="0.3"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"/>
    </row>
    <row r="513" spans="2:27" x14ac:dyDescent="0.3"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"/>
    </row>
    <row r="514" spans="2:27" x14ac:dyDescent="0.3"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"/>
    </row>
    <row r="515" spans="2:27" x14ac:dyDescent="0.3"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"/>
    </row>
    <row r="516" spans="2:27" x14ac:dyDescent="0.3"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"/>
    </row>
    <row r="517" spans="2:27" x14ac:dyDescent="0.3"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"/>
    </row>
    <row r="518" spans="2:27" x14ac:dyDescent="0.3"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"/>
    </row>
    <row r="519" spans="2:27" x14ac:dyDescent="0.3"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"/>
    </row>
    <row r="520" spans="2:27" x14ac:dyDescent="0.3"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"/>
    </row>
    <row r="521" spans="2:27" x14ac:dyDescent="0.3"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"/>
    </row>
    <row r="522" spans="2:27" x14ac:dyDescent="0.3"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"/>
    </row>
    <row r="523" spans="2:27" x14ac:dyDescent="0.3"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"/>
    </row>
    <row r="524" spans="2:27" x14ac:dyDescent="0.3"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"/>
    </row>
    <row r="525" spans="2:27" x14ac:dyDescent="0.3"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"/>
    </row>
    <row r="526" spans="2:27" x14ac:dyDescent="0.3"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"/>
    </row>
    <row r="527" spans="2:27" x14ac:dyDescent="0.3"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"/>
    </row>
    <row r="528" spans="2:27" x14ac:dyDescent="0.3"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"/>
    </row>
    <row r="529" spans="2:27" x14ac:dyDescent="0.3"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"/>
    </row>
    <row r="530" spans="2:27" x14ac:dyDescent="0.3"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"/>
    </row>
    <row r="531" spans="2:27" x14ac:dyDescent="0.3"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"/>
    </row>
    <row r="532" spans="2:27" x14ac:dyDescent="0.3"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"/>
    </row>
    <row r="533" spans="2:27" x14ac:dyDescent="0.3"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"/>
    </row>
    <row r="534" spans="2:27" x14ac:dyDescent="0.3"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"/>
    </row>
    <row r="535" spans="2:27" x14ac:dyDescent="0.3"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"/>
    </row>
    <row r="536" spans="2:27" x14ac:dyDescent="0.3"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"/>
    </row>
    <row r="537" spans="2:27" x14ac:dyDescent="0.3"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"/>
    </row>
    <row r="538" spans="2:27" x14ac:dyDescent="0.3"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"/>
    </row>
    <row r="539" spans="2:27" x14ac:dyDescent="0.3"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"/>
    </row>
    <row r="540" spans="2:27" x14ac:dyDescent="0.3"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"/>
    </row>
    <row r="541" spans="2:27" x14ac:dyDescent="0.3"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"/>
    </row>
    <row r="542" spans="2:27" x14ac:dyDescent="0.3"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"/>
    </row>
    <row r="543" spans="2:27" x14ac:dyDescent="0.3"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"/>
    </row>
    <row r="544" spans="2:27" x14ac:dyDescent="0.3"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"/>
    </row>
    <row r="545" spans="2:27" x14ac:dyDescent="0.3"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"/>
    </row>
    <row r="546" spans="2:27" x14ac:dyDescent="0.3"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"/>
    </row>
    <row r="547" spans="2:27" x14ac:dyDescent="0.3"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"/>
    </row>
    <row r="548" spans="2:27" x14ac:dyDescent="0.3"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"/>
    </row>
    <row r="549" spans="2:27" x14ac:dyDescent="0.3"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"/>
    </row>
    <row r="550" spans="2:27" x14ac:dyDescent="0.3"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"/>
    </row>
    <row r="551" spans="2:27" x14ac:dyDescent="0.3"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"/>
    </row>
    <row r="552" spans="2:27" x14ac:dyDescent="0.3"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"/>
    </row>
    <row r="553" spans="2:27" x14ac:dyDescent="0.3"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"/>
    </row>
    <row r="554" spans="2:27" x14ac:dyDescent="0.3"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"/>
    </row>
    <row r="555" spans="2:27" x14ac:dyDescent="0.3"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"/>
    </row>
    <row r="556" spans="2:27" x14ac:dyDescent="0.3"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"/>
    </row>
    <row r="557" spans="2:27" x14ac:dyDescent="0.3"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"/>
    </row>
    <row r="558" spans="2:27" x14ac:dyDescent="0.3"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"/>
    </row>
    <row r="559" spans="2:27" x14ac:dyDescent="0.3"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"/>
    </row>
    <row r="560" spans="2:27" x14ac:dyDescent="0.3"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"/>
    </row>
    <row r="561" spans="2:27" x14ac:dyDescent="0.3"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"/>
    </row>
    <row r="562" spans="2:27" x14ac:dyDescent="0.3"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"/>
    </row>
    <row r="563" spans="2:27" x14ac:dyDescent="0.3"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"/>
    </row>
    <row r="564" spans="2:27" x14ac:dyDescent="0.3"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"/>
    </row>
    <row r="565" spans="2:27" x14ac:dyDescent="0.3"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"/>
    </row>
    <row r="566" spans="2:27" x14ac:dyDescent="0.3"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"/>
    </row>
    <row r="567" spans="2:27" x14ac:dyDescent="0.3"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"/>
    </row>
    <row r="568" spans="2:27" x14ac:dyDescent="0.3"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"/>
    </row>
    <row r="569" spans="2:27" x14ac:dyDescent="0.3"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"/>
    </row>
    <row r="669" spans="2:27" x14ac:dyDescent="0.3"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"/>
    </row>
    <row r="670" spans="2:27" x14ac:dyDescent="0.3"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"/>
    </row>
    <row r="671" spans="2:27" x14ac:dyDescent="0.3"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"/>
    </row>
    <row r="672" spans="2:27" x14ac:dyDescent="0.3"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"/>
    </row>
    <row r="673" spans="2:27" x14ac:dyDescent="0.3"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"/>
    </row>
    <row r="674" spans="2:27" x14ac:dyDescent="0.3"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"/>
    </row>
    <row r="675" spans="2:27" x14ac:dyDescent="0.3"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"/>
    </row>
    <row r="676" spans="2:27" x14ac:dyDescent="0.3"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"/>
    </row>
    <row r="677" spans="2:27" x14ac:dyDescent="0.3"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"/>
    </row>
    <row r="678" spans="2:27" x14ac:dyDescent="0.3"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"/>
    </row>
    <row r="679" spans="2:27" x14ac:dyDescent="0.3"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"/>
    </row>
    <row r="680" spans="2:27" x14ac:dyDescent="0.3"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"/>
    </row>
    <row r="681" spans="2:27" x14ac:dyDescent="0.3"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"/>
    </row>
    <row r="682" spans="2:27" x14ac:dyDescent="0.3"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"/>
    </row>
    <row r="683" spans="2:27" x14ac:dyDescent="0.3"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"/>
    </row>
    <row r="684" spans="2:27" x14ac:dyDescent="0.3"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"/>
    </row>
    <row r="685" spans="2:27" x14ac:dyDescent="0.3"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"/>
    </row>
    <row r="686" spans="2:27" x14ac:dyDescent="0.3"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"/>
    </row>
    <row r="687" spans="2:27" x14ac:dyDescent="0.3"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"/>
    </row>
    <row r="688" spans="2:27" x14ac:dyDescent="0.3"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"/>
    </row>
    <row r="689" spans="2:27" x14ac:dyDescent="0.3"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"/>
    </row>
    <row r="690" spans="2:27" x14ac:dyDescent="0.3"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"/>
    </row>
    <row r="691" spans="2:27" x14ac:dyDescent="0.3"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"/>
    </row>
    <row r="692" spans="2:27" x14ac:dyDescent="0.3"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"/>
    </row>
    <row r="693" spans="2:27" x14ac:dyDescent="0.3"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"/>
    </row>
    <row r="694" spans="2:27" x14ac:dyDescent="0.3"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"/>
    </row>
    <row r="695" spans="2:27" x14ac:dyDescent="0.3"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"/>
    </row>
    <row r="696" spans="2:27" x14ac:dyDescent="0.3"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"/>
    </row>
    <row r="697" spans="2:27" x14ac:dyDescent="0.3"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"/>
    </row>
    <row r="698" spans="2:27" x14ac:dyDescent="0.3"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"/>
    </row>
    <row r="699" spans="2:27" x14ac:dyDescent="0.3"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"/>
    </row>
    <row r="700" spans="2:27" x14ac:dyDescent="0.3"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"/>
    </row>
    <row r="701" spans="2:27" x14ac:dyDescent="0.3"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"/>
    </row>
    <row r="702" spans="2:27" x14ac:dyDescent="0.3"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"/>
    </row>
    <row r="703" spans="2:27" x14ac:dyDescent="0.3"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"/>
    </row>
    <row r="704" spans="2:27" x14ac:dyDescent="0.3"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"/>
    </row>
    <row r="705" spans="2:27" x14ac:dyDescent="0.3"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"/>
    </row>
    <row r="706" spans="2:27" x14ac:dyDescent="0.3"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"/>
    </row>
    <row r="707" spans="2:27" x14ac:dyDescent="0.3"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"/>
    </row>
    <row r="708" spans="2:27" x14ac:dyDescent="0.3"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"/>
    </row>
    <row r="709" spans="2:27" x14ac:dyDescent="0.3"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"/>
    </row>
    <row r="710" spans="2:27" x14ac:dyDescent="0.3"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"/>
    </row>
    <row r="711" spans="2:27" x14ac:dyDescent="0.3"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"/>
    </row>
    <row r="712" spans="2:27" x14ac:dyDescent="0.3"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"/>
    </row>
    <row r="713" spans="2:27" x14ac:dyDescent="0.3"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"/>
    </row>
    <row r="714" spans="2:27" x14ac:dyDescent="0.3"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"/>
    </row>
    <row r="715" spans="2:27" x14ac:dyDescent="0.3"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"/>
    </row>
    <row r="716" spans="2:27" x14ac:dyDescent="0.3"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"/>
    </row>
    <row r="717" spans="2:27" x14ac:dyDescent="0.3"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"/>
    </row>
    <row r="718" spans="2:27" x14ac:dyDescent="0.3"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"/>
    </row>
    <row r="719" spans="2:27" x14ac:dyDescent="0.3"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"/>
    </row>
    <row r="720" spans="2:27" x14ac:dyDescent="0.3"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"/>
    </row>
    <row r="721" spans="2:27" x14ac:dyDescent="0.3"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"/>
    </row>
    <row r="722" spans="2:27" x14ac:dyDescent="0.3"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"/>
    </row>
    <row r="723" spans="2:27" x14ac:dyDescent="0.3"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"/>
    </row>
    <row r="724" spans="2:27" x14ac:dyDescent="0.3"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"/>
    </row>
    <row r="725" spans="2:27" x14ac:dyDescent="0.3"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"/>
    </row>
    <row r="726" spans="2:27" x14ac:dyDescent="0.3"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"/>
    </row>
    <row r="727" spans="2:27" x14ac:dyDescent="0.3"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"/>
    </row>
    <row r="728" spans="2:27" x14ac:dyDescent="0.3"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"/>
    </row>
    <row r="729" spans="2:27" x14ac:dyDescent="0.3"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"/>
    </row>
    <row r="730" spans="2:27" x14ac:dyDescent="0.3"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"/>
    </row>
    <row r="731" spans="2:27" x14ac:dyDescent="0.3"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"/>
    </row>
    <row r="732" spans="2:27" x14ac:dyDescent="0.3"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"/>
    </row>
    <row r="733" spans="2:27" x14ac:dyDescent="0.3"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"/>
    </row>
    <row r="734" spans="2:27" x14ac:dyDescent="0.3"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"/>
    </row>
    <row r="735" spans="2:27" x14ac:dyDescent="0.3"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"/>
    </row>
    <row r="736" spans="2:27" x14ac:dyDescent="0.3"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"/>
    </row>
    <row r="737" spans="2:27" x14ac:dyDescent="0.3"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"/>
    </row>
    <row r="738" spans="2:27" x14ac:dyDescent="0.3"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"/>
    </row>
    <row r="739" spans="2:27" x14ac:dyDescent="0.3">
      <c r="AA739" s="4"/>
    </row>
    <row r="740" spans="2:27" x14ac:dyDescent="0.3">
      <c r="AA740" s="4"/>
    </row>
    <row r="741" spans="2:27" x14ac:dyDescent="0.3">
      <c r="AA741" s="4"/>
    </row>
    <row r="742" spans="2:27" x14ac:dyDescent="0.3">
      <c r="AA742" s="4"/>
    </row>
    <row r="743" spans="2:27" x14ac:dyDescent="0.3">
      <c r="AA743" s="4"/>
    </row>
    <row r="744" spans="2:27" x14ac:dyDescent="0.3">
      <c r="AA744" s="4"/>
    </row>
    <row r="745" spans="2:27" x14ac:dyDescent="0.3">
      <c r="AA745" s="4"/>
    </row>
    <row r="746" spans="2:27" x14ac:dyDescent="0.3">
      <c r="AA746" s="4"/>
    </row>
    <row r="747" spans="2:27" x14ac:dyDescent="0.3">
      <c r="AA747" s="4"/>
    </row>
    <row r="748" spans="2:27" x14ac:dyDescent="0.3">
      <c r="AA748" s="4"/>
    </row>
    <row r="749" spans="2:27" x14ac:dyDescent="0.3">
      <c r="AA749" s="4"/>
    </row>
    <row r="750" spans="2:27" x14ac:dyDescent="0.3">
      <c r="AA750" s="4"/>
    </row>
    <row r="751" spans="2:27" x14ac:dyDescent="0.3">
      <c r="AA751" s="4"/>
    </row>
    <row r="752" spans="2:27" x14ac:dyDescent="0.3">
      <c r="AA752" s="4"/>
    </row>
    <row r="753" spans="27:27" x14ac:dyDescent="0.3">
      <c r="AA753" s="4"/>
    </row>
    <row r="754" spans="27:27" x14ac:dyDescent="0.3">
      <c r="AA754" s="4"/>
    </row>
    <row r="755" spans="27:27" x14ac:dyDescent="0.3">
      <c r="AA755" s="4"/>
    </row>
    <row r="756" spans="27:27" x14ac:dyDescent="0.3">
      <c r="AA756" s="4"/>
    </row>
    <row r="757" spans="27:27" x14ac:dyDescent="0.3">
      <c r="AA757" s="4"/>
    </row>
    <row r="758" spans="27:27" x14ac:dyDescent="0.3">
      <c r="AA758" s="4"/>
    </row>
    <row r="759" spans="27:27" x14ac:dyDescent="0.3">
      <c r="AA759" s="4"/>
    </row>
    <row r="760" spans="27:27" x14ac:dyDescent="0.3">
      <c r="AA760" s="4"/>
    </row>
    <row r="761" spans="27:27" x14ac:dyDescent="0.3">
      <c r="AA761" s="4"/>
    </row>
    <row r="762" spans="27:27" x14ac:dyDescent="0.3">
      <c r="AA762" s="4"/>
    </row>
    <row r="763" spans="27:27" x14ac:dyDescent="0.3">
      <c r="AA763" s="4"/>
    </row>
    <row r="764" spans="27:27" x14ac:dyDescent="0.3">
      <c r="AA764" s="4"/>
    </row>
    <row r="765" spans="27:27" x14ac:dyDescent="0.3">
      <c r="AA765" s="4"/>
    </row>
    <row r="766" spans="27:27" x14ac:dyDescent="0.3">
      <c r="AA766" s="4"/>
    </row>
    <row r="767" spans="27:27" x14ac:dyDescent="0.3">
      <c r="AA767" s="4"/>
    </row>
    <row r="768" spans="27:27" x14ac:dyDescent="0.3">
      <c r="AA768" s="4"/>
    </row>
    <row r="769" spans="27:27" x14ac:dyDescent="0.3">
      <c r="AA769" s="4"/>
    </row>
    <row r="770" spans="27:27" x14ac:dyDescent="0.3">
      <c r="AA770" s="4"/>
    </row>
    <row r="771" spans="27:27" x14ac:dyDescent="0.3">
      <c r="AA771" s="4"/>
    </row>
    <row r="772" spans="27:27" x14ac:dyDescent="0.3">
      <c r="AA772" s="4"/>
    </row>
    <row r="773" spans="27:27" x14ac:dyDescent="0.3">
      <c r="AA773" s="4"/>
    </row>
    <row r="774" spans="27:27" x14ac:dyDescent="0.3">
      <c r="AA774" s="4"/>
    </row>
    <row r="775" spans="27:27" x14ac:dyDescent="0.3">
      <c r="AA775" s="4"/>
    </row>
    <row r="776" spans="27:27" x14ac:dyDescent="0.3">
      <c r="AA776" s="4"/>
    </row>
    <row r="777" spans="27:27" x14ac:dyDescent="0.3">
      <c r="AA777" s="4"/>
    </row>
    <row r="778" spans="27:27" x14ac:dyDescent="0.3">
      <c r="AA778" s="4"/>
    </row>
    <row r="779" spans="27:27" x14ac:dyDescent="0.3">
      <c r="AA779" s="4"/>
    </row>
    <row r="780" spans="27:27" x14ac:dyDescent="0.3">
      <c r="AA780" s="4"/>
    </row>
    <row r="781" spans="27:27" x14ac:dyDescent="0.3">
      <c r="AA781" s="4"/>
    </row>
    <row r="782" spans="27:27" x14ac:dyDescent="0.3">
      <c r="AA782" s="4"/>
    </row>
    <row r="783" spans="27:27" x14ac:dyDescent="0.3">
      <c r="AA783" s="4"/>
    </row>
    <row r="784" spans="27:27" x14ac:dyDescent="0.3">
      <c r="AA784" s="4"/>
    </row>
    <row r="785" spans="27:27" x14ac:dyDescent="0.3">
      <c r="AA785" s="4"/>
    </row>
    <row r="786" spans="27:27" x14ac:dyDescent="0.3">
      <c r="AA786" s="4"/>
    </row>
    <row r="787" spans="27:27" x14ac:dyDescent="0.3">
      <c r="AA787" s="4"/>
    </row>
    <row r="788" spans="27:27" x14ac:dyDescent="0.3">
      <c r="AA788" s="4"/>
    </row>
    <row r="789" spans="27:27" x14ac:dyDescent="0.3">
      <c r="AA789" s="4"/>
    </row>
    <row r="790" spans="27:27" x14ac:dyDescent="0.3">
      <c r="AA790" s="4"/>
    </row>
    <row r="791" spans="27:27" x14ac:dyDescent="0.3">
      <c r="AA791" s="4"/>
    </row>
    <row r="792" spans="27:27" x14ac:dyDescent="0.3">
      <c r="AA792" s="4"/>
    </row>
    <row r="793" spans="27:27" x14ac:dyDescent="0.3">
      <c r="AA793" s="4"/>
    </row>
    <row r="794" spans="27:27" x14ac:dyDescent="0.3">
      <c r="AA794" s="4"/>
    </row>
    <row r="795" spans="27:27" x14ac:dyDescent="0.3">
      <c r="AA795" s="4"/>
    </row>
    <row r="796" spans="27:27" x14ac:dyDescent="0.3">
      <c r="AA796" s="4"/>
    </row>
    <row r="797" spans="27:27" x14ac:dyDescent="0.3">
      <c r="AA797" s="4"/>
    </row>
    <row r="798" spans="27:27" x14ac:dyDescent="0.3">
      <c r="AA798" s="4"/>
    </row>
    <row r="799" spans="27:27" x14ac:dyDescent="0.3">
      <c r="AA799" s="4"/>
    </row>
    <row r="800" spans="27:27" x14ac:dyDescent="0.3">
      <c r="AA800" s="4"/>
    </row>
    <row r="801" spans="27:27" x14ac:dyDescent="0.3">
      <c r="AA801" s="4"/>
    </row>
    <row r="802" spans="27:27" x14ac:dyDescent="0.3">
      <c r="AA802" s="4"/>
    </row>
    <row r="803" spans="27:27" x14ac:dyDescent="0.3">
      <c r="AA803" s="4"/>
    </row>
    <row r="804" spans="27:27" x14ac:dyDescent="0.3">
      <c r="AA804" s="4"/>
    </row>
    <row r="805" spans="27:27" x14ac:dyDescent="0.3">
      <c r="AA805" s="4"/>
    </row>
    <row r="806" spans="27:27" x14ac:dyDescent="0.3">
      <c r="AA806" s="4"/>
    </row>
    <row r="807" spans="27:27" x14ac:dyDescent="0.3">
      <c r="AA807" s="4"/>
    </row>
    <row r="808" spans="27:27" x14ac:dyDescent="0.3">
      <c r="AA808" s="4"/>
    </row>
    <row r="809" spans="27:27" x14ac:dyDescent="0.3">
      <c r="AA809" s="4"/>
    </row>
    <row r="810" spans="27:27" x14ac:dyDescent="0.3">
      <c r="AA810" s="4"/>
    </row>
    <row r="811" spans="27:27" x14ac:dyDescent="0.3">
      <c r="AA811" s="4"/>
    </row>
    <row r="812" spans="27:27" x14ac:dyDescent="0.3">
      <c r="AA812" s="4"/>
    </row>
    <row r="813" spans="27:27" x14ac:dyDescent="0.3">
      <c r="AA813" s="4"/>
    </row>
    <row r="814" spans="27:27" x14ac:dyDescent="0.3">
      <c r="AA814" s="4"/>
    </row>
    <row r="815" spans="27:27" x14ac:dyDescent="0.3">
      <c r="AA815" s="4"/>
    </row>
    <row r="816" spans="27:27" x14ac:dyDescent="0.3">
      <c r="AA816" s="4"/>
    </row>
    <row r="817" spans="27:27" x14ac:dyDescent="0.3">
      <c r="AA817" s="4"/>
    </row>
    <row r="818" spans="27:27" x14ac:dyDescent="0.3">
      <c r="AA818" s="4"/>
    </row>
    <row r="819" spans="27:27" x14ac:dyDescent="0.3">
      <c r="AA819" s="4"/>
    </row>
    <row r="820" spans="27:27" x14ac:dyDescent="0.3">
      <c r="AA820" s="4"/>
    </row>
    <row r="821" spans="27:27" x14ac:dyDescent="0.3">
      <c r="AA821" s="4"/>
    </row>
    <row r="822" spans="27:27" x14ac:dyDescent="0.3">
      <c r="AA822" s="4"/>
    </row>
    <row r="823" spans="27:27" x14ac:dyDescent="0.3">
      <c r="AA823" s="4"/>
    </row>
    <row r="824" spans="27:27" x14ac:dyDescent="0.3">
      <c r="AA824" s="4"/>
    </row>
    <row r="825" spans="27:27" x14ac:dyDescent="0.3">
      <c r="AA825" s="4"/>
    </row>
    <row r="826" spans="27:27" x14ac:dyDescent="0.3">
      <c r="AA826" s="4"/>
    </row>
    <row r="827" spans="27:27" x14ac:dyDescent="0.3">
      <c r="AA827" s="4"/>
    </row>
    <row r="828" spans="27:27" x14ac:dyDescent="0.3">
      <c r="AA828" s="4"/>
    </row>
    <row r="829" spans="27:27" x14ac:dyDescent="0.3">
      <c r="AA829" s="4"/>
    </row>
    <row r="830" spans="27:27" x14ac:dyDescent="0.3">
      <c r="AA830" s="4"/>
    </row>
    <row r="831" spans="27:27" x14ac:dyDescent="0.3">
      <c r="AA831" s="4"/>
    </row>
    <row r="832" spans="27:27" x14ac:dyDescent="0.3">
      <c r="AA832" s="4"/>
    </row>
    <row r="833" spans="27:27" x14ac:dyDescent="0.3">
      <c r="AA833" s="4"/>
    </row>
    <row r="834" spans="27:27" x14ac:dyDescent="0.3">
      <c r="AA834" s="4"/>
    </row>
    <row r="835" spans="27:27" x14ac:dyDescent="0.3">
      <c r="AA835" s="4"/>
    </row>
    <row r="836" spans="27:27" x14ac:dyDescent="0.3">
      <c r="AA836" s="4"/>
    </row>
    <row r="837" spans="27:27" x14ac:dyDescent="0.3">
      <c r="AA837" s="4"/>
    </row>
    <row r="838" spans="27:27" x14ac:dyDescent="0.3">
      <c r="AA838" s="4"/>
    </row>
    <row r="839" spans="27:27" x14ac:dyDescent="0.3">
      <c r="AA839" s="4"/>
    </row>
    <row r="840" spans="27:27" x14ac:dyDescent="0.3">
      <c r="AA840" s="4"/>
    </row>
    <row r="841" spans="27:27" x14ac:dyDescent="0.3">
      <c r="AA841" s="4"/>
    </row>
    <row r="842" spans="27:27" x14ac:dyDescent="0.3">
      <c r="AA842" s="4"/>
    </row>
    <row r="843" spans="27:27" x14ac:dyDescent="0.3">
      <c r="AA843" s="4"/>
    </row>
    <row r="844" spans="27:27" x14ac:dyDescent="0.3">
      <c r="AA844" s="4"/>
    </row>
    <row r="845" spans="27:27" x14ac:dyDescent="0.3">
      <c r="AA845" s="4"/>
    </row>
    <row r="846" spans="27:27" x14ac:dyDescent="0.3">
      <c r="AA846" s="4"/>
    </row>
    <row r="847" spans="27:27" x14ac:dyDescent="0.3">
      <c r="AA847" s="4"/>
    </row>
    <row r="848" spans="27:27" x14ac:dyDescent="0.3">
      <c r="AA848" s="4"/>
    </row>
    <row r="849" spans="27:27" x14ac:dyDescent="0.3">
      <c r="AA849" s="4"/>
    </row>
    <row r="850" spans="27:27" x14ac:dyDescent="0.3">
      <c r="AA850" s="4"/>
    </row>
    <row r="851" spans="27:27" x14ac:dyDescent="0.3">
      <c r="AA851" s="4"/>
    </row>
    <row r="852" spans="27:27" x14ac:dyDescent="0.3">
      <c r="AA852" s="4"/>
    </row>
    <row r="853" spans="27:27" x14ac:dyDescent="0.3">
      <c r="AA853" s="4"/>
    </row>
    <row r="854" spans="27:27" x14ac:dyDescent="0.3">
      <c r="AA854" s="4"/>
    </row>
    <row r="855" spans="27:27" x14ac:dyDescent="0.3">
      <c r="AA855" s="4"/>
    </row>
    <row r="856" spans="27:27" x14ac:dyDescent="0.3">
      <c r="AA856" s="4"/>
    </row>
    <row r="857" spans="27:27" x14ac:dyDescent="0.3">
      <c r="AA857" s="4"/>
    </row>
    <row r="858" spans="27:27" x14ac:dyDescent="0.3">
      <c r="AA858" s="4"/>
    </row>
    <row r="859" spans="27:27" x14ac:dyDescent="0.3">
      <c r="AA859" s="4"/>
    </row>
    <row r="860" spans="27:27" x14ac:dyDescent="0.3">
      <c r="AA860" s="4"/>
    </row>
    <row r="861" spans="27:27" x14ac:dyDescent="0.3">
      <c r="AA861" s="4"/>
    </row>
    <row r="862" spans="27:27" x14ac:dyDescent="0.3">
      <c r="AA862" s="4"/>
    </row>
    <row r="863" spans="27:27" x14ac:dyDescent="0.3">
      <c r="AA863" s="4"/>
    </row>
    <row r="864" spans="27:27" x14ac:dyDescent="0.3">
      <c r="AA864" s="4"/>
    </row>
    <row r="865" spans="27:27" x14ac:dyDescent="0.3">
      <c r="AA865" s="4"/>
    </row>
    <row r="866" spans="27:27" x14ac:dyDescent="0.3">
      <c r="AA866" s="4"/>
    </row>
    <row r="867" spans="27:27" x14ac:dyDescent="0.3">
      <c r="AA867" s="4"/>
    </row>
    <row r="868" spans="27:27" x14ac:dyDescent="0.3">
      <c r="AA868" s="4"/>
    </row>
    <row r="869" spans="27:27" x14ac:dyDescent="0.3">
      <c r="AA869" s="4"/>
    </row>
    <row r="870" spans="27:27" x14ac:dyDescent="0.3">
      <c r="AA870" s="4"/>
    </row>
    <row r="871" spans="27:27" x14ac:dyDescent="0.3">
      <c r="AA871" s="4"/>
    </row>
    <row r="872" spans="27:27" x14ac:dyDescent="0.3">
      <c r="AA872" s="4"/>
    </row>
    <row r="873" spans="27:27" x14ac:dyDescent="0.3">
      <c r="AA873" s="4"/>
    </row>
    <row r="874" spans="27:27" x14ac:dyDescent="0.3">
      <c r="AA874" s="4"/>
    </row>
    <row r="875" spans="27:27" x14ac:dyDescent="0.3">
      <c r="AA875" s="4"/>
    </row>
    <row r="876" spans="27:27" x14ac:dyDescent="0.3">
      <c r="AA876" s="4"/>
    </row>
    <row r="877" spans="27:27" x14ac:dyDescent="0.3">
      <c r="AA877" s="4"/>
    </row>
    <row r="878" spans="27:27" x14ac:dyDescent="0.3">
      <c r="AA878" s="4"/>
    </row>
    <row r="879" spans="27:27" x14ac:dyDescent="0.3">
      <c r="AA879" s="4"/>
    </row>
    <row r="880" spans="27:27" x14ac:dyDescent="0.3">
      <c r="AA880" s="4"/>
    </row>
    <row r="881" spans="27:27" x14ac:dyDescent="0.3">
      <c r="AA881" s="4"/>
    </row>
    <row r="882" spans="27:27" x14ac:dyDescent="0.3">
      <c r="AA882" s="4"/>
    </row>
    <row r="883" spans="27:27" x14ac:dyDescent="0.3">
      <c r="AA883" s="4"/>
    </row>
    <row r="884" spans="27:27" x14ac:dyDescent="0.3">
      <c r="AA884" s="4"/>
    </row>
    <row r="885" spans="27:27" x14ac:dyDescent="0.3">
      <c r="AA885" s="4"/>
    </row>
    <row r="886" spans="27:27" x14ac:dyDescent="0.3">
      <c r="AA886" s="4"/>
    </row>
    <row r="887" spans="27:27" x14ac:dyDescent="0.3">
      <c r="AA887" s="4"/>
    </row>
    <row r="888" spans="27:27" x14ac:dyDescent="0.3">
      <c r="AA888" s="4"/>
    </row>
    <row r="889" spans="27:27" x14ac:dyDescent="0.3">
      <c r="AA889" s="4"/>
    </row>
    <row r="890" spans="27:27" x14ac:dyDescent="0.3">
      <c r="AA890" s="4"/>
    </row>
    <row r="891" spans="27:27" x14ac:dyDescent="0.3">
      <c r="AA891" s="4"/>
    </row>
    <row r="892" spans="27:27" x14ac:dyDescent="0.3">
      <c r="AA892" s="4"/>
    </row>
    <row r="893" spans="27:27" x14ac:dyDescent="0.3">
      <c r="AA893" s="4"/>
    </row>
    <row r="894" spans="27:27" x14ac:dyDescent="0.3">
      <c r="AA894" s="4"/>
    </row>
    <row r="895" spans="27:27" x14ac:dyDescent="0.3">
      <c r="AA895" s="4"/>
    </row>
    <row r="896" spans="27:27" x14ac:dyDescent="0.3">
      <c r="AA896" s="4"/>
    </row>
    <row r="897" spans="27:27" x14ac:dyDescent="0.3">
      <c r="AA897" s="4"/>
    </row>
    <row r="898" spans="27:27" x14ac:dyDescent="0.3">
      <c r="AA898" s="4"/>
    </row>
    <row r="899" spans="27:27" x14ac:dyDescent="0.3">
      <c r="AA899" s="4"/>
    </row>
    <row r="900" spans="27:27" x14ac:dyDescent="0.3">
      <c r="AA900" s="4"/>
    </row>
    <row r="901" spans="27:27" x14ac:dyDescent="0.3">
      <c r="AA901" s="4"/>
    </row>
    <row r="902" spans="27:27" x14ac:dyDescent="0.3">
      <c r="AA902" s="4"/>
    </row>
    <row r="903" spans="27:27" x14ac:dyDescent="0.3">
      <c r="AA903" s="4"/>
    </row>
    <row r="904" spans="27:27" x14ac:dyDescent="0.3">
      <c r="AA904" s="4"/>
    </row>
    <row r="905" spans="27:27" x14ac:dyDescent="0.3">
      <c r="AA905" s="4"/>
    </row>
    <row r="906" spans="27:27" x14ac:dyDescent="0.3">
      <c r="AA906" s="4"/>
    </row>
    <row r="907" spans="27:27" x14ac:dyDescent="0.3">
      <c r="AA907" s="4"/>
    </row>
    <row r="908" spans="27:27" x14ac:dyDescent="0.3">
      <c r="AA908" s="4"/>
    </row>
    <row r="909" spans="27:27" x14ac:dyDescent="0.3">
      <c r="AA909" s="4"/>
    </row>
    <row r="910" spans="27:27" x14ac:dyDescent="0.3">
      <c r="AA910" s="4"/>
    </row>
    <row r="911" spans="27:27" x14ac:dyDescent="0.3">
      <c r="AA911" s="4"/>
    </row>
    <row r="912" spans="27:27" x14ac:dyDescent="0.3">
      <c r="AA912" s="4"/>
    </row>
    <row r="913" spans="27:27" x14ac:dyDescent="0.3">
      <c r="AA913" s="4"/>
    </row>
    <row r="914" spans="27:27" x14ac:dyDescent="0.3">
      <c r="AA914" s="4"/>
    </row>
    <row r="915" spans="27:27" x14ac:dyDescent="0.3">
      <c r="AA915" s="4"/>
    </row>
    <row r="916" spans="27:27" x14ac:dyDescent="0.3">
      <c r="AA916" s="4"/>
    </row>
    <row r="917" spans="27:27" x14ac:dyDescent="0.3">
      <c r="AA917" s="4"/>
    </row>
    <row r="918" spans="27:27" x14ac:dyDescent="0.3">
      <c r="AA918" s="4"/>
    </row>
    <row r="919" spans="27:27" x14ac:dyDescent="0.3">
      <c r="AA919" s="4"/>
    </row>
    <row r="920" spans="27:27" x14ac:dyDescent="0.3">
      <c r="AA920" s="4"/>
    </row>
    <row r="921" spans="27:27" x14ac:dyDescent="0.3">
      <c r="AA921" s="4"/>
    </row>
    <row r="922" spans="27:27" x14ac:dyDescent="0.3">
      <c r="AA922" s="4"/>
    </row>
    <row r="923" spans="27:27" x14ac:dyDescent="0.3">
      <c r="AA923" s="4"/>
    </row>
    <row r="924" spans="27:27" x14ac:dyDescent="0.3">
      <c r="AA924" s="4"/>
    </row>
    <row r="925" spans="27:27" x14ac:dyDescent="0.3">
      <c r="AA925" s="4"/>
    </row>
    <row r="926" spans="27:27" x14ac:dyDescent="0.3">
      <c r="AA926" s="4"/>
    </row>
    <row r="927" spans="27:27" x14ac:dyDescent="0.3">
      <c r="AA927" s="4"/>
    </row>
    <row r="928" spans="27:27" x14ac:dyDescent="0.3">
      <c r="AA928" s="4"/>
    </row>
    <row r="929" spans="27:27" x14ac:dyDescent="0.3">
      <c r="AA929" s="4"/>
    </row>
    <row r="930" spans="27:27" x14ac:dyDescent="0.3">
      <c r="AA930" s="4"/>
    </row>
    <row r="931" spans="27:27" x14ac:dyDescent="0.3">
      <c r="AA931" s="4"/>
    </row>
    <row r="932" spans="27:27" x14ac:dyDescent="0.3">
      <c r="AA932" s="4"/>
    </row>
    <row r="933" spans="27:27" x14ac:dyDescent="0.3">
      <c r="AA933" s="4"/>
    </row>
    <row r="934" spans="27:27" x14ac:dyDescent="0.3">
      <c r="AA934" s="4"/>
    </row>
    <row r="935" spans="27:27" x14ac:dyDescent="0.3">
      <c r="AA935" s="4"/>
    </row>
    <row r="936" spans="27:27" x14ac:dyDescent="0.3">
      <c r="AA936" s="4"/>
    </row>
    <row r="937" spans="27:27" x14ac:dyDescent="0.3">
      <c r="AA937" s="4"/>
    </row>
    <row r="938" spans="27:27" x14ac:dyDescent="0.3">
      <c r="AA938" s="4"/>
    </row>
    <row r="939" spans="27:27" x14ac:dyDescent="0.3">
      <c r="AA939" s="4"/>
    </row>
    <row r="940" spans="27:27" x14ac:dyDescent="0.3">
      <c r="AA940" s="4"/>
    </row>
    <row r="941" spans="27:27" x14ac:dyDescent="0.3">
      <c r="AA941" s="4"/>
    </row>
    <row r="942" spans="27:27" x14ac:dyDescent="0.3">
      <c r="AA942" s="4"/>
    </row>
    <row r="943" spans="27:27" x14ac:dyDescent="0.3">
      <c r="AA943" s="4"/>
    </row>
    <row r="944" spans="27:27" x14ac:dyDescent="0.3">
      <c r="AA944" s="4"/>
    </row>
    <row r="945" spans="27:27" x14ac:dyDescent="0.3">
      <c r="AA945" s="4"/>
    </row>
    <row r="946" spans="27:27" x14ac:dyDescent="0.3">
      <c r="AA946" s="4"/>
    </row>
    <row r="947" spans="27:27" x14ac:dyDescent="0.3">
      <c r="AA947" s="4"/>
    </row>
    <row r="948" spans="27:27" x14ac:dyDescent="0.3">
      <c r="AA948" s="4"/>
    </row>
    <row r="949" spans="27:27" x14ac:dyDescent="0.3">
      <c r="AA949" s="4"/>
    </row>
    <row r="950" spans="27:27" x14ac:dyDescent="0.3">
      <c r="AA950" s="4"/>
    </row>
    <row r="951" spans="27:27" x14ac:dyDescent="0.3">
      <c r="AA951" s="4"/>
    </row>
    <row r="952" spans="27:27" x14ac:dyDescent="0.3">
      <c r="AA952" s="4"/>
    </row>
    <row r="953" spans="27:27" x14ac:dyDescent="0.3">
      <c r="AA953" s="4"/>
    </row>
    <row r="954" spans="27:27" x14ac:dyDescent="0.3">
      <c r="AA954" s="4"/>
    </row>
    <row r="955" spans="27:27" x14ac:dyDescent="0.3">
      <c r="AA955" s="4"/>
    </row>
    <row r="956" spans="27:27" x14ac:dyDescent="0.3">
      <c r="AA956" s="4"/>
    </row>
    <row r="957" spans="27:27" x14ac:dyDescent="0.3">
      <c r="AA957" s="4"/>
    </row>
    <row r="958" spans="27:27" x14ac:dyDescent="0.3">
      <c r="AA958" s="4"/>
    </row>
    <row r="959" spans="27:27" x14ac:dyDescent="0.3">
      <c r="AA959" s="4"/>
    </row>
    <row r="960" spans="27:27" x14ac:dyDescent="0.3">
      <c r="AA960" s="4"/>
    </row>
    <row r="961" spans="27:27" x14ac:dyDescent="0.3">
      <c r="AA961" s="4"/>
    </row>
    <row r="962" spans="27:27" x14ac:dyDescent="0.3">
      <c r="AA962" s="4"/>
    </row>
    <row r="963" spans="27:27" x14ac:dyDescent="0.3">
      <c r="AA963" s="4"/>
    </row>
    <row r="964" spans="27:27" x14ac:dyDescent="0.3">
      <c r="AA964" s="4"/>
    </row>
    <row r="965" spans="27:27" x14ac:dyDescent="0.3">
      <c r="AA965" s="4"/>
    </row>
    <row r="966" spans="27:27" x14ac:dyDescent="0.3">
      <c r="AA966" s="4"/>
    </row>
    <row r="967" spans="27:27" x14ac:dyDescent="0.3">
      <c r="AA967" s="4"/>
    </row>
    <row r="968" spans="27:27" x14ac:dyDescent="0.3">
      <c r="AA968" s="4"/>
    </row>
    <row r="969" spans="27:27" x14ac:dyDescent="0.3">
      <c r="AA969" s="4"/>
    </row>
    <row r="970" spans="27:27" x14ac:dyDescent="0.3">
      <c r="AA970" s="4"/>
    </row>
    <row r="971" spans="27:27" x14ac:dyDescent="0.3">
      <c r="AA971" s="4"/>
    </row>
    <row r="972" spans="27:27" x14ac:dyDescent="0.3">
      <c r="AA972" s="4"/>
    </row>
    <row r="973" spans="27:27" x14ac:dyDescent="0.3">
      <c r="AA973" s="4"/>
    </row>
    <row r="974" spans="27:27" x14ac:dyDescent="0.3">
      <c r="AA974" s="4"/>
    </row>
    <row r="975" spans="27:27" x14ac:dyDescent="0.3">
      <c r="AA975" s="4"/>
    </row>
    <row r="976" spans="27:27" x14ac:dyDescent="0.3">
      <c r="AA976" s="4"/>
    </row>
    <row r="977" spans="27:27" x14ac:dyDescent="0.3">
      <c r="AA977" s="4"/>
    </row>
    <row r="978" spans="27:27" x14ac:dyDescent="0.3">
      <c r="AA978" s="4"/>
    </row>
    <row r="979" spans="27:27" x14ac:dyDescent="0.3">
      <c r="AA979" s="4"/>
    </row>
    <row r="980" spans="27:27" x14ac:dyDescent="0.3">
      <c r="AA980" s="4"/>
    </row>
    <row r="981" spans="27:27" x14ac:dyDescent="0.3">
      <c r="AA981" s="4"/>
    </row>
    <row r="982" spans="27:27" x14ac:dyDescent="0.3">
      <c r="AA982" s="4"/>
    </row>
    <row r="983" spans="27:27" x14ac:dyDescent="0.3">
      <c r="AA983" s="4"/>
    </row>
    <row r="984" spans="27:27" x14ac:dyDescent="0.3">
      <c r="AA984" s="4"/>
    </row>
    <row r="985" spans="27:27" x14ac:dyDescent="0.3">
      <c r="AA985" s="4"/>
    </row>
    <row r="986" spans="27:27" x14ac:dyDescent="0.3">
      <c r="AA986" s="4"/>
    </row>
    <row r="987" spans="27:27" x14ac:dyDescent="0.3">
      <c r="AA987" s="4"/>
    </row>
    <row r="988" spans="27:27" x14ac:dyDescent="0.3">
      <c r="AA988" s="4"/>
    </row>
    <row r="989" spans="27:27" x14ac:dyDescent="0.3">
      <c r="AA989" s="4"/>
    </row>
    <row r="990" spans="27:27" x14ac:dyDescent="0.3">
      <c r="AA990" s="4"/>
    </row>
    <row r="991" spans="27:27" x14ac:dyDescent="0.3">
      <c r="AA991" s="4"/>
    </row>
    <row r="992" spans="27:27" x14ac:dyDescent="0.3">
      <c r="AA992" s="4"/>
    </row>
    <row r="993" spans="27:27" x14ac:dyDescent="0.3">
      <c r="AA993" s="4"/>
    </row>
    <row r="994" spans="27:27" x14ac:dyDescent="0.3">
      <c r="AA994" s="4"/>
    </row>
    <row r="995" spans="27:27" x14ac:dyDescent="0.3">
      <c r="AA995" s="4"/>
    </row>
    <row r="996" spans="27:27" x14ac:dyDescent="0.3">
      <c r="AA996" s="4"/>
    </row>
    <row r="997" spans="27:27" x14ac:dyDescent="0.3">
      <c r="AA997" s="4"/>
    </row>
    <row r="998" spans="27:27" x14ac:dyDescent="0.3">
      <c r="AA998" s="4"/>
    </row>
    <row r="999" spans="27:27" x14ac:dyDescent="0.3">
      <c r="AA999" s="4"/>
    </row>
    <row r="1000" spans="27:27" x14ac:dyDescent="0.3">
      <c r="AA1000" s="4"/>
    </row>
    <row r="1001" spans="27:27" x14ac:dyDescent="0.3">
      <c r="AA1001" s="4"/>
    </row>
    <row r="1002" spans="27:27" x14ac:dyDescent="0.3">
      <c r="AA1002" s="4"/>
    </row>
    <row r="1003" spans="27:27" x14ac:dyDescent="0.3">
      <c r="AA1003" s="4"/>
    </row>
    <row r="1004" spans="27:27" x14ac:dyDescent="0.3">
      <c r="AA1004" s="4"/>
    </row>
    <row r="1005" spans="27:27" x14ac:dyDescent="0.3">
      <c r="AA1005" s="4"/>
    </row>
    <row r="1006" spans="27:27" x14ac:dyDescent="0.3">
      <c r="AA1006" s="4"/>
    </row>
    <row r="1007" spans="27:27" x14ac:dyDescent="0.3">
      <c r="AA1007" s="4"/>
    </row>
    <row r="1008" spans="27:27" x14ac:dyDescent="0.3">
      <c r="AA1008" s="4"/>
    </row>
  </sheetData>
  <mergeCells count="9">
    <mergeCell ref="A2:B67"/>
    <mergeCell ref="A70:B135"/>
    <mergeCell ref="C70:AA70"/>
    <mergeCell ref="C122:AA122"/>
    <mergeCell ref="A138:B203"/>
    <mergeCell ref="C138:AA138"/>
    <mergeCell ref="C190:AA190"/>
    <mergeCell ref="C2:AA2"/>
    <mergeCell ref="C54:AA54"/>
  </mergeCells>
  <pageMargins left="0.51181102362204722" right="0.51181102362204722" top="0.78740157480314965" bottom="0.78740157480314965" header="0.31496062992125984" footer="0.31496062992125984"/>
  <pageSetup paperSize="9" scale="23" orientation="landscape" horizontalDpi="4294967295" verticalDpi="4294967295" r:id="rId1"/>
  <colBreaks count="5" manualBreakCount="5">
    <brk id="28" max="47" man="1"/>
    <brk id="34" max="47" man="1"/>
    <brk id="51" max="47" man="1"/>
    <brk id="103" max="47" man="1"/>
    <brk id="144" max="47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39997558519241921"/>
    <pageSetUpPr fitToPage="1"/>
  </sheetPr>
  <dimension ref="B1:XCN1011"/>
  <sheetViews>
    <sheetView showGridLines="0" zoomScale="85" zoomScaleNormal="85" zoomScaleSheetLayoutView="85" workbookViewId="0">
      <selection activeCell="C41" sqref="C41"/>
    </sheetView>
  </sheetViews>
  <sheetFormatPr defaultRowHeight="16.5" outlineLevelRow="1" x14ac:dyDescent="0.3"/>
  <cols>
    <col min="1" max="1" width="9" style="1"/>
    <col min="2" max="2" width="9.75" style="1" customWidth="1"/>
    <col min="3" max="3" width="39.25" style="1" bestFit="1" customWidth="1"/>
    <col min="4" max="27" width="13.25" style="1" customWidth="1"/>
    <col min="28" max="28" width="6.625" style="1" customWidth="1"/>
    <col min="29" max="29" width="18.75" style="1" bestFit="1" customWidth="1"/>
    <col min="30" max="31" width="11.25" style="1" customWidth="1"/>
    <col min="32" max="32" width="25.375" style="1" bestFit="1" customWidth="1"/>
    <col min="33" max="36" width="9" style="1"/>
    <col min="37" max="37" width="43.25" style="1" bestFit="1" customWidth="1"/>
    <col min="38" max="38" width="17.25" style="1" customWidth="1"/>
    <col min="39" max="16384" width="9" style="1"/>
  </cols>
  <sheetData>
    <row r="1" spans="2:38 16314:16316" ht="21" customHeight="1" thickBot="1" x14ac:dyDescent="0.35">
      <c r="D1" s="2" t="str">
        <f>$D$2&amp;D3</f>
        <v>43101</v>
      </c>
      <c r="E1" s="2" t="str">
        <f t="shared" ref="E1:I1" si="0">$D$2&amp;E3</f>
        <v>43133</v>
      </c>
      <c r="F1" s="2" t="str">
        <f t="shared" si="0"/>
        <v>43165</v>
      </c>
      <c r="G1" s="2" t="str">
        <f t="shared" si="0"/>
        <v>43197</v>
      </c>
      <c r="H1" s="2" t="str">
        <f t="shared" si="0"/>
        <v>43229</v>
      </c>
      <c r="I1" s="2" t="str">
        <f t="shared" si="0"/>
        <v>43261</v>
      </c>
      <c r="AA1" s="3">
        <v>4</v>
      </c>
      <c r="AE1" s="4">
        <f>IF(SUM(D12:D13)&gt;D45,D45,IF(SUM(D12:D13)&lt;D46,D46,SUM(D12:D13)))</f>
        <v>144.06</v>
      </c>
      <c r="AF1" s="1" t="s">
        <v>2</v>
      </c>
    </row>
    <row r="2" spans="2:38 16314:16316" ht="62.25" customHeight="1" x14ac:dyDescent="0.3">
      <c r="B2" s="174" t="s">
        <v>129</v>
      </c>
      <c r="C2" s="170" t="s">
        <v>100</v>
      </c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1"/>
      <c r="AC2" s="5"/>
    </row>
    <row r="3" spans="2:38 16314:16316" ht="25.5" customHeight="1" x14ac:dyDescent="0.3">
      <c r="B3" s="175"/>
      <c r="C3" s="128" t="s">
        <v>3</v>
      </c>
      <c r="D3" s="7">
        <v>43101</v>
      </c>
      <c r="E3" s="7">
        <v>43133</v>
      </c>
      <c r="F3" s="7">
        <v>43165</v>
      </c>
      <c r="G3" s="7">
        <v>43197</v>
      </c>
      <c r="H3" s="7">
        <v>43229</v>
      </c>
      <c r="I3" s="7">
        <v>43261</v>
      </c>
      <c r="J3" s="7">
        <v>43293</v>
      </c>
      <c r="K3" s="7">
        <v>43325</v>
      </c>
      <c r="L3" s="7">
        <v>43357</v>
      </c>
      <c r="M3" s="7">
        <v>43389</v>
      </c>
      <c r="N3" s="7">
        <v>43421</v>
      </c>
      <c r="O3" s="7">
        <v>43453</v>
      </c>
      <c r="P3" s="7">
        <v>43485</v>
      </c>
      <c r="Q3" s="7">
        <v>43517</v>
      </c>
      <c r="R3" s="7">
        <v>43549</v>
      </c>
      <c r="S3" s="7">
        <v>43581</v>
      </c>
      <c r="T3" s="7">
        <v>43613</v>
      </c>
      <c r="U3" s="7">
        <v>43645</v>
      </c>
      <c r="V3" s="7">
        <v>43677</v>
      </c>
      <c r="W3" s="7">
        <v>43709</v>
      </c>
      <c r="X3" s="7">
        <v>43741</v>
      </c>
      <c r="Y3" s="7">
        <v>43773</v>
      </c>
      <c r="Z3" s="7">
        <v>43805</v>
      </c>
      <c r="AA3" s="7">
        <v>43806</v>
      </c>
      <c r="XCL3" s="4">
        <v>2</v>
      </c>
      <c r="XCM3" s="4">
        <v>672</v>
      </c>
      <c r="XCN3" s="4">
        <f t="shared" ref="XCN3:XCN16" si="1">XCM3/24</f>
        <v>28</v>
      </c>
    </row>
    <row r="4" spans="2:38 16314:16316" ht="25.5" customHeight="1" x14ac:dyDescent="0.3">
      <c r="B4" s="175"/>
      <c r="C4" s="128" t="s">
        <v>4</v>
      </c>
      <c r="D4" s="6">
        <v>744</v>
      </c>
      <c r="E4" s="6">
        <v>696</v>
      </c>
      <c r="F4" s="6">
        <v>744</v>
      </c>
      <c r="G4" s="6">
        <v>720</v>
      </c>
      <c r="H4" s="6">
        <v>744</v>
      </c>
      <c r="I4" s="6">
        <v>720</v>
      </c>
      <c r="J4" s="6">
        <v>744</v>
      </c>
      <c r="K4" s="6">
        <v>744</v>
      </c>
      <c r="L4" s="6">
        <v>720</v>
      </c>
      <c r="M4" s="6">
        <v>744</v>
      </c>
      <c r="N4" s="6">
        <v>720</v>
      </c>
      <c r="O4" s="6">
        <v>744</v>
      </c>
      <c r="P4" s="6">
        <v>744</v>
      </c>
      <c r="Q4" s="6">
        <v>672</v>
      </c>
      <c r="R4" s="6">
        <v>744</v>
      </c>
      <c r="S4" s="6">
        <v>720</v>
      </c>
      <c r="T4" s="6">
        <v>744</v>
      </c>
      <c r="U4" s="6">
        <v>720</v>
      </c>
      <c r="V4" s="6">
        <v>744</v>
      </c>
      <c r="W4" s="6">
        <v>744</v>
      </c>
      <c r="X4" s="6">
        <v>720</v>
      </c>
      <c r="Y4" s="6">
        <v>744</v>
      </c>
      <c r="Z4" s="6">
        <v>720</v>
      </c>
      <c r="AA4" s="6">
        <v>744</v>
      </c>
      <c r="XCL4" s="4"/>
      <c r="XCM4" s="4"/>
      <c r="XCN4" s="4"/>
    </row>
    <row r="5" spans="2:38 16314:16316" ht="9.75" customHeight="1" x14ac:dyDescent="0.3">
      <c r="B5" s="175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8"/>
      <c r="XCL5" s="4"/>
      <c r="XCM5" s="4"/>
      <c r="XCN5" s="4"/>
    </row>
    <row r="6" spans="2:38 16314:16316" x14ac:dyDescent="0.3">
      <c r="B6" s="175"/>
      <c r="C6" s="129" t="s">
        <v>5</v>
      </c>
      <c r="D6" s="115">
        <v>457.8</v>
      </c>
      <c r="E6" s="115">
        <v>504</v>
      </c>
      <c r="F6" s="115">
        <v>478.8</v>
      </c>
      <c r="G6" s="115">
        <v>462</v>
      </c>
      <c r="H6" s="115">
        <v>512.4</v>
      </c>
      <c r="I6" s="115">
        <v>420</v>
      </c>
      <c r="J6" s="115">
        <v>466.2</v>
      </c>
      <c r="K6" s="115">
        <v>441</v>
      </c>
      <c r="L6" s="115">
        <v>558.6</v>
      </c>
      <c r="M6" s="115">
        <v>609</v>
      </c>
      <c r="N6" s="115">
        <v>520.79999999999995</v>
      </c>
      <c r="O6" s="115">
        <v>558.6</v>
      </c>
      <c r="P6" s="118">
        <v>600.6</v>
      </c>
      <c r="Q6" s="118">
        <v>516.6</v>
      </c>
      <c r="R6" s="118">
        <v>495.6</v>
      </c>
      <c r="S6" s="118">
        <v>600.6</v>
      </c>
      <c r="T6" s="118">
        <v>478.8</v>
      </c>
      <c r="U6" s="118">
        <v>546</v>
      </c>
      <c r="V6" s="118">
        <v>512.4</v>
      </c>
      <c r="W6" s="118">
        <v>449.4</v>
      </c>
      <c r="X6" s="118">
        <v>571.20000000000005</v>
      </c>
      <c r="Y6" s="118">
        <v>541.79999999999995</v>
      </c>
      <c r="Z6" s="118">
        <v>621.6</v>
      </c>
      <c r="AA6" s="118">
        <v>537.6</v>
      </c>
      <c r="AB6" s="2"/>
      <c r="AC6" s="94" t="s">
        <v>92</v>
      </c>
      <c r="AD6" s="96" t="s">
        <v>96</v>
      </c>
      <c r="AE6" s="94" t="s">
        <v>97</v>
      </c>
      <c r="AF6" s="104" t="s">
        <v>108</v>
      </c>
      <c r="AK6" s="94" t="s">
        <v>124</v>
      </c>
      <c r="AL6" s="135">
        <f>AC64</f>
        <v>3772877.1970588244</v>
      </c>
      <c r="XCL6" s="4">
        <v>3</v>
      </c>
      <c r="XCM6" s="4">
        <v>744</v>
      </c>
      <c r="XCN6" s="4">
        <f t="shared" si="1"/>
        <v>31</v>
      </c>
    </row>
    <row r="7" spans="2:38 16314:16316" x14ac:dyDescent="0.3">
      <c r="B7" s="175"/>
      <c r="C7" s="129" t="s">
        <v>41</v>
      </c>
      <c r="D7" s="115">
        <v>667.8</v>
      </c>
      <c r="E7" s="115">
        <v>756</v>
      </c>
      <c r="F7" s="115">
        <v>743.4</v>
      </c>
      <c r="G7" s="115">
        <v>743.4</v>
      </c>
      <c r="H7" s="115">
        <v>747.6</v>
      </c>
      <c r="I7" s="115">
        <v>592.20000000000005</v>
      </c>
      <c r="J7" s="115">
        <v>600.6</v>
      </c>
      <c r="K7" s="115">
        <v>604.79999999999995</v>
      </c>
      <c r="L7" s="115">
        <v>798</v>
      </c>
      <c r="M7" s="115">
        <v>915.6</v>
      </c>
      <c r="N7" s="115">
        <v>772.8</v>
      </c>
      <c r="O7" s="115">
        <v>835.8</v>
      </c>
      <c r="P7" s="118">
        <v>823.2</v>
      </c>
      <c r="Q7" s="118">
        <v>781.2</v>
      </c>
      <c r="R7" s="118">
        <v>798</v>
      </c>
      <c r="S7" s="118">
        <v>848.4</v>
      </c>
      <c r="T7" s="118">
        <v>760.2</v>
      </c>
      <c r="U7" s="118">
        <v>730.8</v>
      </c>
      <c r="V7" s="118">
        <v>697.2</v>
      </c>
      <c r="W7" s="118">
        <v>663.6</v>
      </c>
      <c r="X7" s="118">
        <v>844.2</v>
      </c>
      <c r="Y7" s="118">
        <v>882</v>
      </c>
      <c r="Z7" s="118">
        <v>831.6</v>
      </c>
      <c r="AA7" s="118">
        <v>789.6</v>
      </c>
      <c r="AB7" s="2"/>
      <c r="AC7" s="94" t="s">
        <v>93</v>
      </c>
      <c r="AD7" s="95">
        <v>0</v>
      </c>
      <c r="AE7" s="96">
        <v>175</v>
      </c>
      <c r="AF7" s="104">
        <v>13.43</v>
      </c>
      <c r="AL7" s="137"/>
      <c r="XCL7" s="4">
        <v>4</v>
      </c>
      <c r="XCM7" s="4">
        <v>720</v>
      </c>
      <c r="XCN7" s="4">
        <f t="shared" si="1"/>
        <v>30</v>
      </c>
    </row>
    <row r="8" spans="2:38 16314:16316" x14ac:dyDescent="0.3">
      <c r="B8" s="175"/>
      <c r="C8" s="129" t="s">
        <v>6</v>
      </c>
      <c r="D8" s="119">
        <v>0</v>
      </c>
      <c r="E8" s="119">
        <v>0</v>
      </c>
      <c r="F8" s="119">
        <v>0</v>
      </c>
      <c r="G8" s="119">
        <v>0</v>
      </c>
      <c r="H8" s="119">
        <v>0</v>
      </c>
      <c r="I8" s="119">
        <v>0</v>
      </c>
      <c r="J8" s="119">
        <v>0</v>
      </c>
      <c r="K8" s="119">
        <v>0</v>
      </c>
      <c r="L8" s="119">
        <v>0</v>
      </c>
      <c r="M8" s="119">
        <v>0</v>
      </c>
      <c r="N8" s="119">
        <v>0</v>
      </c>
      <c r="O8" s="119">
        <v>0</v>
      </c>
      <c r="P8" s="120">
        <v>0</v>
      </c>
      <c r="Q8" s="120">
        <v>0</v>
      </c>
      <c r="R8" s="120">
        <v>0</v>
      </c>
      <c r="S8" s="120">
        <v>0</v>
      </c>
      <c r="T8" s="120">
        <v>0</v>
      </c>
      <c r="U8" s="120">
        <v>0</v>
      </c>
      <c r="V8" s="120">
        <v>0</v>
      </c>
      <c r="W8" s="120">
        <v>0</v>
      </c>
      <c r="X8" s="120">
        <v>0</v>
      </c>
      <c r="Y8" s="120">
        <v>0</v>
      </c>
      <c r="Z8" s="120">
        <v>0</v>
      </c>
      <c r="AA8" s="120">
        <v>0</v>
      </c>
      <c r="AB8" s="2"/>
      <c r="AC8" s="94" t="s">
        <v>94</v>
      </c>
      <c r="AD8" s="95">
        <v>0.5</v>
      </c>
      <c r="AE8" s="96">
        <v>220</v>
      </c>
      <c r="AF8" s="104">
        <v>41.69</v>
      </c>
      <c r="AK8" s="94" t="s">
        <v>127</v>
      </c>
      <c r="AL8" s="135">
        <f>AC52</f>
        <v>3079704.2538517318</v>
      </c>
      <c r="XCL8" s="4">
        <v>5</v>
      </c>
      <c r="XCM8" s="4">
        <v>744</v>
      </c>
      <c r="XCN8" s="4">
        <f t="shared" si="1"/>
        <v>31</v>
      </c>
    </row>
    <row r="9" spans="2:38 16314:16316" x14ac:dyDescent="0.3">
      <c r="B9" s="175"/>
      <c r="C9" s="129" t="s">
        <v>7</v>
      </c>
      <c r="D9" s="116">
        <v>705</v>
      </c>
      <c r="E9" s="116">
        <v>705</v>
      </c>
      <c r="F9" s="116">
        <v>705</v>
      </c>
      <c r="G9" s="116">
        <v>705</v>
      </c>
      <c r="H9" s="116">
        <v>705</v>
      </c>
      <c r="I9" s="116">
        <v>705</v>
      </c>
      <c r="J9" s="116">
        <v>705</v>
      </c>
      <c r="K9" s="116">
        <v>705</v>
      </c>
      <c r="L9" s="116">
        <v>705</v>
      </c>
      <c r="M9" s="116">
        <v>705</v>
      </c>
      <c r="N9" s="116">
        <v>705</v>
      </c>
      <c r="O9" s="116">
        <v>705</v>
      </c>
      <c r="P9" s="121">
        <v>705</v>
      </c>
      <c r="Q9" s="121">
        <v>705</v>
      </c>
      <c r="R9" s="121">
        <v>705</v>
      </c>
      <c r="S9" s="121">
        <v>705</v>
      </c>
      <c r="T9" s="121">
        <v>705</v>
      </c>
      <c r="U9" s="121">
        <v>705</v>
      </c>
      <c r="V9" s="121">
        <v>705</v>
      </c>
      <c r="W9" s="121">
        <v>705</v>
      </c>
      <c r="X9" s="121">
        <v>705</v>
      </c>
      <c r="Y9" s="121">
        <v>705</v>
      </c>
      <c r="Z9" s="121">
        <v>705</v>
      </c>
      <c r="AA9" s="121">
        <v>705</v>
      </c>
      <c r="AB9" s="2"/>
      <c r="AC9" s="94" t="s">
        <v>95</v>
      </c>
      <c r="AD9" s="95">
        <v>1</v>
      </c>
      <c r="AE9" s="96">
        <v>310</v>
      </c>
      <c r="AF9" s="104">
        <v>62.43</v>
      </c>
      <c r="AK9" s="94" t="s">
        <v>125</v>
      </c>
      <c r="AL9" s="136">
        <f>(AL6-AL8)/AL6</f>
        <v>0.18372528630072055</v>
      </c>
      <c r="XCL9" s="4">
        <v>6</v>
      </c>
      <c r="XCM9" s="4">
        <v>720</v>
      </c>
      <c r="XCN9" s="4">
        <f t="shared" si="1"/>
        <v>30</v>
      </c>
    </row>
    <row r="10" spans="2:38 16314:16316" x14ac:dyDescent="0.3">
      <c r="B10" s="175"/>
      <c r="C10" s="129" t="s">
        <v>8</v>
      </c>
      <c r="D10" s="16">
        <f t="shared" ref="D10:AA10" si="2">IF(D19="Verde",0,IF(D6&gt;D8*1.05,D6-D8,0))</f>
        <v>0</v>
      </c>
      <c r="E10" s="16">
        <f t="shared" si="2"/>
        <v>0</v>
      </c>
      <c r="F10" s="16">
        <f t="shared" si="2"/>
        <v>0</v>
      </c>
      <c r="G10" s="16">
        <f t="shared" si="2"/>
        <v>0</v>
      </c>
      <c r="H10" s="16">
        <f t="shared" si="2"/>
        <v>0</v>
      </c>
      <c r="I10" s="16">
        <f t="shared" si="2"/>
        <v>0</v>
      </c>
      <c r="J10" s="16">
        <f t="shared" si="2"/>
        <v>0</v>
      </c>
      <c r="K10" s="16">
        <f t="shared" si="2"/>
        <v>0</v>
      </c>
      <c r="L10" s="16">
        <f t="shared" si="2"/>
        <v>0</v>
      </c>
      <c r="M10" s="16">
        <f t="shared" si="2"/>
        <v>0</v>
      </c>
      <c r="N10" s="16">
        <f t="shared" si="2"/>
        <v>0</v>
      </c>
      <c r="O10" s="16">
        <f t="shared" si="2"/>
        <v>0</v>
      </c>
      <c r="P10" s="16">
        <f t="shared" si="2"/>
        <v>0</v>
      </c>
      <c r="Q10" s="16">
        <f t="shared" si="2"/>
        <v>0</v>
      </c>
      <c r="R10" s="16">
        <f t="shared" si="2"/>
        <v>0</v>
      </c>
      <c r="S10" s="16">
        <f t="shared" si="2"/>
        <v>0</v>
      </c>
      <c r="T10" s="16">
        <f t="shared" si="2"/>
        <v>0</v>
      </c>
      <c r="U10" s="16">
        <f t="shared" si="2"/>
        <v>0</v>
      </c>
      <c r="V10" s="16">
        <f t="shared" si="2"/>
        <v>0</v>
      </c>
      <c r="W10" s="16">
        <f t="shared" si="2"/>
        <v>0</v>
      </c>
      <c r="X10" s="16">
        <f t="shared" si="2"/>
        <v>0</v>
      </c>
      <c r="Y10" s="16">
        <f t="shared" si="2"/>
        <v>0</v>
      </c>
      <c r="Z10" s="16">
        <f t="shared" si="2"/>
        <v>0</v>
      </c>
      <c r="AA10" s="16">
        <f t="shared" si="2"/>
        <v>0</v>
      </c>
      <c r="AB10" s="2"/>
      <c r="XCL10" s="4">
        <v>7</v>
      </c>
      <c r="XCM10" s="4">
        <v>744</v>
      </c>
      <c r="XCN10" s="4">
        <f t="shared" si="1"/>
        <v>31</v>
      </c>
    </row>
    <row r="11" spans="2:38 16314:16316" x14ac:dyDescent="0.3">
      <c r="B11" s="175"/>
      <c r="C11" s="129" t="s">
        <v>9</v>
      </c>
      <c r="D11" s="18">
        <f t="shared" ref="D11:AA11" si="3">IF(D7&gt;D9*1.05,D7-D9,0)</f>
        <v>0</v>
      </c>
      <c r="E11" s="18">
        <f t="shared" si="3"/>
        <v>51</v>
      </c>
      <c r="F11" s="18">
        <f t="shared" si="3"/>
        <v>38.399999999999977</v>
      </c>
      <c r="G11" s="18">
        <f t="shared" si="3"/>
        <v>38.399999999999977</v>
      </c>
      <c r="H11" s="18">
        <f t="shared" si="3"/>
        <v>42.600000000000023</v>
      </c>
      <c r="I11" s="18">
        <f t="shared" si="3"/>
        <v>0</v>
      </c>
      <c r="J11" s="18">
        <f t="shared" si="3"/>
        <v>0</v>
      </c>
      <c r="K11" s="18">
        <f t="shared" si="3"/>
        <v>0</v>
      </c>
      <c r="L11" s="18">
        <f t="shared" si="3"/>
        <v>93</v>
      </c>
      <c r="M11" s="18">
        <f t="shared" si="3"/>
        <v>210.60000000000002</v>
      </c>
      <c r="N11" s="18">
        <f t="shared" si="3"/>
        <v>67.799999999999955</v>
      </c>
      <c r="O11" s="18">
        <f t="shared" si="3"/>
        <v>130.79999999999995</v>
      </c>
      <c r="P11" s="18">
        <f t="shared" si="3"/>
        <v>118.20000000000005</v>
      </c>
      <c r="Q11" s="18">
        <f t="shared" si="3"/>
        <v>76.200000000000045</v>
      </c>
      <c r="R11" s="18">
        <f t="shared" si="3"/>
        <v>93</v>
      </c>
      <c r="S11" s="18">
        <f t="shared" si="3"/>
        <v>143.39999999999998</v>
      </c>
      <c r="T11" s="18">
        <f t="shared" si="3"/>
        <v>55.200000000000045</v>
      </c>
      <c r="U11" s="18">
        <f t="shared" si="3"/>
        <v>0</v>
      </c>
      <c r="V11" s="18">
        <f t="shared" si="3"/>
        <v>0</v>
      </c>
      <c r="W11" s="18">
        <f t="shared" si="3"/>
        <v>0</v>
      </c>
      <c r="X11" s="18">
        <f t="shared" si="3"/>
        <v>139.20000000000005</v>
      </c>
      <c r="Y11" s="18">
        <f t="shared" si="3"/>
        <v>177</v>
      </c>
      <c r="Z11" s="18">
        <f t="shared" si="3"/>
        <v>126.60000000000002</v>
      </c>
      <c r="AA11" s="18">
        <f t="shared" si="3"/>
        <v>84.600000000000023</v>
      </c>
      <c r="AB11" s="1" t="s">
        <v>43</v>
      </c>
      <c r="AK11" s="94" t="s">
        <v>123</v>
      </c>
      <c r="AL11" s="135">
        <f>AC120</f>
        <v>2863477.4375531017</v>
      </c>
      <c r="XCL11" s="4">
        <v>8</v>
      </c>
      <c r="XCM11" s="4">
        <v>744</v>
      </c>
      <c r="XCN11" s="4">
        <f t="shared" si="1"/>
        <v>31</v>
      </c>
    </row>
    <row r="12" spans="2:38 16314:16316" x14ac:dyDescent="0.3">
      <c r="B12" s="175"/>
      <c r="C12" s="129" t="s">
        <v>10</v>
      </c>
      <c r="D12" s="115">
        <v>15.54</v>
      </c>
      <c r="E12" s="115">
        <v>17.64</v>
      </c>
      <c r="F12" s="115">
        <v>20.16</v>
      </c>
      <c r="G12" s="115">
        <v>22.26</v>
      </c>
      <c r="H12" s="115">
        <v>22.26</v>
      </c>
      <c r="I12" s="115">
        <v>15.96</v>
      </c>
      <c r="J12" s="115">
        <v>19.32</v>
      </c>
      <c r="K12" s="115">
        <v>18.899999999999999</v>
      </c>
      <c r="L12" s="115">
        <v>21.42</v>
      </c>
      <c r="M12" s="115">
        <v>30.66</v>
      </c>
      <c r="N12" s="115">
        <v>20.58</v>
      </c>
      <c r="O12" s="115">
        <v>26.04</v>
      </c>
      <c r="P12" s="115">
        <v>17.64</v>
      </c>
      <c r="Q12" s="115">
        <v>11.76</v>
      </c>
      <c r="R12" s="115">
        <v>22.68</v>
      </c>
      <c r="S12" s="115">
        <v>31.5</v>
      </c>
      <c r="T12" s="115">
        <v>22.68</v>
      </c>
      <c r="U12" s="115">
        <v>23.52</v>
      </c>
      <c r="V12" s="115">
        <v>23.1</v>
      </c>
      <c r="W12" s="115">
        <v>24.78</v>
      </c>
      <c r="X12" s="115">
        <v>26.46</v>
      </c>
      <c r="Y12" s="115">
        <v>20.58</v>
      </c>
      <c r="Z12" s="115">
        <v>29.4</v>
      </c>
      <c r="AA12" s="115">
        <v>23.52</v>
      </c>
      <c r="AB12" s="2"/>
      <c r="AK12" s="94" t="s">
        <v>125</v>
      </c>
      <c r="AL12" s="136">
        <f>(AL6-AL11)/AL6</f>
        <v>0.24103614085681144</v>
      </c>
      <c r="XCL12" s="4">
        <v>9</v>
      </c>
      <c r="XCM12" s="4">
        <v>720</v>
      </c>
      <c r="XCN12" s="4">
        <f t="shared" si="1"/>
        <v>30</v>
      </c>
    </row>
    <row r="13" spans="2:38 16314:16316" x14ac:dyDescent="0.3">
      <c r="B13" s="175"/>
      <c r="C13" s="129" t="s">
        <v>11</v>
      </c>
      <c r="D13" s="115">
        <v>128.52000000000001</v>
      </c>
      <c r="E13" s="115">
        <v>152.04</v>
      </c>
      <c r="F13" s="115">
        <v>152.88</v>
      </c>
      <c r="G13" s="115">
        <v>165.06</v>
      </c>
      <c r="H13" s="115">
        <v>160.44</v>
      </c>
      <c r="I13" s="115">
        <v>122.22</v>
      </c>
      <c r="J13" s="115">
        <v>126</v>
      </c>
      <c r="K13" s="115">
        <v>128.52000000000001</v>
      </c>
      <c r="L13" s="115">
        <v>141.54</v>
      </c>
      <c r="M13" s="115">
        <v>198.24</v>
      </c>
      <c r="N13" s="115">
        <v>168.42</v>
      </c>
      <c r="O13" s="115">
        <v>184.38</v>
      </c>
      <c r="P13" s="115">
        <v>145.74</v>
      </c>
      <c r="Q13" s="115">
        <v>124.32</v>
      </c>
      <c r="R13" s="115">
        <v>163.80000000000001</v>
      </c>
      <c r="S13" s="115">
        <v>203.7</v>
      </c>
      <c r="T13" s="115">
        <v>176.4</v>
      </c>
      <c r="U13" s="115">
        <v>152.04</v>
      </c>
      <c r="V13" s="115">
        <v>143.63999999999999</v>
      </c>
      <c r="W13" s="115">
        <v>141.96</v>
      </c>
      <c r="X13" s="115">
        <v>181.44</v>
      </c>
      <c r="Y13" s="115">
        <v>160.86000000000001</v>
      </c>
      <c r="Z13" s="115">
        <v>197.4</v>
      </c>
      <c r="AA13" s="115">
        <v>171.36</v>
      </c>
      <c r="AB13" s="2"/>
      <c r="AC13" s="1" t="s">
        <v>45</v>
      </c>
      <c r="AD13" s="1">
        <f>SUM(P12:AA13)/SUM(P4:AA4)</f>
        <v>0.25573972602739736</v>
      </c>
      <c r="AF13" s="1">
        <v>145</v>
      </c>
      <c r="AL13" s="137"/>
      <c r="XCL13" s="4">
        <v>10</v>
      </c>
      <c r="XCM13" s="4">
        <v>744</v>
      </c>
      <c r="XCN13" s="4">
        <f t="shared" si="1"/>
        <v>31</v>
      </c>
    </row>
    <row r="14" spans="2:38 16314:16316" x14ac:dyDescent="0.3">
      <c r="B14" s="175"/>
      <c r="C14" s="129" t="s">
        <v>0</v>
      </c>
      <c r="D14" s="19" t="s">
        <v>44</v>
      </c>
      <c r="E14" s="20" t="s">
        <v>44</v>
      </c>
      <c r="F14" s="20" t="s">
        <v>44</v>
      </c>
      <c r="G14" s="20" t="s">
        <v>44</v>
      </c>
      <c r="H14" s="20" t="s">
        <v>44</v>
      </c>
      <c r="I14" s="20" t="s">
        <v>44</v>
      </c>
      <c r="J14" s="19" t="s">
        <v>44</v>
      </c>
      <c r="K14" s="20" t="s">
        <v>44</v>
      </c>
      <c r="L14" s="20" t="s">
        <v>44</v>
      </c>
      <c r="M14" s="20" t="s">
        <v>44</v>
      </c>
      <c r="N14" s="20" t="s">
        <v>44</v>
      </c>
      <c r="O14" s="20" t="s">
        <v>44</v>
      </c>
      <c r="P14" s="20" t="s">
        <v>44</v>
      </c>
      <c r="Q14" s="20" t="s">
        <v>44</v>
      </c>
      <c r="R14" s="20" t="s">
        <v>44</v>
      </c>
      <c r="S14" s="20" t="s">
        <v>44</v>
      </c>
      <c r="T14" s="20" t="s">
        <v>44</v>
      </c>
      <c r="U14" s="20" t="s">
        <v>44</v>
      </c>
      <c r="V14" s="20" t="s">
        <v>44</v>
      </c>
      <c r="W14" s="20" t="s">
        <v>44</v>
      </c>
      <c r="X14" s="20" t="s">
        <v>44</v>
      </c>
      <c r="Y14" s="20" t="s">
        <v>44</v>
      </c>
      <c r="Z14" s="20" t="s">
        <v>44</v>
      </c>
      <c r="AA14" s="20" t="s">
        <v>44</v>
      </c>
      <c r="AB14" s="2"/>
      <c r="AC14" s="1" t="s">
        <v>91</v>
      </c>
      <c r="AD14" s="93">
        <f>SUM(P12:AA12)/SUM(P12:AA13)</f>
        <v>0.12392200974878137</v>
      </c>
      <c r="AF14" s="1">
        <v>17.64</v>
      </c>
      <c r="AK14" s="94" t="s">
        <v>126</v>
      </c>
      <c r="AL14" s="135">
        <f>AC189</f>
        <v>2913507.6075558416</v>
      </c>
      <c r="XCL14" s="4"/>
      <c r="XCM14" s="4"/>
      <c r="XCN14" s="4"/>
    </row>
    <row r="15" spans="2:38 16314:16316" ht="12" customHeight="1" x14ac:dyDescent="0.3">
      <c r="B15" s="175"/>
      <c r="C15" s="107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8"/>
      <c r="AD15" s="1">
        <v>0.12392200974878137</v>
      </c>
      <c r="AF15" s="1">
        <f>AF13+AF14</f>
        <v>162.63999999999999</v>
      </c>
      <c r="AK15" s="94" t="s">
        <v>125</v>
      </c>
      <c r="AL15" s="136">
        <f>(AL6-AL14)/AL6</f>
        <v>0.22777565889844256</v>
      </c>
      <c r="XCL15" s="4">
        <v>11</v>
      </c>
      <c r="XCM15" s="4">
        <v>720</v>
      </c>
      <c r="XCN15" s="4">
        <f t="shared" si="1"/>
        <v>30</v>
      </c>
    </row>
    <row r="16" spans="2:38 16314:16316" x14ac:dyDescent="0.3">
      <c r="B16" s="175"/>
      <c r="C16" s="129" t="s">
        <v>12</v>
      </c>
      <c r="D16" s="126">
        <f>'SIMULAÇÃO CENÁRIOS'!$D$6</f>
        <v>0</v>
      </c>
      <c r="E16" s="126">
        <f>'SIMULAÇÃO CENÁRIOS'!$D$6</f>
        <v>0</v>
      </c>
      <c r="F16" s="126">
        <f>'SIMULAÇÃO CENÁRIOS'!$D$6</f>
        <v>0</v>
      </c>
      <c r="G16" s="126">
        <f>'SIMULAÇÃO CENÁRIOS'!$D$6</f>
        <v>0</v>
      </c>
      <c r="H16" s="126">
        <f>'SIMULAÇÃO CENÁRIOS'!$D$6</f>
        <v>0</v>
      </c>
      <c r="I16" s="126">
        <f>'SIMULAÇÃO CENÁRIOS'!$D$6</f>
        <v>0</v>
      </c>
      <c r="J16" s="126">
        <f>'SIMULAÇÃO CENÁRIOS'!$D$6</f>
        <v>0</v>
      </c>
      <c r="K16" s="126">
        <f>'SIMULAÇÃO CENÁRIOS'!$D$6</f>
        <v>0</v>
      </c>
      <c r="L16" s="126">
        <f>'SIMULAÇÃO CENÁRIOS'!$D$6</f>
        <v>0</v>
      </c>
      <c r="M16" s="126">
        <f>'SIMULAÇÃO CENÁRIOS'!$D$6</f>
        <v>0</v>
      </c>
      <c r="N16" s="126">
        <f>'SIMULAÇÃO CENÁRIOS'!$D$6</f>
        <v>0</v>
      </c>
      <c r="O16" s="126">
        <f>'SIMULAÇÃO CENÁRIOS'!$D$6</f>
        <v>0</v>
      </c>
      <c r="P16" s="126">
        <f>'SIMULAÇÃO CENÁRIOS'!$D$6</f>
        <v>0</v>
      </c>
      <c r="Q16" s="126">
        <f>'SIMULAÇÃO CENÁRIOS'!$D$6</f>
        <v>0</v>
      </c>
      <c r="R16" s="126">
        <f>'SIMULAÇÃO CENÁRIOS'!$D$6</f>
        <v>0</v>
      </c>
      <c r="S16" s="126">
        <f>'SIMULAÇÃO CENÁRIOS'!$D$6</f>
        <v>0</v>
      </c>
      <c r="T16" s="126">
        <f>'SIMULAÇÃO CENÁRIOS'!$D$6</f>
        <v>0</v>
      </c>
      <c r="U16" s="126">
        <f>'SIMULAÇÃO CENÁRIOS'!$D$6</f>
        <v>0</v>
      </c>
      <c r="V16" s="126">
        <f>'SIMULAÇÃO CENÁRIOS'!$D$6</f>
        <v>0</v>
      </c>
      <c r="W16" s="126">
        <f>'SIMULAÇÃO CENÁRIOS'!$D$6</f>
        <v>0</v>
      </c>
      <c r="X16" s="126">
        <f>'SIMULAÇÃO CENÁRIOS'!$D$6</f>
        <v>0</v>
      </c>
      <c r="Y16" s="126">
        <f>'SIMULAÇÃO CENÁRIOS'!$D$6</f>
        <v>0</v>
      </c>
      <c r="Z16" s="126">
        <f>'SIMULAÇÃO CENÁRIOS'!$D$6</f>
        <v>0</v>
      </c>
      <c r="AA16" s="126">
        <f>'SIMULAÇÃO CENÁRIOS'!$D$6</f>
        <v>0</v>
      </c>
      <c r="XCL16" s="4">
        <v>12</v>
      </c>
      <c r="XCM16" s="4">
        <v>744</v>
      </c>
      <c r="XCN16" s="4">
        <f t="shared" si="1"/>
        <v>31</v>
      </c>
    </row>
    <row r="17" spans="2:32" ht="9.75" customHeight="1" x14ac:dyDescent="0.3">
      <c r="B17" s="175"/>
      <c r="C17" s="107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8"/>
    </row>
    <row r="18" spans="2:32" ht="18.75" customHeight="1" x14ac:dyDescent="0.3">
      <c r="B18" s="175"/>
      <c r="C18" s="129" t="s">
        <v>13</v>
      </c>
      <c r="D18" s="9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9" t="s">
        <v>1</v>
      </c>
      <c r="K18" s="10" t="s">
        <v>1</v>
      </c>
      <c r="L18" s="10" t="s">
        <v>1</v>
      </c>
      <c r="M18" s="10" t="s">
        <v>1</v>
      </c>
      <c r="N18" s="10" t="s">
        <v>1</v>
      </c>
      <c r="O18" s="10" t="s">
        <v>1</v>
      </c>
      <c r="P18" s="9" t="s">
        <v>1</v>
      </c>
      <c r="Q18" s="9" t="s">
        <v>1</v>
      </c>
      <c r="R18" s="9" t="s">
        <v>1</v>
      </c>
      <c r="S18" s="9" t="s">
        <v>1</v>
      </c>
      <c r="T18" s="9" t="s">
        <v>1</v>
      </c>
      <c r="U18" s="9" t="s">
        <v>1</v>
      </c>
      <c r="V18" s="9" t="s">
        <v>1</v>
      </c>
      <c r="W18" s="9" t="s">
        <v>1</v>
      </c>
      <c r="X18" s="9" t="s">
        <v>1</v>
      </c>
      <c r="Y18" s="9" t="s">
        <v>1</v>
      </c>
      <c r="Z18" s="9" t="s">
        <v>1</v>
      </c>
      <c r="AA18" s="9" t="s">
        <v>1</v>
      </c>
      <c r="AF18" s="92">
        <f>AF15*1000</f>
        <v>162640</v>
      </c>
    </row>
    <row r="19" spans="2:32" x14ac:dyDescent="0.3">
      <c r="B19" s="175"/>
      <c r="C19" s="129" t="s">
        <v>14</v>
      </c>
      <c r="D19" s="11" t="s">
        <v>42</v>
      </c>
      <c r="E19" s="12" t="s">
        <v>42</v>
      </c>
      <c r="F19" s="12" t="s">
        <v>42</v>
      </c>
      <c r="G19" s="12" t="s">
        <v>42</v>
      </c>
      <c r="H19" s="12" t="s">
        <v>42</v>
      </c>
      <c r="I19" s="12" t="s">
        <v>42</v>
      </c>
      <c r="J19" s="11" t="s">
        <v>42</v>
      </c>
      <c r="K19" s="12" t="s">
        <v>42</v>
      </c>
      <c r="L19" s="12" t="s">
        <v>42</v>
      </c>
      <c r="M19" s="12" t="s">
        <v>42</v>
      </c>
      <c r="N19" s="12" t="s">
        <v>42</v>
      </c>
      <c r="O19" s="12" t="s">
        <v>42</v>
      </c>
      <c r="P19" s="12" t="s">
        <v>42</v>
      </c>
      <c r="Q19" s="12" t="s">
        <v>42</v>
      </c>
      <c r="R19" s="12" t="s">
        <v>42</v>
      </c>
      <c r="S19" s="12" t="s">
        <v>42</v>
      </c>
      <c r="T19" s="12" t="s">
        <v>42</v>
      </c>
      <c r="U19" s="12" t="s">
        <v>42</v>
      </c>
      <c r="V19" s="12" t="s">
        <v>42</v>
      </c>
      <c r="W19" s="12" t="s">
        <v>42</v>
      </c>
      <c r="X19" s="12" t="s">
        <v>42</v>
      </c>
      <c r="Y19" s="12" t="s">
        <v>42</v>
      </c>
      <c r="Z19" s="12" t="s">
        <v>42</v>
      </c>
      <c r="AA19" s="12" t="s">
        <v>42</v>
      </c>
      <c r="AF19" s="92">
        <f>AF18/100</f>
        <v>1626.4</v>
      </c>
    </row>
    <row r="20" spans="2:32" outlineLevel="1" x14ac:dyDescent="0.3">
      <c r="B20" s="175"/>
      <c r="C20" s="129" t="s">
        <v>15</v>
      </c>
      <c r="D20" s="13">
        <v>49.84</v>
      </c>
      <c r="E20" s="14">
        <v>49.84</v>
      </c>
      <c r="F20" s="14">
        <v>49.84</v>
      </c>
      <c r="G20" s="14">
        <v>49.84</v>
      </c>
      <c r="H20" s="14">
        <v>49.84</v>
      </c>
      <c r="I20" s="14">
        <v>49.84</v>
      </c>
      <c r="J20" s="13">
        <v>49.84</v>
      </c>
      <c r="K20" s="14">
        <v>49.84</v>
      </c>
      <c r="L20" s="14">
        <v>49.84</v>
      </c>
      <c r="M20" s="14">
        <v>49.84</v>
      </c>
      <c r="N20" s="14">
        <v>49.84</v>
      </c>
      <c r="O20" s="14">
        <v>49.84</v>
      </c>
      <c r="P20" s="14">
        <v>49.84</v>
      </c>
      <c r="Q20" s="14">
        <v>49.84</v>
      </c>
      <c r="R20" s="14">
        <v>49.84</v>
      </c>
      <c r="S20" s="14">
        <v>49.84</v>
      </c>
      <c r="T20" s="14">
        <v>49.84</v>
      </c>
      <c r="U20" s="14">
        <v>49.84</v>
      </c>
      <c r="V20" s="14">
        <v>49.84</v>
      </c>
      <c r="W20" s="14">
        <v>49.84</v>
      </c>
      <c r="X20" s="14">
        <v>49.84</v>
      </c>
      <c r="Y20" s="14">
        <v>49.84</v>
      </c>
      <c r="Z20" s="14">
        <v>49.84</v>
      </c>
      <c r="AA20" s="14">
        <v>49.84</v>
      </c>
      <c r="AF20" s="1">
        <f>AF19*1.343</f>
        <v>2184.2552000000001</v>
      </c>
    </row>
    <row r="21" spans="2:32" outlineLevel="1" x14ac:dyDescent="0.3">
      <c r="B21" s="175"/>
      <c r="C21" s="129" t="s">
        <v>16</v>
      </c>
      <c r="D21" s="11">
        <v>19.260000000000002</v>
      </c>
      <c r="E21" s="12">
        <v>19.260000000000002</v>
      </c>
      <c r="F21" s="12">
        <v>19.260000000000002</v>
      </c>
      <c r="G21" s="12">
        <v>19.260000000000002</v>
      </c>
      <c r="H21" s="12">
        <v>19.260000000000002</v>
      </c>
      <c r="I21" s="12">
        <v>19.260000000000002</v>
      </c>
      <c r="J21" s="11">
        <v>19.260000000000002</v>
      </c>
      <c r="K21" s="12">
        <v>19.260000000000002</v>
      </c>
      <c r="L21" s="12">
        <v>19.260000000000002</v>
      </c>
      <c r="M21" s="12">
        <v>19.260000000000002</v>
      </c>
      <c r="N21" s="12">
        <v>19.260000000000002</v>
      </c>
      <c r="O21" s="12">
        <v>19.260000000000002</v>
      </c>
      <c r="P21" s="12">
        <v>19.260000000000002</v>
      </c>
      <c r="Q21" s="12">
        <v>19.260000000000002</v>
      </c>
      <c r="R21" s="12">
        <v>19.260000000000002</v>
      </c>
      <c r="S21" s="12">
        <v>19.260000000000002</v>
      </c>
      <c r="T21" s="12">
        <v>19.260000000000002</v>
      </c>
      <c r="U21" s="12">
        <v>19.260000000000002</v>
      </c>
      <c r="V21" s="12">
        <v>19.260000000000002</v>
      </c>
      <c r="W21" s="12">
        <v>19.260000000000002</v>
      </c>
      <c r="X21" s="12">
        <v>19.260000000000002</v>
      </c>
      <c r="Y21" s="12">
        <v>19.260000000000002</v>
      </c>
      <c r="Z21" s="12">
        <v>19.260000000000002</v>
      </c>
      <c r="AA21" s="12">
        <v>19.260000000000002</v>
      </c>
    </row>
    <row r="22" spans="2:32" outlineLevel="1" x14ac:dyDescent="0.3">
      <c r="B22" s="175"/>
      <c r="C22" s="129" t="s">
        <v>17</v>
      </c>
      <c r="D22" s="15">
        <v>1292.96</v>
      </c>
      <c r="E22" s="16">
        <v>1292.96</v>
      </c>
      <c r="F22" s="16">
        <v>1292.96</v>
      </c>
      <c r="G22" s="16">
        <v>1292.96</v>
      </c>
      <c r="H22" s="16">
        <v>1292.96</v>
      </c>
      <c r="I22" s="16">
        <v>1292.96</v>
      </c>
      <c r="J22" s="15">
        <v>1292.96</v>
      </c>
      <c r="K22" s="16">
        <v>1292.96</v>
      </c>
      <c r="L22" s="16">
        <v>1292.96</v>
      </c>
      <c r="M22" s="16">
        <v>1292.96</v>
      </c>
      <c r="N22" s="16">
        <v>1292.96</v>
      </c>
      <c r="O22" s="16">
        <v>1292.96</v>
      </c>
      <c r="P22" s="16">
        <v>1292.96</v>
      </c>
      <c r="Q22" s="16">
        <v>1292.96</v>
      </c>
      <c r="R22" s="16">
        <v>1292.96</v>
      </c>
      <c r="S22" s="16">
        <v>1292.96</v>
      </c>
      <c r="T22" s="16">
        <v>1292.96</v>
      </c>
      <c r="U22" s="16">
        <v>1292.96</v>
      </c>
      <c r="V22" s="16">
        <v>1292.96</v>
      </c>
      <c r="W22" s="16">
        <v>1292.96</v>
      </c>
      <c r="X22" s="16">
        <v>1292.96</v>
      </c>
      <c r="Y22" s="16">
        <v>1292.96</v>
      </c>
      <c r="Z22" s="16">
        <v>1292.96</v>
      </c>
      <c r="AA22" s="16">
        <v>1292.96</v>
      </c>
    </row>
    <row r="23" spans="2:32" outlineLevel="1" x14ac:dyDescent="0.3">
      <c r="B23" s="175"/>
      <c r="C23" s="129" t="s">
        <v>18</v>
      </c>
      <c r="D23" s="17">
        <v>83.39</v>
      </c>
      <c r="E23" s="18">
        <v>83.39</v>
      </c>
      <c r="F23" s="18">
        <v>83.39</v>
      </c>
      <c r="G23" s="18">
        <v>83.39</v>
      </c>
      <c r="H23" s="18">
        <v>83.39</v>
      </c>
      <c r="I23" s="18">
        <v>83.39</v>
      </c>
      <c r="J23" s="17">
        <v>83.39</v>
      </c>
      <c r="K23" s="18">
        <v>83.39</v>
      </c>
      <c r="L23" s="18">
        <v>83.39</v>
      </c>
      <c r="M23" s="18">
        <v>83.39</v>
      </c>
      <c r="N23" s="18">
        <v>83.39</v>
      </c>
      <c r="O23" s="18">
        <v>83.39</v>
      </c>
      <c r="P23" s="18">
        <v>83.39</v>
      </c>
      <c r="Q23" s="18">
        <v>83.39</v>
      </c>
      <c r="R23" s="18">
        <v>83.39</v>
      </c>
      <c r="S23" s="18">
        <v>83.39</v>
      </c>
      <c r="T23" s="18">
        <v>83.39</v>
      </c>
      <c r="U23" s="18">
        <v>83.39</v>
      </c>
      <c r="V23" s="18">
        <v>83.39</v>
      </c>
      <c r="W23" s="18">
        <v>83.39</v>
      </c>
      <c r="X23" s="18">
        <v>83.39</v>
      </c>
      <c r="Y23" s="18">
        <v>83.39</v>
      </c>
      <c r="Z23" s="18">
        <v>83.39</v>
      </c>
      <c r="AA23" s="18">
        <v>83.39</v>
      </c>
    </row>
    <row r="24" spans="2:32" outlineLevel="1" x14ac:dyDescent="0.3">
      <c r="B24" s="175"/>
      <c r="C24" s="129" t="s">
        <v>19</v>
      </c>
      <c r="D24" s="15">
        <v>420.68</v>
      </c>
      <c r="E24" s="16">
        <v>420.68</v>
      </c>
      <c r="F24" s="16">
        <v>420.68</v>
      </c>
      <c r="G24" s="16">
        <v>420.68</v>
      </c>
      <c r="H24" s="16">
        <v>420.68</v>
      </c>
      <c r="I24" s="16">
        <v>420.68</v>
      </c>
      <c r="J24" s="15">
        <v>420.68</v>
      </c>
      <c r="K24" s="16">
        <v>420.68</v>
      </c>
      <c r="L24" s="16">
        <v>420.68</v>
      </c>
      <c r="M24" s="16">
        <v>420.68</v>
      </c>
      <c r="N24" s="16">
        <v>420.68</v>
      </c>
      <c r="O24" s="16">
        <v>420.68</v>
      </c>
      <c r="P24" s="16">
        <v>420.68</v>
      </c>
      <c r="Q24" s="16">
        <v>420.68</v>
      </c>
      <c r="R24" s="16">
        <v>420.68</v>
      </c>
      <c r="S24" s="16">
        <v>420.68</v>
      </c>
      <c r="T24" s="16">
        <v>420.68</v>
      </c>
      <c r="U24" s="16">
        <v>420.68</v>
      </c>
      <c r="V24" s="16">
        <v>420.68</v>
      </c>
      <c r="W24" s="16">
        <v>420.68</v>
      </c>
      <c r="X24" s="16">
        <v>420.68</v>
      </c>
      <c r="Y24" s="16">
        <v>420.68</v>
      </c>
      <c r="Z24" s="16">
        <v>420.68</v>
      </c>
      <c r="AA24" s="16">
        <v>420.68</v>
      </c>
    </row>
    <row r="25" spans="2:32" outlineLevel="1" x14ac:dyDescent="0.3">
      <c r="B25" s="175"/>
      <c r="C25" s="130" t="s">
        <v>20</v>
      </c>
      <c r="D25" s="21">
        <v>251.44</v>
      </c>
      <c r="E25" s="22">
        <v>251.44</v>
      </c>
      <c r="F25" s="22">
        <v>251.44</v>
      </c>
      <c r="G25" s="22">
        <v>251.44</v>
      </c>
      <c r="H25" s="22">
        <v>251.44</v>
      </c>
      <c r="I25" s="22">
        <v>251.44</v>
      </c>
      <c r="J25" s="21">
        <v>251.44</v>
      </c>
      <c r="K25" s="22">
        <v>251.44</v>
      </c>
      <c r="L25" s="22">
        <v>251.44</v>
      </c>
      <c r="M25" s="22">
        <v>251.44</v>
      </c>
      <c r="N25" s="22">
        <v>251.44</v>
      </c>
      <c r="O25" s="22">
        <v>251.44</v>
      </c>
      <c r="P25" s="22">
        <v>251.44</v>
      </c>
      <c r="Q25" s="22">
        <v>251.44</v>
      </c>
      <c r="R25" s="22">
        <v>251.44</v>
      </c>
      <c r="S25" s="22">
        <v>251.44</v>
      </c>
      <c r="T25" s="22">
        <v>251.44</v>
      </c>
      <c r="U25" s="22">
        <v>251.44</v>
      </c>
      <c r="V25" s="22">
        <v>251.44</v>
      </c>
      <c r="W25" s="22">
        <v>251.44</v>
      </c>
      <c r="X25" s="22">
        <v>251.44</v>
      </c>
      <c r="Y25" s="22">
        <v>251.44</v>
      </c>
      <c r="Z25" s="22">
        <v>251.44</v>
      </c>
      <c r="AA25" s="22">
        <v>251.44</v>
      </c>
    </row>
    <row r="26" spans="2:32" ht="8.25" customHeight="1" x14ac:dyDescent="0.3">
      <c r="B26" s="175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23"/>
    </row>
    <row r="27" spans="2:32" x14ac:dyDescent="0.3">
      <c r="B27" s="175"/>
      <c r="C27" s="129" t="s">
        <v>21</v>
      </c>
      <c r="D27" s="24">
        <v>0.27</v>
      </c>
      <c r="E27" s="24">
        <v>0.27</v>
      </c>
      <c r="F27" s="24">
        <v>0.27</v>
      </c>
      <c r="G27" s="24">
        <v>0.27</v>
      </c>
      <c r="H27" s="24">
        <v>0.27</v>
      </c>
      <c r="I27" s="24">
        <v>0.27</v>
      </c>
      <c r="J27" s="24">
        <v>0.27</v>
      </c>
      <c r="K27" s="24">
        <v>0.27</v>
      </c>
      <c r="L27" s="24">
        <v>0.27</v>
      </c>
      <c r="M27" s="24">
        <v>0.27</v>
      </c>
      <c r="N27" s="24">
        <v>0.27</v>
      </c>
      <c r="O27" s="24">
        <v>0.27</v>
      </c>
      <c r="P27" s="24">
        <v>0.27</v>
      </c>
      <c r="Q27" s="24">
        <v>0.27</v>
      </c>
      <c r="R27" s="24">
        <v>0.27</v>
      </c>
      <c r="S27" s="24">
        <v>0.27</v>
      </c>
      <c r="T27" s="24">
        <v>0.27</v>
      </c>
      <c r="U27" s="24">
        <v>0.27</v>
      </c>
      <c r="V27" s="24">
        <v>0.27</v>
      </c>
      <c r="W27" s="24">
        <v>0.27</v>
      </c>
      <c r="X27" s="24">
        <v>0.27</v>
      </c>
      <c r="Y27" s="24">
        <v>0.27</v>
      </c>
      <c r="Z27" s="24">
        <v>0.27</v>
      </c>
      <c r="AA27" s="24">
        <v>0.27</v>
      </c>
    </row>
    <row r="28" spans="2:32" x14ac:dyDescent="0.3">
      <c r="B28" s="175"/>
      <c r="C28" s="129" t="s">
        <v>22</v>
      </c>
      <c r="D28" s="25">
        <v>0.05</v>
      </c>
      <c r="E28" s="26">
        <v>0.05</v>
      </c>
      <c r="F28" s="26">
        <v>0.05</v>
      </c>
      <c r="G28" s="26">
        <v>0.05</v>
      </c>
      <c r="H28" s="26">
        <v>0.05</v>
      </c>
      <c r="I28" s="26">
        <v>0.05</v>
      </c>
      <c r="J28" s="25">
        <v>0.05</v>
      </c>
      <c r="K28" s="26">
        <v>0.05</v>
      </c>
      <c r="L28" s="26">
        <v>0.05</v>
      </c>
      <c r="M28" s="26">
        <v>0.05</v>
      </c>
      <c r="N28" s="26">
        <v>0.05</v>
      </c>
      <c r="O28" s="26">
        <v>0.05</v>
      </c>
      <c r="P28" s="26">
        <v>0.05</v>
      </c>
      <c r="Q28" s="26">
        <v>0.05</v>
      </c>
      <c r="R28" s="26">
        <v>0.05</v>
      </c>
      <c r="S28" s="26">
        <v>0.05</v>
      </c>
      <c r="T28" s="26">
        <v>0.05</v>
      </c>
      <c r="U28" s="26">
        <v>0.05</v>
      </c>
      <c r="V28" s="26">
        <v>0.05</v>
      </c>
      <c r="W28" s="26">
        <v>0.05</v>
      </c>
      <c r="X28" s="26">
        <v>0.05</v>
      </c>
      <c r="Y28" s="26">
        <v>0.05</v>
      </c>
      <c r="Z28" s="26">
        <v>0.05</v>
      </c>
      <c r="AA28" s="26">
        <v>0.05</v>
      </c>
    </row>
    <row r="29" spans="2:32" ht="9.75" customHeight="1" x14ac:dyDescent="0.3">
      <c r="B29" s="175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23"/>
    </row>
    <row r="30" spans="2:32" outlineLevel="1" x14ac:dyDescent="0.3">
      <c r="B30" s="175"/>
      <c r="C30" s="131" t="s">
        <v>23</v>
      </c>
      <c r="D30" s="27">
        <f>IF(D19="Azul",D8*D20*(1-D16),0)</f>
        <v>0</v>
      </c>
      <c r="E30" s="28">
        <f t="shared" ref="E30:AA30" si="4">IF(E19="Azul",E8*E20*(1-E16),0)</f>
        <v>0</v>
      </c>
      <c r="F30" s="28">
        <f t="shared" si="4"/>
        <v>0</v>
      </c>
      <c r="G30" s="28">
        <f t="shared" si="4"/>
        <v>0</v>
      </c>
      <c r="H30" s="28">
        <f t="shared" si="4"/>
        <v>0</v>
      </c>
      <c r="I30" s="28">
        <f t="shared" si="4"/>
        <v>0</v>
      </c>
      <c r="J30" s="27">
        <f t="shared" si="4"/>
        <v>0</v>
      </c>
      <c r="K30" s="28">
        <f t="shared" si="4"/>
        <v>0</v>
      </c>
      <c r="L30" s="28">
        <f t="shared" si="4"/>
        <v>0</v>
      </c>
      <c r="M30" s="28">
        <f t="shared" si="4"/>
        <v>0</v>
      </c>
      <c r="N30" s="28">
        <f t="shared" si="4"/>
        <v>0</v>
      </c>
      <c r="O30" s="28">
        <f t="shared" si="4"/>
        <v>0</v>
      </c>
      <c r="P30" s="27">
        <f>IF(P19="Azul",P8*P20*(1-P16),0)</f>
        <v>0</v>
      </c>
      <c r="Q30" s="28">
        <f t="shared" si="4"/>
        <v>0</v>
      </c>
      <c r="R30" s="28">
        <f t="shared" si="4"/>
        <v>0</v>
      </c>
      <c r="S30" s="28">
        <f t="shared" si="4"/>
        <v>0</v>
      </c>
      <c r="T30" s="28">
        <f t="shared" si="4"/>
        <v>0</v>
      </c>
      <c r="U30" s="28">
        <f t="shared" si="4"/>
        <v>0</v>
      </c>
      <c r="V30" s="28">
        <f t="shared" si="4"/>
        <v>0</v>
      </c>
      <c r="W30" s="28">
        <f t="shared" si="4"/>
        <v>0</v>
      </c>
      <c r="X30" s="28">
        <f t="shared" si="4"/>
        <v>0</v>
      </c>
      <c r="Y30" s="28">
        <f t="shared" si="4"/>
        <v>0</v>
      </c>
      <c r="Z30" s="28">
        <f t="shared" si="4"/>
        <v>0</v>
      </c>
      <c r="AA30" s="28">
        <f t="shared" si="4"/>
        <v>0</v>
      </c>
    </row>
    <row r="31" spans="2:32" outlineLevel="1" x14ac:dyDescent="0.3">
      <c r="B31" s="175"/>
      <c r="C31" s="131" t="s">
        <v>24</v>
      </c>
      <c r="D31" s="29">
        <f>D10*D20*2</f>
        <v>0</v>
      </c>
      <c r="E31" s="30">
        <f t="shared" ref="E31:AA31" si="5">E10*E20*2</f>
        <v>0</v>
      </c>
      <c r="F31" s="30">
        <f t="shared" si="5"/>
        <v>0</v>
      </c>
      <c r="G31" s="30">
        <f t="shared" si="5"/>
        <v>0</v>
      </c>
      <c r="H31" s="30">
        <f t="shared" si="5"/>
        <v>0</v>
      </c>
      <c r="I31" s="30">
        <f t="shared" si="5"/>
        <v>0</v>
      </c>
      <c r="J31" s="29">
        <f t="shared" si="5"/>
        <v>0</v>
      </c>
      <c r="K31" s="30">
        <f t="shared" si="5"/>
        <v>0</v>
      </c>
      <c r="L31" s="30">
        <f t="shared" si="5"/>
        <v>0</v>
      </c>
      <c r="M31" s="30">
        <f t="shared" si="5"/>
        <v>0</v>
      </c>
      <c r="N31" s="30">
        <f t="shared" si="5"/>
        <v>0</v>
      </c>
      <c r="O31" s="30">
        <f t="shared" si="5"/>
        <v>0</v>
      </c>
      <c r="P31" s="29">
        <f>P10*P20*2</f>
        <v>0</v>
      </c>
      <c r="Q31" s="30">
        <f t="shared" si="5"/>
        <v>0</v>
      </c>
      <c r="R31" s="30">
        <f t="shared" si="5"/>
        <v>0</v>
      </c>
      <c r="S31" s="30">
        <f t="shared" si="5"/>
        <v>0</v>
      </c>
      <c r="T31" s="30">
        <f t="shared" si="5"/>
        <v>0</v>
      </c>
      <c r="U31" s="30">
        <f t="shared" si="5"/>
        <v>0</v>
      </c>
      <c r="V31" s="30">
        <f t="shared" si="5"/>
        <v>0</v>
      </c>
      <c r="W31" s="30">
        <f t="shared" si="5"/>
        <v>0</v>
      </c>
      <c r="X31" s="30">
        <f t="shared" si="5"/>
        <v>0</v>
      </c>
      <c r="Y31" s="30">
        <f t="shared" si="5"/>
        <v>0</v>
      </c>
      <c r="Z31" s="30">
        <f t="shared" si="5"/>
        <v>0</v>
      </c>
      <c r="AA31" s="30">
        <f t="shared" si="5"/>
        <v>0</v>
      </c>
    </row>
    <row r="32" spans="2:32" outlineLevel="1" x14ac:dyDescent="0.3">
      <c r="B32" s="175"/>
      <c r="C32" s="131" t="s">
        <v>25</v>
      </c>
      <c r="D32" s="31">
        <f>D9*D21*(1-D16)</f>
        <v>13578.300000000001</v>
      </c>
      <c r="E32" s="32">
        <f t="shared" ref="E32:AA32" si="6">E9*E21*(1-E16)</f>
        <v>13578.300000000001</v>
      </c>
      <c r="F32" s="32">
        <f t="shared" si="6"/>
        <v>13578.300000000001</v>
      </c>
      <c r="G32" s="32">
        <f t="shared" si="6"/>
        <v>13578.300000000001</v>
      </c>
      <c r="H32" s="32">
        <f t="shared" si="6"/>
        <v>13578.300000000001</v>
      </c>
      <c r="I32" s="32">
        <f t="shared" si="6"/>
        <v>13578.300000000001</v>
      </c>
      <c r="J32" s="31">
        <f t="shared" si="6"/>
        <v>13578.300000000001</v>
      </c>
      <c r="K32" s="32">
        <f t="shared" si="6"/>
        <v>13578.300000000001</v>
      </c>
      <c r="L32" s="32">
        <f t="shared" si="6"/>
        <v>13578.300000000001</v>
      </c>
      <c r="M32" s="32">
        <f t="shared" si="6"/>
        <v>13578.300000000001</v>
      </c>
      <c r="N32" s="32">
        <f t="shared" si="6"/>
        <v>13578.300000000001</v>
      </c>
      <c r="O32" s="32">
        <f t="shared" si="6"/>
        <v>13578.300000000001</v>
      </c>
      <c r="P32" s="31">
        <f>P9*P21*(1-P16)</f>
        <v>13578.300000000001</v>
      </c>
      <c r="Q32" s="32">
        <f t="shared" si="6"/>
        <v>13578.300000000001</v>
      </c>
      <c r="R32" s="32">
        <f t="shared" si="6"/>
        <v>13578.300000000001</v>
      </c>
      <c r="S32" s="32">
        <f t="shared" si="6"/>
        <v>13578.300000000001</v>
      </c>
      <c r="T32" s="32">
        <f t="shared" si="6"/>
        <v>13578.300000000001</v>
      </c>
      <c r="U32" s="32">
        <f t="shared" si="6"/>
        <v>13578.300000000001</v>
      </c>
      <c r="V32" s="32">
        <f t="shared" si="6"/>
        <v>13578.300000000001</v>
      </c>
      <c r="W32" s="32">
        <f t="shared" si="6"/>
        <v>13578.300000000001</v>
      </c>
      <c r="X32" s="32">
        <f t="shared" si="6"/>
        <v>13578.300000000001</v>
      </c>
      <c r="Y32" s="32">
        <f t="shared" si="6"/>
        <v>13578.300000000001</v>
      </c>
      <c r="Z32" s="32">
        <f t="shared" si="6"/>
        <v>13578.300000000001</v>
      </c>
      <c r="AA32" s="32">
        <f t="shared" si="6"/>
        <v>13578.300000000001</v>
      </c>
    </row>
    <row r="33" spans="2:29" outlineLevel="1" x14ac:dyDescent="0.3">
      <c r="B33" s="175"/>
      <c r="C33" s="131" t="s">
        <v>26</v>
      </c>
      <c r="D33" s="29">
        <f>D11*D21*2</f>
        <v>0</v>
      </c>
      <c r="E33" s="30">
        <f t="shared" ref="E33:AA33" si="7">E11*E21*2</f>
        <v>1964.5200000000002</v>
      </c>
      <c r="F33" s="30">
        <f t="shared" si="7"/>
        <v>1479.1679999999992</v>
      </c>
      <c r="G33" s="30">
        <f t="shared" si="7"/>
        <v>1479.1679999999992</v>
      </c>
      <c r="H33" s="30">
        <f t="shared" si="7"/>
        <v>1640.9520000000009</v>
      </c>
      <c r="I33" s="30">
        <f t="shared" si="7"/>
        <v>0</v>
      </c>
      <c r="J33" s="29">
        <f t="shared" si="7"/>
        <v>0</v>
      </c>
      <c r="K33" s="30">
        <f t="shared" si="7"/>
        <v>0</v>
      </c>
      <c r="L33" s="30">
        <f t="shared" si="7"/>
        <v>3582.36</v>
      </c>
      <c r="M33" s="30">
        <f t="shared" si="7"/>
        <v>8112.3120000000017</v>
      </c>
      <c r="N33" s="30">
        <f t="shared" si="7"/>
        <v>2611.6559999999986</v>
      </c>
      <c r="O33" s="30">
        <f t="shared" si="7"/>
        <v>5038.4159999999983</v>
      </c>
      <c r="P33" s="29">
        <f>P11*P21*2</f>
        <v>4553.0640000000021</v>
      </c>
      <c r="Q33" s="30">
        <f t="shared" si="7"/>
        <v>2935.224000000002</v>
      </c>
      <c r="R33" s="30">
        <f t="shared" si="7"/>
        <v>3582.36</v>
      </c>
      <c r="S33" s="30">
        <f t="shared" si="7"/>
        <v>5523.7679999999991</v>
      </c>
      <c r="T33" s="30">
        <f t="shared" si="7"/>
        <v>2126.3040000000019</v>
      </c>
      <c r="U33" s="30">
        <f t="shared" si="7"/>
        <v>0</v>
      </c>
      <c r="V33" s="30">
        <f t="shared" si="7"/>
        <v>0</v>
      </c>
      <c r="W33" s="30">
        <f t="shared" si="7"/>
        <v>0</v>
      </c>
      <c r="X33" s="30">
        <f t="shared" si="7"/>
        <v>5361.9840000000022</v>
      </c>
      <c r="Y33" s="30">
        <f t="shared" si="7"/>
        <v>6818.0400000000009</v>
      </c>
      <c r="Z33" s="30">
        <f t="shared" si="7"/>
        <v>4876.6320000000014</v>
      </c>
      <c r="AA33" s="30">
        <f t="shared" si="7"/>
        <v>3258.7920000000013</v>
      </c>
    </row>
    <row r="34" spans="2:29" outlineLevel="1" x14ac:dyDescent="0.3">
      <c r="B34" s="175"/>
      <c r="C34" s="131" t="s">
        <v>27</v>
      </c>
      <c r="D34" s="31">
        <f>IF(D19="Azul",D12*D23,D12*((D22-D23)*(1-D16)+D23))</f>
        <v>20092.598399999999</v>
      </c>
      <c r="E34" s="32">
        <f t="shared" ref="E34:AA34" si="8">IF(E19="Azul",E12*E23,E12*((E22-E23)*(1-E16)+E23))</f>
        <v>22807.814400000003</v>
      </c>
      <c r="F34" s="32">
        <f t="shared" si="8"/>
        <v>26066.0736</v>
      </c>
      <c r="G34" s="32">
        <f t="shared" si="8"/>
        <v>28781.289600000004</v>
      </c>
      <c r="H34" s="32">
        <f t="shared" si="8"/>
        <v>28781.289600000004</v>
      </c>
      <c r="I34" s="32">
        <f t="shared" si="8"/>
        <v>20635.641600000003</v>
      </c>
      <c r="J34" s="31">
        <f t="shared" si="8"/>
        <v>24979.9872</v>
      </c>
      <c r="K34" s="32">
        <f t="shared" si="8"/>
        <v>24436.944</v>
      </c>
      <c r="L34" s="32">
        <f t="shared" si="8"/>
        <v>27695.203200000004</v>
      </c>
      <c r="M34" s="32">
        <f t="shared" si="8"/>
        <v>39642.153599999998</v>
      </c>
      <c r="N34" s="32">
        <f t="shared" si="8"/>
        <v>26609.1168</v>
      </c>
      <c r="O34" s="32">
        <f t="shared" si="8"/>
        <v>33668.678399999997</v>
      </c>
      <c r="P34" s="31">
        <f>IF(P19="Azul",P12*P23,P12*((P22-P23)*(1-P16)+P23))</f>
        <v>22807.814400000003</v>
      </c>
      <c r="Q34" s="32">
        <f t="shared" si="8"/>
        <v>15205.2096</v>
      </c>
      <c r="R34" s="32">
        <f t="shared" si="8"/>
        <v>29324.3328</v>
      </c>
      <c r="S34" s="32">
        <f t="shared" si="8"/>
        <v>40728.239999999998</v>
      </c>
      <c r="T34" s="32">
        <f t="shared" si="8"/>
        <v>29324.3328</v>
      </c>
      <c r="U34" s="32">
        <f t="shared" si="8"/>
        <v>30410.4192</v>
      </c>
      <c r="V34" s="32">
        <f t="shared" si="8"/>
        <v>29867.376000000004</v>
      </c>
      <c r="W34" s="32">
        <f t="shared" si="8"/>
        <v>32039.548800000004</v>
      </c>
      <c r="X34" s="32">
        <f t="shared" si="8"/>
        <v>34211.721600000004</v>
      </c>
      <c r="Y34" s="32">
        <f t="shared" si="8"/>
        <v>26609.1168</v>
      </c>
      <c r="Z34" s="32">
        <f t="shared" si="8"/>
        <v>38013.023999999998</v>
      </c>
      <c r="AA34" s="32">
        <f t="shared" si="8"/>
        <v>30410.4192</v>
      </c>
    </row>
    <row r="35" spans="2:29" outlineLevel="1" x14ac:dyDescent="0.3">
      <c r="B35" s="175"/>
      <c r="C35" s="132" t="s">
        <v>28</v>
      </c>
      <c r="D35" s="33">
        <f>D13*D23</f>
        <v>10717.282800000001</v>
      </c>
      <c r="E35" s="34">
        <f t="shared" ref="E35:AA35" si="9">E13*E23</f>
        <v>12678.615599999999</v>
      </c>
      <c r="F35" s="34">
        <f t="shared" si="9"/>
        <v>12748.663199999999</v>
      </c>
      <c r="G35" s="34">
        <f t="shared" si="9"/>
        <v>13764.3534</v>
      </c>
      <c r="H35" s="34">
        <f t="shared" si="9"/>
        <v>13379.0916</v>
      </c>
      <c r="I35" s="34">
        <f t="shared" si="9"/>
        <v>10191.925799999999</v>
      </c>
      <c r="J35" s="33">
        <f t="shared" si="9"/>
        <v>10507.14</v>
      </c>
      <c r="K35" s="34">
        <f t="shared" si="9"/>
        <v>10717.282800000001</v>
      </c>
      <c r="L35" s="34">
        <f t="shared" si="9"/>
        <v>11803.0206</v>
      </c>
      <c r="M35" s="34">
        <f t="shared" si="9"/>
        <v>16531.2336</v>
      </c>
      <c r="N35" s="34">
        <f t="shared" si="9"/>
        <v>14044.543799999999</v>
      </c>
      <c r="O35" s="34">
        <f t="shared" si="9"/>
        <v>15375.448199999999</v>
      </c>
      <c r="P35" s="33">
        <f>P13*P23</f>
        <v>12153.258600000001</v>
      </c>
      <c r="Q35" s="34">
        <f t="shared" si="9"/>
        <v>10367.0448</v>
      </c>
      <c r="R35" s="34">
        <f t="shared" si="9"/>
        <v>13659.282000000001</v>
      </c>
      <c r="S35" s="34">
        <f t="shared" si="9"/>
        <v>16986.542999999998</v>
      </c>
      <c r="T35" s="34">
        <f t="shared" si="9"/>
        <v>14709.996000000001</v>
      </c>
      <c r="U35" s="34">
        <f t="shared" si="9"/>
        <v>12678.615599999999</v>
      </c>
      <c r="V35" s="34">
        <f t="shared" si="9"/>
        <v>11978.139599999999</v>
      </c>
      <c r="W35" s="34">
        <f t="shared" si="9"/>
        <v>11838.044400000001</v>
      </c>
      <c r="X35" s="34">
        <f t="shared" si="9"/>
        <v>15130.2816</v>
      </c>
      <c r="Y35" s="34">
        <f t="shared" si="9"/>
        <v>13414.115400000001</v>
      </c>
      <c r="Z35" s="34">
        <f t="shared" si="9"/>
        <v>16461.186000000002</v>
      </c>
      <c r="AA35" s="34">
        <f t="shared" si="9"/>
        <v>14289.710400000002</v>
      </c>
    </row>
    <row r="36" spans="2:29" x14ac:dyDescent="0.3">
      <c r="B36" s="175"/>
      <c r="C36" s="131" t="s">
        <v>29</v>
      </c>
      <c r="D36" s="27">
        <f>SUM(D30:D35)</f>
        <v>44388.181199999999</v>
      </c>
      <c r="E36" s="28">
        <f>SUM(E30:E35)</f>
        <v>51029.25</v>
      </c>
      <c r="F36" s="28">
        <f>SUM(F30:F35)</f>
        <v>53872.204799999992</v>
      </c>
      <c r="G36" s="28">
        <f t="shared" ref="G36:AA36" si="10">SUM(G30:G35)</f>
        <v>57603.111000000004</v>
      </c>
      <c r="H36" s="28">
        <f t="shared" si="10"/>
        <v>57379.633200000004</v>
      </c>
      <c r="I36" s="28">
        <f t="shared" si="10"/>
        <v>44405.867400000003</v>
      </c>
      <c r="J36" s="27">
        <f t="shared" si="10"/>
        <v>49065.427199999998</v>
      </c>
      <c r="K36" s="28">
        <f t="shared" si="10"/>
        <v>48732.5268</v>
      </c>
      <c r="L36" s="28">
        <f t="shared" si="10"/>
        <v>56658.883800000011</v>
      </c>
      <c r="M36" s="28">
        <f t="shared" si="10"/>
        <v>77863.999199999991</v>
      </c>
      <c r="N36" s="28">
        <f t="shared" si="10"/>
        <v>56843.616600000001</v>
      </c>
      <c r="O36" s="28">
        <f t="shared" si="10"/>
        <v>67660.842600000004</v>
      </c>
      <c r="P36" s="27">
        <f>SUM(P30:P35)</f>
        <v>53092.437000000005</v>
      </c>
      <c r="Q36" s="28">
        <f t="shared" si="10"/>
        <v>42085.77840000001</v>
      </c>
      <c r="R36" s="28">
        <f t="shared" si="10"/>
        <v>60144.274799999999</v>
      </c>
      <c r="S36" s="28">
        <f t="shared" si="10"/>
        <v>76816.850999999995</v>
      </c>
      <c r="T36" s="28">
        <f t="shared" si="10"/>
        <v>59738.932800000002</v>
      </c>
      <c r="U36" s="28">
        <f t="shared" si="10"/>
        <v>56667.334799999997</v>
      </c>
      <c r="V36" s="28">
        <f t="shared" si="10"/>
        <v>55423.815600000002</v>
      </c>
      <c r="W36" s="28">
        <f t="shared" si="10"/>
        <v>57455.893200000006</v>
      </c>
      <c r="X36" s="28">
        <f t="shared" si="10"/>
        <v>68282.287200000006</v>
      </c>
      <c r="Y36" s="28">
        <f t="shared" si="10"/>
        <v>60419.572200000002</v>
      </c>
      <c r="Z36" s="28">
        <f t="shared" si="10"/>
        <v>72929.141999999993</v>
      </c>
      <c r="AA36" s="28">
        <f t="shared" si="10"/>
        <v>61537.221600000012</v>
      </c>
    </row>
    <row r="37" spans="2:29" x14ac:dyDescent="0.3">
      <c r="B37" s="175"/>
      <c r="C37" s="131" t="s">
        <v>30</v>
      </c>
      <c r="D37" s="35">
        <f>D36/(1-SUM(D27:D28))*SUM(D27:D28)+((D39+D40)/(1-SUM(D27:D28))*SUM(D27:D28))</f>
        <v>20888.555858823533</v>
      </c>
      <c r="E37" s="36">
        <f t="shared" ref="E37:AA37" si="11">E36/(1-SUM(E27:E28))*SUM(E27:E28)+((E39+E40)/(1-SUM(E27:E28))*SUM(E27:E28))</f>
        <v>24013.764705882357</v>
      </c>
      <c r="F37" s="36">
        <f t="shared" si="11"/>
        <v>25351.625788235291</v>
      </c>
      <c r="G37" s="36">
        <f t="shared" si="11"/>
        <v>27107.346352941182</v>
      </c>
      <c r="H37" s="36">
        <f t="shared" si="11"/>
        <v>27002.180329411771</v>
      </c>
      <c r="I37" s="36">
        <f t="shared" si="11"/>
        <v>20896.878776470592</v>
      </c>
      <c r="J37" s="35">
        <f t="shared" si="11"/>
        <v>23089.612800000003</v>
      </c>
      <c r="K37" s="36">
        <f t="shared" si="11"/>
        <v>22932.953788235296</v>
      </c>
      <c r="L37" s="36">
        <f t="shared" si="11"/>
        <v>26663.00414117648</v>
      </c>
      <c r="M37" s="36">
        <f t="shared" si="11"/>
        <v>36641.881976470591</v>
      </c>
      <c r="N37" s="36">
        <f t="shared" si="11"/>
        <v>26749.937223529414</v>
      </c>
      <c r="O37" s="36">
        <f t="shared" si="11"/>
        <v>31840.396517647063</v>
      </c>
      <c r="P37" s="35">
        <f t="shared" si="11"/>
        <v>24984.676235294122</v>
      </c>
      <c r="Q37" s="36">
        <f t="shared" si="11"/>
        <v>19805.072188235299</v>
      </c>
      <c r="R37" s="36">
        <f t="shared" si="11"/>
        <v>28303.188141176473</v>
      </c>
      <c r="S37" s="36">
        <f t="shared" si="11"/>
        <v>36149.106352941184</v>
      </c>
      <c r="T37" s="36">
        <f t="shared" si="11"/>
        <v>28112.438964705885</v>
      </c>
      <c r="U37" s="36">
        <f t="shared" si="11"/>
        <v>26666.981082352941</v>
      </c>
      <c r="V37" s="36">
        <f t="shared" si="11"/>
        <v>26081.795576470591</v>
      </c>
      <c r="W37" s="36">
        <f t="shared" si="11"/>
        <v>27038.0673882353</v>
      </c>
      <c r="X37" s="36">
        <f t="shared" si="11"/>
        <v>32132.841035294125</v>
      </c>
      <c r="Y37" s="36">
        <f t="shared" si="11"/>
        <v>28432.739858823537</v>
      </c>
      <c r="Z37" s="36">
        <f t="shared" si="11"/>
        <v>34319.596235294121</v>
      </c>
      <c r="AA37" s="36">
        <f t="shared" si="11"/>
        <v>28958.692517647069</v>
      </c>
    </row>
    <row r="38" spans="2:29" ht="8.25" customHeight="1" x14ac:dyDescent="0.3">
      <c r="B38" s="175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37"/>
    </row>
    <row r="39" spans="2:29" x14ac:dyDescent="0.3">
      <c r="B39" s="175"/>
      <c r="C39" s="131" t="s">
        <v>31</v>
      </c>
      <c r="D39" s="9">
        <f>IF(D19="Azul",D8*D20*(D16),0)</f>
        <v>0</v>
      </c>
      <c r="E39" s="10">
        <f t="shared" ref="E39:AA39" si="12">IF(E19="Azul",E8*E20*(E16),0)</f>
        <v>0</v>
      </c>
      <c r="F39" s="10">
        <f t="shared" si="12"/>
        <v>0</v>
      </c>
      <c r="G39" s="10">
        <f t="shared" si="12"/>
        <v>0</v>
      </c>
      <c r="H39" s="10">
        <f t="shared" si="12"/>
        <v>0</v>
      </c>
      <c r="I39" s="10">
        <f t="shared" si="12"/>
        <v>0</v>
      </c>
      <c r="J39" s="9">
        <f t="shared" si="12"/>
        <v>0</v>
      </c>
      <c r="K39" s="10">
        <f t="shared" si="12"/>
        <v>0</v>
      </c>
      <c r="L39" s="10">
        <f t="shared" si="12"/>
        <v>0</v>
      </c>
      <c r="M39" s="10">
        <f t="shared" si="12"/>
        <v>0</v>
      </c>
      <c r="N39" s="10">
        <f t="shared" si="12"/>
        <v>0</v>
      </c>
      <c r="O39" s="10">
        <f t="shared" si="12"/>
        <v>0</v>
      </c>
      <c r="P39" s="10">
        <f>IF(P19="Azul",P8*P20*(P16),0)</f>
        <v>0</v>
      </c>
      <c r="Q39" s="10">
        <f t="shared" si="12"/>
        <v>0</v>
      </c>
      <c r="R39" s="10">
        <f t="shared" si="12"/>
        <v>0</v>
      </c>
      <c r="S39" s="10">
        <f t="shared" si="12"/>
        <v>0</v>
      </c>
      <c r="T39" s="10">
        <f t="shared" si="12"/>
        <v>0</v>
      </c>
      <c r="U39" s="10">
        <f t="shared" si="12"/>
        <v>0</v>
      </c>
      <c r="V39" s="10">
        <f t="shared" si="12"/>
        <v>0</v>
      </c>
      <c r="W39" s="10">
        <f t="shared" si="12"/>
        <v>0</v>
      </c>
      <c r="X39" s="10">
        <f t="shared" si="12"/>
        <v>0</v>
      </c>
      <c r="Y39" s="10">
        <f t="shared" si="12"/>
        <v>0</v>
      </c>
      <c r="Z39" s="10">
        <f t="shared" si="12"/>
        <v>0</v>
      </c>
      <c r="AA39" s="10">
        <f t="shared" si="12"/>
        <v>0</v>
      </c>
    </row>
    <row r="40" spans="2:29" x14ac:dyDescent="0.3">
      <c r="B40" s="175"/>
      <c r="C40" s="131" t="s">
        <v>32</v>
      </c>
      <c r="D40" s="11">
        <f>D9*D21*(D16)</f>
        <v>0</v>
      </c>
      <c r="E40" s="12">
        <f t="shared" ref="E40:AA40" si="13">E9*E21*(E16)</f>
        <v>0</v>
      </c>
      <c r="F40" s="12">
        <f t="shared" si="13"/>
        <v>0</v>
      </c>
      <c r="G40" s="12">
        <f t="shared" si="13"/>
        <v>0</v>
      </c>
      <c r="H40" s="12">
        <f t="shared" si="13"/>
        <v>0</v>
      </c>
      <c r="I40" s="12">
        <f t="shared" si="13"/>
        <v>0</v>
      </c>
      <c r="J40" s="11">
        <f t="shared" si="13"/>
        <v>0</v>
      </c>
      <c r="K40" s="12">
        <f t="shared" si="13"/>
        <v>0</v>
      </c>
      <c r="L40" s="12">
        <f t="shared" si="13"/>
        <v>0</v>
      </c>
      <c r="M40" s="12">
        <f t="shared" si="13"/>
        <v>0</v>
      </c>
      <c r="N40" s="12">
        <f t="shared" si="13"/>
        <v>0</v>
      </c>
      <c r="O40" s="12">
        <f t="shared" si="13"/>
        <v>0</v>
      </c>
      <c r="P40" s="12">
        <f>P9*P21*(P16)</f>
        <v>0</v>
      </c>
      <c r="Q40" s="12">
        <f t="shared" si="13"/>
        <v>0</v>
      </c>
      <c r="R40" s="12">
        <f t="shared" si="13"/>
        <v>0</v>
      </c>
      <c r="S40" s="12">
        <f t="shared" si="13"/>
        <v>0</v>
      </c>
      <c r="T40" s="12">
        <f t="shared" si="13"/>
        <v>0</v>
      </c>
      <c r="U40" s="12">
        <f t="shared" si="13"/>
        <v>0</v>
      </c>
      <c r="V40" s="12">
        <f t="shared" si="13"/>
        <v>0</v>
      </c>
      <c r="W40" s="12">
        <f t="shared" si="13"/>
        <v>0</v>
      </c>
      <c r="X40" s="12">
        <f t="shared" si="13"/>
        <v>0</v>
      </c>
      <c r="Y40" s="12">
        <f t="shared" si="13"/>
        <v>0</v>
      </c>
      <c r="Z40" s="12">
        <f t="shared" si="13"/>
        <v>0</v>
      </c>
      <c r="AA40" s="12">
        <f t="shared" si="13"/>
        <v>0</v>
      </c>
    </row>
    <row r="41" spans="2:29" x14ac:dyDescent="0.3">
      <c r="B41" s="175"/>
      <c r="C41" s="129" t="s">
        <v>33</v>
      </c>
      <c r="D41" s="19">
        <f>IF(D19="Verde",D12*(D22-D23)*(D16),0)</f>
        <v>0</v>
      </c>
      <c r="E41" s="20">
        <f t="shared" ref="E41:AA41" si="14">IF(E19="Verde",E12*(E22-E23)*(1-E16),0)</f>
        <v>21336.8148</v>
      </c>
      <c r="F41" s="20">
        <f t="shared" si="14"/>
        <v>24384.931199999999</v>
      </c>
      <c r="G41" s="20">
        <f t="shared" si="14"/>
        <v>26925.028200000001</v>
      </c>
      <c r="H41" s="20">
        <f t="shared" si="14"/>
        <v>26925.028200000001</v>
      </c>
      <c r="I41" s="20">
        <f t="shared" si="14"/>
        <v>19304.7372</v>
      </c>
      <c r="J41" s="19">
        <f t="shared" si="14"/>
        <v>23368.892400000001</v>
      </c>
      <c r="K41" s="20">
        <f t="shared" si="14"/>
        <v>22860.872999999996</v>
      </c>
      <c r="L41" s="20">
        <f t="shared" si="14"/>
        <v>25908.989400000002</v>
      </c>
      <c r="M41" s="20">
        <f t="shared" si="14"/>
        <v>37085.4162</v>
      </c>
      <c r="N41" s="20">
        <f t="shared" si="14"/>
        <v>24892.950599999996</v>
      </c>
      <c r="O41" s="20">
        <f t="shared" si="14"/>
        <v>31497.202799999999</v>
      </c>
      <c r="P41" s="20">
        <f>IF(P19="Verde",P12*(P22-P23)*(1-P16),0)</f>
        <v>21336.8148</v>
      </c>
      <c r="Q41" s="20">
        <f t="shared" si="14"/>
        <v>14224.543199999998</v>
      </c>
      <c r="R41" s="20">
        <f t="shared" si="14"/>
        <v>27433.047599999998</v>
      </c>
      <c r="S41" s="20">
        <f t="shared" si="14"/>
        <v>38101.454999999994</v>
      </c>
      <c r="T41" s="20">
        <f t="shared" si="14"/>
        <v>27433.047599999998</v>
      </c>
      <c r="U41" s="20">
        <f t="shared" si="14"/>
        <v>28449.086399999997</v>
      </c>
      <c r="V41" s="20">
        <f t="shared" si="14"/>
        <v>27941.066999999999</v>
      </c>
      <c r="W41" s="20">
        <f t="shared" si="14"/>
        <v>29973.1446</v>
      </c>
      <c r="X41" s="20">
        <f t="shared" si="14"/>
        <v>32005.2222</v>
      </c>
      <c r="Y41" s="20">
        <f t="shared" si="14"/>
        <v>24892.950599999996</v>
      </c>
      <c r="Z41" s="20">
        <f t="shared" si="14"/>
        <v>35561.357999999993</v>
      </c>
      <c r="AA41" s="20">
        <f t="shared" si="14"/>
        <v>28449.086399999997</v>
      </c>
      <c r="AC41" s="92"/>
    </row>
    <row r="42" spans="2:29" ht="9.75" customHeight="1" x14ac:dyDescent="0.3">
      <c r="B42" s="175"/>
      <c r="C42" s="109"/>
      <c r="D42" s="109"/>
      <c r="E42" s="109"/>
      <c r="F42" s="109"/>
      <c r="G42" s="109"/>
      <c r="H42" s="109"/>
      <c r="I42" s="109"/>
      <c r="J42" s="109"/>
      <c r="K42" s="109"/>
      <c r="L42" s="109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  <c r="AA42" s="38"/>
    </row>
    <row r="43" spans="2:29" x14ac:dyDescent="0.3">
      <c r="B43" s="175"/>
      <c r="C43" s="129" t="s">
        <v>34</v>
      </c>
      <c r="D43" s="98">
        <f>SUM(D12:D13)/D4</f>
        <v>0.19362903225806452</v>
      </c>
      <c r="E43" s="98">
        <f t="shared" ref="E43:O43" si="15">SUM(E12:E13)/E4</f>
        <v>0.24379310344827587</v>
      </c>
      <c r="F43" s="98">
        <f t="shared" si="15"/>
        <v>0.23258064516129032</v>
      </c>
      <c r="G43" s="98">
        <f t="shared" si="15"/>
        <v>0.26016666666666666</v>
      </c>
      <c r="H43" s="98">
        <f t="shared" si="15"/>
        <v>0.24556451612903224</v>
      </c>
      <c r="I43" s="98">
        <f t="shared" si="15"/>
        <v>0.19191666666666668</v>
      </c>
      <c r="J43" s="98">
        <f t="shared" si="15"/>
        <v>0.19532258064516128</v>
      </c>
      <c r="K43" s="98">
        <f t="shared" si="15"/>
        <v>0.19814516129032261</v>
      </c>
      <c r="L43" s="98">
        <f t="shared" si="15"/>
        <v>0.2263333333333333</v>
      </c>
      <c r="M43" s="98">
        <f t="shared" si="15"/>
        <v>0.30766129032258066</v>
      </c>
      <c r="N43" s="98">
        <f t="shared" si="15"/>
        <v>0.26250000000000001</v>
      </c>
      <c r="O43" s="98">
        <f t="shared" si="15"/>
        <v>0.28282258064516125</v>
      </c>
      <c r="P43" s="98">
        <f>SUM(P12:P13)/P4</f>
        <v>0.21959677419354839</v>
      </c>
      <c r="Q43" s="98">
        <f t="shared" ref="Q43:AA43" si="16">SUM(Q12:Q13)/Q4</f>
        <v>0.20249999999999999</v>
      </c>
      <c r="R43" s="98">
        <f t="shared" si="16"/>
        <v>0.2506451612903226</v>
      </c>
      <c r="S43" s="98">
        <f t="shared" si="16"/>
        <v>0.32666666666666666</v>
      </c>
      <c r="T43" s="98">
        <f t="shared" si="16"/>
        <v>0.26758064516129032</v>
      </c>
      <c r="U43" s="98">
        <f t="shared" si="16"/>
        <v>0.24383333333333335</v>
      </c>
      <c r="V43" s="98">
        <f t="shared" si="16"/>
        <v>0.22411290322580643</v>
      </c>
      <c r="W43" s="98">
        <f t="shared" si="16"/>
        <v>0.22411290322580646</v>
      </c>
      <c r="X43" s="98">
        <f t="shared" si="16"/>
        <v>0.28875000000000001</v>
      </c>
      <c r="Y43" s="98">
        <f t="shared" si="16"/>
        <v>0.24387096774193548</v>
      </c>
      <c r="Z43" s="98">
        <f t="shared" si="16"/>
        <v>0.315</v>
      </c>
      <c r="AA43" s="98">
        <f t="shared" si="16"/>
        <v>0.26193548387096777</v>
      </c>
    </row>
    <row r="44" spans="2:29" outlineLevel="1" x14ac:dyDescent="0.3">
      <c r="B44" s="175"/>
      <c r="C44" s="133" t="s">
        <v>35</v>
      </c>
      <c r="D44" s="97">
        <f t="shared" ref="D44:AA44" si="17">D43*D4</f>
        <v>144.06</v>
      </c>
      <c r="E44" s="97">
        <f t="shared" si="17"/>
        <v>169.68</v>
      </c>
      <c r="F44" s="97">
        <f t="shared" si="17"/>
        <v>173.04</v>
      </c>
      <c r="G44" s="97">
        <f t="shared" si="17"/>
        <v>187.32</v>
      </c>
      <c r="H44" s="97">
        <f t="shared" si="17"/>
        <v>182.7</v>
      </c>
      <c r="I44" s="97">
        <f t="shared" si="17"/>
        <v>138.18</v>
      </c>
      <c r="J44" s="97">
        <f t="shared" si="17"/>
        <v>145.32</v>
      </c>
      <c r="K44" s="97">
        <f t="shared" si="17"/>
        <v>147.42000000000002</v>
      </c>
      <c r="L44" s="97">
        <f t="shared" si="17"/>
        <v>162.95999999999998</v>
      </c>
      <c r="M44" s="97">
        <f t="shared" si="17"/>
        <v>228.9</v>
      </c>
      <c r="N44" s="97">
        <f t="shared" si="17"/>
        <v>189</v>
      </c>
      <c r="O44" s="97">
        <f t="shared" si="17"/>
        <v>210.41999999999996</v>
      </c>
      <c r="P44" s="97">
        <f t="shared" si="17"/>
        <v>163.38</v>
      </c>
      <c r="Q44" s="97">
        <f t="shared" si="17"/>
        <v>136.07999999999998</v>
      </c>
      <c r="R44" s="97">
        <f t="shared" si="17"/>
        <v>186.48000000000002</v>
      </c>
      <c r="S44" s="97">
        <f t="shared" si="17"/>
        <v>235.2</v>
      </c>
      <c r="T44" s="97">
        <f t="shared" si="17"/>
        <v>199.07999999999998</v>
      </c>
      <c r="U44" s="97">
        <f>U43*U4</f>
        <v>175.56</v>
      </c>
      <c r="V44" s="97">
        <f t="shared" si="17"/>
        <v>166.73999999999998</v>
      </c>
      <c r="W44" s="97">
        <f t="shared" si="17"/>
        <v>166.74</v>
      </c>
      <c r="X44" s="97">
        <f t="shared" si="17"/>
        <v>207.9</v>
      </c>
      <c r="Y44" s="97">
        <f t="shared" si="17"/>
        <v>181.44</v>
      </c>
      <c r="Z44" s="97">
        <f t="shared" si="17"/>
        <v>226.8</v>
      </c>
      <c r="AA44" s="97">
        <f t="shared" si="17"/>
        <v>194.88000000000002</v>
      </c>
    </row>
    <row r="45" spans="2:29" outlineLevel="1" x14ac:dyDescent="0.3">
      <c r="B45" s="175"/>
      <c r="C45" s="129" t="s">
        <v>36</v>
      </c>
      <c r="D45" s="39">
        <f t="shared" ref="D45:AA45" si="18">D44*1.1</f>
        <v>158.46600000000001</v>
      </c>
      <c r="E45" s="39">
        <f t="shared" si="18"/>
        <v>186.64800000000002</v>
      </c>
      <c r="F45" s="39">
        <f t="shared" si="18"/>
        <v>190.34399999999999</v>
      </c>
      <c r="G45" s="39">
        <f t="shared" si="18"/>
        <v>206.05200000000002</v>
      </c>
      <c r="H45" s="39">
        <f t="shared" si="18"/>
        <v>200.97</v>
      </c>
      <c r="I45" s="39">
        <f t="shared" si="18"/>
        <v>151.99800000000002</v>
      </c>
      <c r="J45" s="39">
        <f t="shared" si="18"/>
        <v>159.852</v>
      </c>
      <c r="K45" s="39">
        <f t="shared" si="18"/>
        <v>162.16200000000003</v>
      </c>
      <c r="L45" s="39">
        <f t="shared" si="18"/>
        <v>179.256</v>
      </c>
      <c r="M45" s="39">
        <f t="shared" si="18"/>
        <v>251.79000000000002</v>
      </c>
      <c r="N45" s="39">
        <f t="shared" si="18"/>
        <v>207.9</v>
      </c>
      <c r="O45" s="39">
        <f t="shared" si="18"/>
        <v>231.46199999999996</v>
      </c>
      <c r="P45" s="39">
        <f t="shared" si="18"/>
        <v>179.71800000000002</v>
      </c>
      <c r="Q45" s="39">
        <f t="shared" si="18"/>
        <v>149.68799999999999</v>
      </c>
      <c r="R45" s="39">
        <f t="shared" si="18"/>
        <v>205.12800000000004</v>
      </c>
      <c r="S45" s="39">
        <f t="shared" si="18"/>
        <v>258.72000000000003</v>
      </c>
      <c r="T45" s="39">
        <f t="shared" si="18"/>
        <v>218.988</v>
      </c>
      <c r="U45" s="39">
        <f t="shared" si="18"/>
        <v>193.11600000000001</v>
      </c>
      <c r="V45" s="39">
        <f t="shared" si="18"/>
        <v>183.41399999999999</v>
      </c>
      <c r="W45" s="39">
        <f t="shared" si="18"/>
        <v>183.41400000000002</v>
      </c>
      <c r="X45" s="39">
        <f t="shared" si="18"/>
        <v>228.69000000000003</v>
      </c>
      <c r="Y45" s="39">
        <f t="shared" si="18"/>
        <v>199.584</v>
      </c>
      <c r="Z45" s="39">
        <f t="shared" si="18"/>
        <v>249.48000000000005</v>
      </c>
      <c r="AA45" s="39">
        <f t="shared" si="18"/>
        <v>214.36800000000005</v>
      </c>
    </row>
    <row r="46" spans="2:29" outlineLevel="1" x14ac:dyDescent="0.3">
      <c r="B46" s="175"/>
      <c r="C46" s="129" t="s">
        <v>37</v>
      </c>
      <c r="D46" s="40">
        <f t="shared" ref="D46:AA46" si="19">D44*0.9</f>
        <v>129.654</v>
      </c>
      <c r="E46" s="40">
        <f t="shared" si="19"/>
        <v>152.71200000000002</v>
      </c>
      <c r="F46" s="40">
        <f t="shared" si="19"/>
        <v>155.73599999999999</v>
      </c>
      <c r="G46" s="40">
        <f t="shared" si="19"/>
        <v>168.58799999999999</v>
      </c>
      <c r="H46" s="40">
        <f t="shared" si="19"/>
        <v>164.43</v>
      </c>
      <c r="I46" s="40">
        <f t="shared" si="19"/>
        <v>124.36200000000001</v>
      </c>
      <c r="J46" s="40">
        <f t="shared" si="19"/>
        <v>130.78800000000001</v>
      </c>
      <c r="K46" s="40">
        <f t="shared" si="19"/>
        <v>132.67800000000003</v>
      </c>
      <c r="L46" s="40">
        <f t="shared" si="19"/>
        <v>146.66399999999999</v>
      </c>
      <c r="M46" s="40">
        <f t="shared" si="19"/>
        <v>206.01000000000002</v>
      </c>
      <c r="N46" s="40">
        <f t="shared" si="19"/>
        <v>170.1</v>
      </c>
      <c r="O46" s="40">
        <f t="shared" si="19"/>
        <v>189.37799999999996</v>
      </c>
      <c r="P46" s="40">
        <f t="shared" si="19"/>
        <v>147.042</v>
      </c>
      <c r="Q46" s="40">
        <f t="shared" si="19"/>
        <v>122.47199999999999</v>
      </c>
      <c r="R46" s="40">
        <f t="shared" si="19"/>
        <v>167.83200000000002</v>
      </c>
      <c r="S46" s="40">
        <f t="shared" si="19"/>
        <v>211.68</v>
      </c>
      <c r="T46" s="40">
        <f t="shared" si="19"/>
        <v>179.172</v>
      </c>
      <c r="U46" s="40">
        <f t="shared" si="19"/>
        <v>158.00400000000002</v>
      </c>
      <c r="V46" s="40">
        <f t="shared" si="19"/>
        <v>150.06599999999997</v>
      </c>
      <c r="W46" s="40">
        <f t="shared" si="19"/>
        <v>150.066</v>
      </c>
      <c r="X46" s="40">
        <f t="shared" si="19"/>
        <v>187.11</v>
      </c>
      <c r="Y46" s="40">
        <f t="shared" si="19"/>
        <v>163.29599999999999</v>
      </c>
      <c r="Z46" s="40">
        <f t="shared" si="19"/>
        <v>204.12</v>
      </c>
      <c r="AA46" s="40">
        <f t="shared" si="19"/>
        <v>175.39200000000002</v>
      </c>
    </row>
    <row r="47" spans="2:29" ht="9.75" customHeight="1" x14ac:dyDescent="0.3">
      <c r="B47" s="175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41"/>
    </row>
    <row r="48" spans="2:29" x14ac:dyDescent="0.3">
      <c r="B48" s="175"/>
      <c r="C48" s="129" t="s">
        <v>38</v>
      </c>
      <c r="D48" s="43">
        <f t="shared" ref="D48:O48" si="20">D44</f>
        <v>144.06</v>
      </c>
      <c r="E48" s="43">
        <f t="shared" si="20"/>
        <v>169.68</v>
      </c>
      <c r="F48" s="43">
        <f t="shared" si="20"/>
        <v>173.04</v>
      </c>
      <c r="G48" s="43">
        <f t="shared" si="20"/>
        <v>187.32</v>
      </c>
      <c r="H48" s="43">
        <f t="shared" si="20"/>
        <v>182.7</v>
      </c>
      <c r="I48" s="43">
        <f t="shared" si="20"/>
        <v>138.18</v>
      </c>
      <c r="J48" s="43">
        <f t="shared" si="20"/>
        <v>145.32</v>
      </c>
      <c r="K48" s="43">
        <f t="shared" si="20"/>
        <v>147.42000000000002</v>
      </c>
      <c r="L48" s="43">
        <f t="shared" si="20"/>
        <v>162.95999999999998</v>
      </c>
      <c r="M48" s="43">
        <f t="shared" si="20"/>
        <v>228.9</v>
      </c>
      <c r="N48" s="43">
        <f t="shared" si="20"/>
        <v>189</v>
      </c>
      <c r="O48" s="43">
        <f t="shared" si="20"/>
        <v>210.41999999999996</v>
      </c>
      <c r="P48" s="43">
        <f>P44</f>
        <v>163.38</v>
      </c>
      <c r="Q48" s="43">
        <f t="shared" ref="Q48:AA48" si="21">Q44</f>
        <v>136.07999999999998</v>
      </c>
      <c r="R48" s="43">
        <f t="shared" si="21"/>
        <v>186.48000000000002</v>
      </c>
      <c r="S48" s="43">
        <f t="shared" si="21"/>
        <v>235.2</v>
      </c>
      <c r="T48" s="43">
        <f t="shared" si="21"/>
        <v>199.07999999999998</v>
      </c>
      <c r="U48" s="43">
        <f t="shared" si="21"/>
        <v>175.56</v>
      </c>
      <c r="V48" s="43">
        <f t="shared" si="21"/>
        <v>166.73999999999998</v>
      </c>
      <c r="W48" s="43">
        <f t="shared" si="21"/>
        <v>166.74</v>
      </c>
      <c r="X48" s="43">
        <f t="shared" si="21"/>
        <v>207.9</v>
      </c>
      <c r="Y48" s="43">
        <f t="shared" si="21"/>
        <v>181.44</v>
      </c>
      <c r="Z48" s="43">
        <f t="shared" si="21"/>
        <v>226.8</v>
      </c>
      <c r="AA48" s="43">
        <f t="shared" si="21"/>
        <v>194.88000000000002</v>
      </c>
    </row>
    <row r="49" spans="2:29" x14ac:dyDescent="0.3">
      <c r="B49" s="175"/>
      <c r="C49" s="129" t="s">
        <v>39</v>
      </c>
      <c r="D49" s="127">
        <f>'SIMULAÇÃO CENÁRIOS'!$E$6</f>
        <v>175</v>
      </c>
      <c r="E49" s="127">
        <f>'SIMULAÇÃO CENÁRIOS'!$E$6</f>
        <v>175</v>
      </c>
      <c r="F49" s="127">
        <f>'SIMULAÇÃO CENÁRIOS'!$E$6</f>
        <v>175</v>
      </c>
      <c r="G49" s="127">
        <f>'SIMULAÇÃO CENÁRIOS'!$E$6</f>
        <v>175</v>
      </c>
      <c r="H49" s="127">
        <f>'SIMULAÇÃO CENÁRIOS'!$E$6</f>
        <v>175</v>
      </c>
      <c r="I49" s="127">
        <f>'SIMULAÇÃO CENÁRIOS'!$E$6</f>
        <v>175</v>
      </c>
      <c r="J49" s="127">
        <f>'SIMULAÇÃO CENÁRIOS'!$E$6</f>
        <v>175</v>
      </c>
      <c r="K49" s="127">
        <f>'SIMULAÇÃO CENÁRIOS'!$E$6</f>
        <v>175</v>
      </c>
      <c r="L49" s="127">
        <f>'SIMULAÇÃO CENÁRIOS'!$E$6</f>
        <v>175</v>
      </c>
      <c r="M49" s="127">
        <f>'SIMULAÇÃO CENÁRIOS'!$E$6</f>
        <v>175</v>
      </c>
      <c r="N49" s="127">
        <f>'SIMULAÇÃO CENÁRIOS'!$E$6</f>
        <v>175</v>
      </c>
      <c r="O49" s="127">
        <f>'SIMULAÇÃO CENÁRIOS'!$E$6</f>
        <v>175</v>
      </c>
      <c r="P49" s="127">
        <f>'SIMULAÇÃO CENÁRIOS'!$E$6</f>
        <v>175</v>
      </c>
      <c r="Q49" s="127">
        <f>'SIMULAÇÃO CENÁRIOS'!$E$6</f>
        <v>175</v>
      </c>
      <c r="R49" s="127">
        <f>'SIMULAÇÃO CENÁRIOS'!$E$6</f>
        <v>175</v>
      </c>
      <c r="S49" s="127">
        <f>'SIMULAÇÃO CENÁRIOS'!$E$6</f>
        <v>175</v>
      </c>
      <c r="T49" s="127">
        <f>'SIMULAÇÃO CENÁRIOS'!$E$6</f>
        <v>175</v>
      </c>
      <c r="U49" s="127">
        <f>'SIMULAÇÃO CENÁRIOS'!$E$6</f>
        <v>175</v>
      </c>
      <c r="V49" s="127">
        <f>'SIMULAÇÃO CENÁRIOS'!$E$6</f>
        <v>175</v>
      </c>
      <c r="W49" s="127">
        <f>'SIMULAÇÃO CENÁRIOS'!$E$6</f>
        <v>175</v>
      </c>
      <c r="X49" s="127">
        <f>'SIMULAÇÃO CENÁRIOS'!$E$6</f>
        <v>175</v>
      </c>
      <c r="Y49" s="127">
        <f>'SIMULAÇÃO CENÁRIOS'!$E$6</f>
        <v>175</v>
      </c>
      <c r="Z49" s="127">
        <f>'SIMULAÇÃO CENÁRIOS'!$E$6</f>
        <v>175</v>
      </c>
      <c r="AA49" s="127">
        <f>'SIMULAÇÃO CENÁRIOS'!$E$6</f>
        <v>175</v>
      </c>
    </row>
    <row r="50" spans="2:29" x14ac:dyDescent="0.3">
      <c r="B50" s="175"/>
      <c r="C50" s="129" t="s">
        <v>40</v>
      </c>
      <c r="D50" s="44">
        <f>D48*D49/(1-$D$27)</f>
        <v>34534.931506849316</v>
      </c>
      <c r="E50" s="44">
        <f t="shared" ref="D50:O50" si="22">E48*E49/(1-$P$27)</f>
        <v>40676.712328767127</v>
      </c>
      <c r="F50" s="44">
        <f t="shared" si="22"/>
        <v>41482.191780821922</v>
      </c>
      <c r="G50" s="44">
        <f t="shared" si="22"/>
        <v>44905.479452054795</v>
      </c>
      <c r="H50" s="44">
        <f t="shared" si="22"/>
        <v>43797.945205479446</v>
      </c>
      <c r="I50" s="44">
        <f t="shared" si="22"/>
        <v>33125.342465753427</v>
      </c>
      <c r="J50" s="44">
        <f t="shared" si="22"/>
        <v>34836.986301369863</v>
      </c>
      <c r="K50" s="44">
        <f t="shared" si="22"/>
        <v>35340.410958904118</v>
      </c>
      <c r="L50" s="44">
        <f t="shared" si="22"/>
        <v>39065.753424657531</v>
      </c>
      <c r="M50" s="44">
        <f t="shared" si="22"/>
        <v>54873.28767123288</v>
      </c>
      <c r="N50" s="44">
        <f t="shared" si="22"/>
        <v>45308.219178082196</v>
      </c>
      <c r="O50" s="44">
        <f t="shared" si="22"/>
        <v>50443.150684931497</v>
      </c>
      <c r="P50" s="44">
        <f>P48*P49/(1-$P$27)</f>
        <v>39166.438356164384</v>
      </c>
      <c r="Q50" s="44">
        <f t="shared" ref="Q50:AA50" si="23">Q48*Q49/(1-$P$27)</f>
        <v>32621.917808219176</v>
      </c>
      <c r="R50" s="44">
        <f t="shared" si="23"/>
        <v>44704.109589041102</v>
      </c>
      <c r="S50" s="44">
        <f t="shared" si="23"/>
        <v>56383.561643835616</v>
      </c>
      <c r="T50" s="44">
        <f t="shared" si="23"/>
        <v>47724.657534246573</v>
      </c>
      <c r="U50" s="44">
        <f t="shared" si="23"/>
        <v>42086.301369863017</v>
      </c>
      <c r="V50" s="44">
        <f t="shared" si="23"/>
        <v>39971.917808219172</v>
      </c>
      <c r="W50" s="44">
        <f t="shared" si="23"/>
        <v>39971.917808219179</v>
      </c>
      <c r="X50" s="44">
        <f t="shared" si="23"/>
        <v>49839.04109589041</v>
      </c>
      <c r="Y50" s="44">
        <f t="shared" si="23"/>
        <v>43495.890410958906</v>
      </c>
      <c r="Z50" s="44">
        <f t="shared" si="23"/>
        <v>54369.863013698632</v>
      </c>
      <c r="AA50" s="44">
        <f t="shared" si="23"/>
        <v>46717.808219178092</v>
      </c>
    </row>
    <row r="51" spans="2:29" ht="9.75" customHeight="1" thickBot="1" x14ac:dyDescent="0.35">
      <c r="B51" s="175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45"/>
    </row>
    <row r="52" spans="2:29" ht="22.5" customHeight="1" thickBot="1" x14ac:dyDescent="0.35">
      <c r="B52" s="175"/>
      <c r="C52" s="134" t="s">
        <v>98</v>
      </c>
      <c r="D52" s="46">
        <f t="shared" ref="D52:O52" si="24">+D50+D37+D36</f>
        <v>99811.668565672851</v>
      </c>
      <c r="E52" s="46">
        <f t="shared" si="24"/>
        <v>115719.72703464949</v>
      </c>
      <c r="F52" s="46">
        <f t="shared" si="24"/>
        <v>120706.0223690572</v>
      </c>
      <c r="G52" s="46">
        <f t="shared" si="24"/>
        <v>129615.93680499599</v>
      </c>
      <c r="H52" s="46">
        <f t="shared" si="24"/>
        <v>128179.75873489122</v>
      </c>
      <c r="I52" s="46">
        <f t="shared" si="24"/>
        <v>98428.088642224029</v>
      </c>
      <c r="J52" s="46">
        <f t="shared" si="24"/>
        <v>106992.02630136986</v>
      </c>
      <c r="K52" s="46">
        <f t="shared" si="24"/>
        <v>107005.89154713941</v>
      </c>
      <c r="L52" s="46">
        <f t="shared" si="24"/>
        <v>122387.64136583402</v>
      </c>
      <c r="M52" s="46">
        <f t="shared" si="24"/>
        <v>169379.16884770346</v>
      </c>
      <c r="N52" s="46">
        <f t="shared" si="24"/>
        <v>128901.77300161161</v>
      </c>
      <c r="O52" s="46">
        <f t="shared" si="24"/>
        <v>149944.38980257855</v>
      </c>
      <c r="P52" s="46">
        <f>+P50+P37+P36</f>
        <v>117243.55159145851</v>
      </c>
      <c r="Q52" s="46">
        <f t="shared" ref="Q52:AA52" si="25">+Q50+Q37+Q36</f>
        <v>94512.768396454485</v>
      </c>
      <c r="R52" s="46">
        <f t="shared" si="25"/>
        <v>133151.57253021759</v>
      </c>
      <c r="S52" s="46">
        <f t="shared" si="25"/>
        <v>169349.51899677678</v>
      </c>
      <c r="T52" s="46">
        <f t="shared" si="25"/>
        <v>135576.02929895246</v>
      </c>
      <c r="U52" s="46">
        <f t="shared" si="25"/>
        <v>125420.61725221596</v>
      </c>
      <c r="V52" s="46">
        <f t="shared" si="25"/>
        <v>121477.52898468976</v>
      </c>
      <c r="W52" s="46">
        <f t="shared" si="25"/>
        <v>124465.87839645449</v>
      </c>
      <c r="X52" s="46">
        <f t="shared" si="25"/>
        <v>150254.16933118453</v>
      </c>
      <c r="Y52" s="46">
        <f t="shared" si="25"/>
        <v>132348.20246978244</v>
      </c>
      <c r="Z52" s="46">
        <f t="shared" si="25"/>
        <v>161618.60124899275</v>
      </c>
      <c r="AA52" s="46">
        <f t="shared" si="25"/>
        <v>137213.72233682519</v>
      </c>
      <c r="AC52" s="47">
        <f>SUM(D52:AA52)</f>
        <v>3079704.2538517318</v>
      </c>
    </row>
    <row r="53" spans="2:29" x14ac:dyDescent="0.3">
      <c r="B53" s="175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100"/>
    </row>
    <row r="54" spans="2:29" ht="50.25" customHeight="1" x14ac:dyDescent="0.3">
      <c r="B54" s="175"/>
      <c r="C54" s="172" t="s">
        <v>99</v>
      </c>
      <c r="D54" s="172"/>
      <c r="E54" s="172"/>
      <c r="F54" s="172"/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172"/>
      <c r="R54" s="172"/>
      <c r="S54" s="172"/>
      <c r="T54" s="172"/>
      <c r="U54" s="172"/>
      <c r="V54" s="172"/>
      <c r="W54" s="172"/>
      <c r="X54" s="172"/>
      <c r="Y54" s="172"/>
      <c r="Z54" s="172"/>
      <c r="AA54" s="173"/>
    </row>
    <row r="55" spans="2:29" x14ac:dyDescent="0.3">
      <c r="B55" s="175"/>
      <c r="C55" s="129" t="s">
        <v>101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3">
        <v>0</v>
      </c>
      <c r="R55" s="43">
        <v>0</v>
      </c>
      <c r="S55" s="43">
        <v>0</v>
      </c>
      <c r="T55" s="43">
        <v>0</v>
      </c>
      <c r="U55" s="43">
        <v>0</v>
      </c>
      <c r="V55" s="43">
        <v>0</v>
      </c>
      <c r="W55" s="43">
        <v>0</v>
      </c>
      <c r="X55" s="43">
        <v>0</v>
      </c>
      <c r="Y55" s="43">
        <v>0</v>
      </c>
      <c r="Z55" s="43">
        <v>0</v>
      </c>
      <c r="AA55" s="43">
        <v>0</v>
      </c>
    </row>
    <row r="56" spans="2:29" x14ac:dyDescent="0.3">
      <c r="B56" s="175"/>
      <c r="C56" s="129" t="s">
        <v>102</v>
      </c>
      <c r="D56" s="17">
        <f t="shared" ref="D56:O56" si="26">D9*D21+D11*D21*2</f>
        <v>13578.300000000001</v>
      </c>
      <c r="E56" s="17">
        <f t="shared" si="26"/>
        <v>15542.820000000002</v>
      </c>
      <c r="F56" s="17">
        <f t="shared" si="26"/>
        <v>15057.468000000001</v>
      </c>
      <c r="G56" s="17">
        <f t="shared" si="26"/>
        <v>15057.468000000001</v>
      </c>
      <c r="H56" s="17">
        <f t="shared" si="26"/>
        <v>15219.252000000002</v>
      </c>
      <c r="I56" s="17">
        <f t="shared" si="26"/>
        <v>13578.300000000001</v>
      </c>
      <c r="J56" s="17">
        <f t="shared" si="26"/>
        <v>13578.300000000001</v>
      </c>
      <c r="K56" s="17">
        <f t="shared" si="26"/>
        <v>13578.300000000001</v>
      </c>
      <c r="L56" s="17">
        <f t="shared" si="26"/>
        <v>17160.66</v>
      </c>
      <c r="M56" s="17">
        <f t="shared" si="26"/>
        <v>21690.612000000001</v>
      </c>
      <c r="N56" s="17">
        <f t="shared" si="26"/>
        <v>16189.956</v>
      </c>
      <c r="O56" s="17">
        <f t="shared" si="26"/>
        <v>18616.716</v>
      </c>
      <c r="P56" s="17">
        <f>P9*P21+P11*P21*2</f>
        <v>18131.364000000001</v>
      </c>
      <c r="Q56" s="18">
        <f t="shared" ref="Q56:AA56" si="27">Q9*Q21+Q11*Q21*2</f>
        <v>16513.524000000005</v>
      </c>
      <c r="R56" s="18">
        <f t="shared" si="27"/>
        <v>17160.66</v>
      </c>
      <c r="S56" s="18">
        <f t="shared" si="27"/>
        <v>19102.067999999999</v>
      </c>
      <c r="T56" s="18">
        <f t="shared" si="27"/>
        <v>15704.604000000003</v>
      </c>
      <c r="U56" s="18">
        <f t="shared" si="27"/>
        <v>13578.300000000001</v>
      </c>
      <c r="V56" s="18">
        <f t="shared" si="27"/>
        <v>13578.300000000001</v>
      </c>
      <c r="W56" s="18">
        <f t="shared" si="27"/>
        <v>13578.300000000001</v>
      </c>
      <c r="X56" s="18">
        <f t="shared" si="27"/>
        <v>18940.284000000003</v>
      </c>
      <c r="Y56" s="18">
        <f t="shared" si="27"/>
        <v>20396.340000000004</v>
      </c>
      <c r="Z56" s="18">
        <f t="shared" si="27"/>
        <v>18454.932000000001</v>
      </c>
      <c r="AA56" s="18">
        <f t="shared" si="27"/>
        <v>16837.092000000004</v>
      </c>
    </row>
    <row r="57" spans="2:29" x14ac:dyDescent="0.3">
      <c r="B57" s="175"/>
      <c r="C57" s="129" t="s">
        <v>103</v>
      </c>
      <c r="D57" s="102">
        <f t="shared" ref="D57:O58" si="28">D12*D22</f>
        <v>20092.598399999999</v>
      </c>
      <c r="E57" s="102">
        <f t="shared" si="28"/>
        <v>22807.814400000003</v>
      </c>
      <c r="F57" s="102">
        <f t="shared" si="28"/>
        <v>26066.0736</v>
      </c>
      <c r="G57" s="102">
        <f t="shared" si="28"/>
        <v>28781.289600000004</v>
      </c>
      <c r="H57" s="102">
        <f t="shared" si="28"/>
        <v>28781.289600000004</v>
      </c>
      <c r="I57" s="102">
        <f t="shared" si="28"/>
        <v>20635.641600000003</v>
      </c>
      <c r="J57" s="102">
        <f t="shared" si="28"/>
        <v>24979.9872</v>
      </c>
      <c r="K57" s="102">
        <f t="shared" si="28"/>
        <v>24436.944</v>
      </c>
      <c r="L57" s="102">
        <f t="shared" si="28"/>
        <v>27695.203200000004</v>
      </c>
      <c r="M57" s="102">
        <f t="shared" si="28"/>
        <v>39642.153599999998</v>
      </c>
      <c r="N57" s="102">
        <f t="shared" si="28"/>
        <v>26609.1168</v>
      </c>
      <c r="O57" s="102">
        <f t="shared" si="28"/>
        <v>33668.678399999997</v>
      </c>
      <c r="P57" s="102">
        <f>P12*P22</f>
        <v>22807.814400000003</v>
      </c>
      <c r="Q57" s="103">
        <f t="shared" ref="Q57:AA58" si="29">Q12*Q22</f>
        <v>15205.2096</v>
      </c>
      <c r="R57" s="103">
        <f t="shared" si="29"/>
        <v>29324.3328</v>
      </c>
      <c r="S57" s="103">
        <f t="shared" si="29"/>
        <v>40728.239999999998</v>
      </c>
      <c r="T57" s="103">
        <f t="shared" si="29"/>
        <v>29324.3328</v>
      </c>
      <c r="U57" s="103">
        <f t="shared" si="29"/>
        <v>30410.4192</v>
      </c>
      <c r="V57" s="103">
        <f t="shared" si="29"/>
        <v>29867.376000000004</v>
      </c>
      <c r="W57" s="103">
        <f t="shared" si="29"/>
        <v>32039.548800000004</v>
      </c>
      <c r="X57" s="103">
        <f t="shared" si="29"/>
        <v>34211.721600000004</v>
      </c>
      <c r="Y57" s="103">
        <f t="shared" si="29"/>
        <v>26609.1168</v>
      </c>
      <c r="Z57" s="103">
        <f t="shared" si="29"/>
        <v>38013.023999999998</v>
      </c>
      <c r="AA57" s="103">
        <f t="shared" si="29"/>
        <v>30410.4192</v>
      </c>
    </row>
    <row r="58" spans="2:29" x14ac:dyDescent="0.3">
      <c r="B58" s="175"/>
      <c r="C58" s="129" t="s">
        <v>104</v>
      </c>
      <c r="D58" s="17">
        <f t="shared" si="28"/>
        <v>10717.282800000001</v>
      </c>
      <c r="E58" s="17">
        <f t="shared" si="28"/>
        <v>12678.615599999999</v>
      </c>
      <c r="F58" s="17">
        <f t="shared" si="28"/>
        <v>12748.663199999999</v>
      </c>
      <c r="G58" s="17">
        <f t="shared" si="28"/>
        <v>13764.3534</v>
      </c>
      <c r="H58" s="17">
        <f t="shared" si="28"/>
        <v>13379.0916</v>
      </c>
      <c r="I58" s="17">
        <f t="shared" si="28"/>
        <v>10191.925799999999</v>
      </c>
      <c r="J58" s="17">
        <f t="shared" si="28"/>
        <v>10507.14</v>
      </c>
      <c r="K58" s="17">
        <f t="shared" si="28"/>
        <v>10717.282800000001</v>
      </c>
      <c r="L58" s="17">
        <f t="shared" si="28"/>
        <v>11803.0206</v>
      </c>
      <c r="M58" s="17">
        <f t="shared" si="28"/>
        <v>16531.2336</v>
      </c>
      <c r="N58" s="17">
        <f t="shared" si="28"/>
        <v>14044.543799999999</v>
      </c>
      <c r="O58" s="17">
        <f t="shared" si="28"/>
        <v>15375.448199999999</v>
      </c>
      <c r="P58" s="17">
        <f>P13*P23</f>
        <v>12153.258600000001</v>
      </c>
      <c r="Q58" s="18">
        <f t="shared" si="29"/>
        <v>10367.0448</v>
      </c>
      <c r="R58" s="18">
        <f t="shared" si="29"/>
        <v>13659.282000000001</v>
      </c>
      <c r="S58" s="18">
        <f t="shared" si="29"/>
        <v>16986.542999999998</v>
      </c>
      <c r="T58" s="18">
        <f t="shared" si="29"/>
        <v>14709.996000000001</v>
      </c>
      <c r="U58" s="18">
        <f t="shared" si="29"/>
        <v>12678.615599999999</v>
      </c>
      <c r="V58" s="18">
        <f t="shared" si="29"/>
        <v>11978.139599999999</v>
      </c>
      <c r="W58" s="18">
        <f t="shared" si="29"/>
        <v>11838.044400000001</v>
      </c>
      <c r="X58" s="18">
        <f t="shared" si="29"/>
        <v>15130.2816</v>
      </c>
      <c r="Y58" s="18">
        <f t="shared" si="29"/>
        <v>13414.115400000001</v>
      </c>
      <c r="Z58" s="18">
        <f t="shared" si="29"/>
        <v>16461.186000000002</v>
      </c>
      <c r="AA58" s="18">
        <f t="shared" si="29"/>
        <v>14289.710400000002</v>
      </c>
    </row>
    <row r="59" spans="2:29" x14ac:dyDescent="0.3">
      <c r="B59" s="175"/>
      <c r="C59" s="129" t="s">
        <v>105</v>
      </c>
      <c r="D59" s="102">
        <f t="shared" ref="D59:O60" si="30">D12*D24</f>
        <v>6537.3671999999997</v>
      </c>
      <c r="E59" s="102">
        <f t="shared" si="30"/>
        <v>7420.7952000000005</v>
      </c>
      <c r="F59" s="102">
        <f t="shared" si="30"/>
        <v>8480.9088000000011</v>
      </c>
      <c r="G59" s="102">
        <f t="shared" si="30"/>
        <v>9364.3368000000009</v>
      </c>
      <c r="H59" s="102">
        <f t="shared" si="30"/>
        <v>9364.3368000000009</v>
      </c>
      <c r="I59" s="102">
        <f t="shared" si="30"/>
        <v>6714.0528000000004</v>
      </c>
      <c r="J59" s="102">
        <f t="shared" si="30"/>
        <v>8127.5376000000006</v>
      </c>
      <c r="K59" s="102">
        <f t="shared" si="30"/>
        <v>7950.8519999999999</v>
      </c>
      <c r="L59" s="102">
        <f t="shared" si="30"/>
        <v>9010.9656000000014</v>
      </c>
      <c r="M59" s="102">
        <f t="shared" si="30"/>
        <v>12898.0488</v>
      </c>
      <c r="N59" s="102">
        <f t="shared" si="30"/>
        <v>8657.5944</v>
      </c>
      <c r="O59" s="102">
        <f t="shared" si="30"/>
        <v>10954.5072</v>
      </c>
      <c r="P59" s="102">
        <f>P12*P24</f>
        <v>7420.7952000000005</v>
      </c>
      <c r="Q59" s="103">
        <f t="shared" ref="Q59:AA60" si="31">Q12*Q24</f>
        <v>4947.1967999999997</v>
      </c>
      <c r="R59" s="103">
        <f t="shared" si="31"/>
        <v>9541.0223999999998</v>
      </c>
      <c r="S59" s="103">
        <f t="shared" si="31"/>
        <v>13251.42</v>
      </c>
      <c r="T59" s="103">
        <f t="shared" si="31"/>
        <v>9541.0223999999998</v>
      </c>
      <c r="U59" s="103">
        <f t="shared" si="31"/>
        <v>9894.3935999999994</v>
      </c>
      <c r="V59" s="103">
        <f t="shared" si="31"/>
        <v>9717.7080000000005</v>
      </c>
      <c r="W59" s="103">
        <f t="shared" si="31"/>
        <v>10424.450400000002</v>
      </c>
      <c r="X59" s="103">
        <f t="shared" si="31"/>
        <v>11131.192800000001</v>
      </c>
      <c r="Y59" s="103">
        <f t="shared" si="31"/>
        <v>8657.5944</v>
      </c>
      <c r="Z59" s="103">
        <f t="shared" si="31"/>
        <v>12367.992</v>
      </c>
      <c r="AA59" s="103">
        <f t="shared" si="31"/>
        <v>9894.3935999999994</v>
      </c>
    </row>
    <row r="60" spans="2:29" x14ac:dyDescent="0.3">
      <c r="B60" s="175"/>
      <c r="C60" s="129" t="s">
        <v>106</v>
      </c>
      <c r="D60" s="17">
        <f t="shared" si="30"/>
        <v>32315.068800000001</v>
      </c>
      <c r="E60" s="17">
        <f t="shared" si="30"/>
        <v>38228.937599999997</v>
      </c>
      <c r="F60" s="17">
        <f t="shared" si="30"/>
        <v>38440.147199999999</v>
      </c>
      <c r="G60" s="17">
        <f t="shared" si="30"/>
        <v>41502.686399999999</v>
      </c>
      <c r="H60" s="17">
        <f t="shared" si="30"/>
        <v>40341.033600000002</v>
      </c>
      <c r="I60" s="17">
        <f t="shared" si="30"/>
        <v>30730.996800000001</v>
      </c>
      <c r="J60" s="17">
        <f t="shared" si="30"/>
        <v>31681.439999999999</v>
      </c>
      <c r="K60" s="17">
        <f t="shared" si="30"/>
        <v>32315.068800000001</v>
      </c>
      <c r="L60" s="17">
        <f t="shared" si="30"/>
        <v>35588.817599999995</v>
      </c>
      <c r="M60" s="17">
        <f t="shared" si="30"/>
        <v>49845.465600000003</v>
      </c>
      <c r="N60" s="17">
        <f t="shared" si="30"/>
        <v>42347.524799999999</v>
      </c>
      <c r="O60" s="17">
        <f t="shared" si="30"/>
        <v>46360.5072</v>
      </c>
      <c r="P60" s="17">
        <f>P13*P25</f>
        <v>36644.865600000005</v>
      </c>
      <c r="Q60" s="18">
        <f t="shared" si="31"/>
        <v>31259.020799999998</v>
      </c>
      <c r="R60" s="18">
        <f t="shared" si="31"/>
        <v>41185.872000000003</v>
      </c>
      <c r="S60" s="18">
        <f t="shared" si="31"/>
        <v>51218.327999999994</v>
      </c>
      <c r="T60" s="18">
        <f t="shared" si="31"/>
        <v>44354.016000000003</v>
      </c>
      <c r="U60" s="18">
        <f t="shared" si="31"/>
        <v>38228.937599999997</v>
      </c>
      <c r="V60" s="18">
        <f t="shared" si="31"/>
        <v>36116.8416</v>
      </c>
      <c r="W60" s="18">
        <f t="shared" si="31"/>
        <v>35694.422400000003</v>
      </c>
      <c r="X60" s="18">
        <f t="shared" si="31"/>
        <v>45621.2736</v>
      </c>
      <c r="Y60" s="18">
        <f t="shared" si="31"/>
        <v>40446.638400000003</v>
      </c>
      <c r="Z60" s="18">
        <f t="shared" si="31"/>
        <v>49634.256000000001</v>
      </c>
      <c r="AA60" s="18">
        <f t="shared" si="31"/>
        <v>43086.758400000006</v>
      </c>
    </row>
    <row r="61" spans="2:29" x14ac:dyDescent="0.3">
      <c r="B61" s="175"/>
      <c r="C61" s="130" t="s">
        <v>107</v>
      </c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103"/>
    </row>
    <row r="62" spans="2:29" x14ac:dyDescent="0.3">
      <c r="B62" s="175"/>
      <c r="C62" s="130" t="s">
        <v>110</v>
      </c>
      <c r="D62" s="21">
        <f t="shared" ref="D62:O62" si="32">SUM(D55:D61)/(1-SUM(D27:D28))*SUM(D27:D28)</f>
        <v>39172.055152941182</v>
      </c>
      <c r="E62" s="21">
        <f t="shared" si="32"/>
        <v>45495.991905882358</v>
      </c>
      <c r="F62" s="21">
        <f t="shared" si="32"/>
        <v>47432.122729411771</v>
      </c>
      <c r="G62" s="21">
        <f t="shared" si="32"/>
        <v>51044.769035294121</v>
      </c>
      <c r="H62" s="21">
        <f t="shared" si="32"/>
        <v>50392.942870588238</v>
      </c>
      <c r="I62" s="21">
        <f t="shared" si="32"/>
        <v>38518.078588235301</v>
      </c>
      <c r="J62" s="21">
        <f t="shared" si="32"/>
        <v>41823.249317647067</v>
      </c>
      <c r="K62" s="21">
        <f t="shared" si="32"/>
        <v>41881.6224</v>
      </c>
      <c r="L62" s="21">
        <f t="shared" si="32"/>
        <v>47651.137411764714</v>
      </c>
      <c r="M62" s="21">
        <f t="shared" si="32"/>
        <v>66168.241694117649</v>
      </c>
      <c r="N62" s="21">
        <f t="shared" si="32"/>
        <v>50752.346258823527</v>
      </c>
      <c r="O62" s="21">
        <f t="shared" si="32"/>
        <v>58812.167999999998</v>
      </c>
      <c r="P62" s="21">
        <f>SUM(P55:P61)/(1-SUM(P27:P28))*SUM(P27:P28)</f>
        <v>45721.457788235304</v>
      </c>
      <c r="Q62" s="22">
        <f t="shared" ref="Q62:AA62" si="33">SUM(Q55:Q61)/(1-SUM(Q27:Q28))*SUM(Q27:Q28)</f>
        <v>36843.292235294131</v>
      </c>
      <c r="R62" s="22">
        <f t="shared" si="33"/>
        <v>52174.667858823537</v>
      </c>
      <c r="S62" s="22">
        <f t="shared" si="33"/>
        <v>66487.811294117651</v>
      </c>
      <c r="T62" s="22">
        <f t="shared" si="33"/>
        <v>53474.809976470591</v>
      </c>
      <c r="U62" s="22">
        <f t="shared" si="33"/>
        <v>49313.254588235301</v>
      </c>
      <c r="V62" s="22">
        <f t="shared" si="33"/>
        <v>47650.9953882353</v>
      </c>
      <c r="W62" s="22">
        <f t="shared" si="33"/>
        <v>48741.066352941183</v>
      </c>
      <c r="X62" s="22">
        <f t="shared" si="33"/>
        <v>58839.884047058833</v>
      </c>
      <c r="Y62" s="22">
        <f t="shared" si="33"/>
        <v>51540.614117647063</v>
      </c>
      <c r="Z62" s="22">
        <f t="shared" si="33"/>
        <v>63497.12470588235</v>
      </c>
      <c r="AA62" s="22">
        <f t="shared" si="33"/>
        <v>53890.999341176488</v>
      </c>
    </row>
    <row r="63" spans="2:29" ht="17.25" thickBot="1" x14ac:dyDescent="0.35">
      <c r="B63" s="175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45"/>
    </row>
    <row r="64" spans="2:29" ht="22.5" customHeight="1" thickBot="1" x14ac:dyDescent="0.35">
      <c r="B64" s="175"/>
      <c r="C64" s="134" t="s">
        <v>109</v>
      </c>
      <c r="D64" s="46">
        <f t="shared" ref="D64:O64" si="34">+SUM(D55:D62)</f>
        <v>122412.67235294118</v>
      </c>
      <c r="E64" s="46">
        <f t="shared" si="34"/>
        <v>142174.97470588237</v>
      </c>
      <c r="F64" s="46">
        <f t="shared" si="34"/>
        <v>148225.38352941175</v>
      </c>
      <c r="G64" s="46">
        <f t="shared" si="34"/>
        <v>159514.90323529413</v>
      </c>
      <c r="H64" s="46">
        <f t="shared" si="34"/>
        <v>157477.94647058824</v>
      </c>
      <c r="I64" s="46">
        <f t="shared" si="34"/>
        <v>120368.9955882353</v>
      </c>
      <c r="J64" s="46">
        <f t="shared" si="34"/>
        <v>130697.65411764706</v>
      </c>
      <c r="K64" s="46">
        <f t="shared" si="34"/>
        <v>130880.07</v>
      </c>
      <c r="L64" s="46">
        <f t="shared" si="34"/>
        <v>148909.80441176472</v>
      </c>
      <c r="M64" s="46">
        <f t="shared" si="34"/>
        <v>206775.75529411767</v>
      </c>
      <c r="N64" s="46">
        <f t="shared" si="34"/>
        <v>158601.08205882352</v>
      </c>
      <c r="O64" s="46">
        <f t="shared" si="34"/>
        <v>183788.02499999999</v>
      </c>
      <c r="P64" s="46">
        <f>+SUM(P55:P62)</f>
        <v>142879.55558823532</v>
      </c>
      <c r="Q64" s="46">
        <f t="shared" ref="Q64:AA64" si="35">+SUM(Q55:Q62)</f>
        <v>115135.28823529414</v>
      </c>
      <c r="R64" s="46">
        <f t="shared" si="35"/>
        <v>163045.83705882356</v>
      </c>
      <c r="S64" s="46">
        <f t="shared" si="35"/>
        <v>207774.41029411764</v>
      </c>
      <c r="T64" s="46">
        <f t="shared" si="35"/>
        <v>167108.7811764706</v>
      </c>
      <c r="U64" s="46">
        <f t="shared" si="35"/>
        <v>154103.92058823531</v>
      </c>
      <c r="V64" s="46">
        <f t="shared" si="35"/>
        <v>148909.36058823531</v>
      </c>
      <c r="W64" s="46">
        <f t="shared" si="35"/>
        <v>152315.83235294119</v>
      </c>
      <c r="X64" s="46">
        <f t="shared" si="35"/>
        <v>183874.63764705884</v>
      </c>
      <c r="Y64" s="46">
        <f t="shared" si="35"/>
        <v>161064.41911764705</v>
      </c>
      <c r="Z64" s="46">
        <f t="shared" si="35"/>
        <v>198428.51470588235</v>
      </c>
      <c r="AA64" s="46">
        <f t="shared" si="35"/>
        <v>168409.37294117652</v>
      </c>
      <c r="AC64" s="47">
        <f>SUM(D64:AA64)</f>
        <v>3772877.1970588244</v>
      </c>
    </row>
    <row r="65" spans="2:32" ht="17.25" thickBot="1" x14ac:dyDescent="0.35">
      <c r="B65" s="175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  <c r="AA65" s="41"/>
    </row>
    <row r="66" spans="2:32" ht="22.5" customHeight="1" thickBot="1" x14ac:dyDescent="0.35">
      <c r="B66" s="175"/>
      <c r="C66" s="134" t="s">
        <v>111</v>
      </c>
      <c r="D66" s="46">
        <f t="shared" ref="D66:O66" si="36">D64-D52</f>
        <v>22601.003787268332</v>
      </c>
      <c r="E66" s="46">
        <f t="shared" si="36"/>
        <v>26455.247671232879</v>
      </c>
      <c r="F66" s="46">
        <f t="shared" si="36"/>
        <v>27519.361160354543</v>
      </c>
      <c r="G66" s="46">
        <f t="shared" si="36"/>
        <v>29898.96643029814</v>
      </c>
      <c r="H66" s="46">
        <f t="shared" si="36"/>
        <v>29298.187735697022</v>
      </c>
      <c r="I66" s="46">
        <f t="shared" si="36"/>
        <v>21940.906946011266</v>
      </c>
      <c r="J66" s="46">
        <f t="shared" si="36"/>
        <v>23705.627816277207</v>
      </c>
      <c r="K66" s="46">
        <f t="shared" si="36"/>
        <v>23874.178452860593</v>
      </c>
      <c r="L66" s="46">
        <f t="shared" si="36"/>
        <v>26522.163045930705</v>
      </c>
      <c r="M66" s="46">
        <f t="shared" si="36"/>
        <v>37396.586446414207</v>
      </c>
      <c r="N66" s="46">
        <f t="shared" si="36"/>
        <v>29699.309057211911</v>
      </c>
      <c r="O66" s="46">
        <f t="shared" si="36"/>
        <v>33843.635197421449</v>
      </c>
      <c r="P66" s="46">
        <f>P64-P52</f>
        <v>25636.00399677681</v>
      </c>
      <c r="Q66" s="46">
        <f t="shared" ref="Q66:AA66" si="37">Q64-Q52</f>
        <v>20622.519838839653</v>
      </c>
      <c r="R66" s="46">
        <f t="shared" si="37"/>
        <v>29894.264528605971</v>
      </c>
      <c r="S66" s="46">
        <f t="shared" si="37"/>
        <v>38424.891297340859</v>
      </c>
      <c r="T66" s="46">
        <f t="shared" si="37"/>
        <v>31532.751877518138</v>
      </c>
      <c r="U66" s="46">
        <f t="shared" si="37"/>
        <v>28683.303336019351</v>
      </c>
      <c r="V66" s="46">
        <f t="shared" si="37"/>
        <v>27431.83160354555</v>
      </c>
      <c r="W66" s="46">
        <f t="shared" si="37"/>
        <v>27849.953956486701</v>
      </c>
      <c r="X66" s="46">
        <f t="shared" si="37"/>
        <v>33620.468315874314</v>
      </c>
      <c r="Y66" s="46">
        <f t="shared" si="37"/>
        <v>28716.21664786461</v>
      </c>
      <c r="Z66" s="46">
        <f t="shared" si="37"/>
        <v>36809.913456889597</v>
      </c>
      <c r="AA66" s="46">
        <f t="shared" si="37"/>
        <v>31195.650604351336</v>
      </c>
      <c r="AC66" s="47">
        <f>AC64-AC52</f>
        <v>693172.94320709258</v>
      </c>
    </row>
    <row r="67" spans="2:32" ht="23.25" customHeight="1" thickBot="1" x14ac:dyDescent="0.35">
      <c r="B67" s="176"/>
      <c r="C67" s="134" t="s">
        <v>112</v>
      </c>
      <c r="D67" s="105">
        <f t="shared" ref="D67:O67" si="38">D66/D64</f>
        <v>0.1846296086250363</v>
      </c>
      <c r="E67" s="105">
        <f t="shared" si="38"/>
        <v>0.18607527608822086</v>
      </c>
      <c r="F67" s="105">
        <f t="shared" si="38"/>
        <v>0.18565889664164026</v>
      </c>
      <c r="G67" s="105">
        <f t="shared" si="38"/>
        <v>0.18743682141219969</v>
      </c>
      <c r="H67" s="105">
        <f t="shared" si="38"/>
        <v>0.18604629024146546</v>
      </c>
      <c r="I67" s="105">
        <f t="shared" si="38"/>
        <v>0.18228038573211905</v>
      </c>
      <c r="J67" s="105">
        <f t="shared" si="38"/>
        <v>0.1813776075501605</v>
      </c>
      <c r="K67" s="105">
        <f t="shared" si="38"/>
        <v>0.18241263511595457</v>
      </c>
      <c r="L67" s="105">
        <f t="shared" si="38"/>
        <v>0.17810891063016737</v>
      </c>
      <c r="M67" s="105">
        <f t="shared" si="38"/>
        <v>0.18085576035363204</v>
      </c>
      <c r="N67" s="105">
        <f t="shared" si="38"/>
        <v>0.18725792202474847</v>
      </c>
      <c r="O67" s="105">
        <f t="shared" si="38"/>
        <v>0.18414494196464351</v>
      </c>
      <c r="P67" s="105">
        <f>P66/P64</f>
        <v>0.17942387832348264</v>
      </c>
      <c r="Q67" s="105">
        <f>Q66/Q64</f>
        <v>0.17911554446013819</v>
      </c>
      <c r="R67" s="105">
        <f t="shared" ref="R67:AA67" si="39">R66/R64</f>
        <v>0.1833488365472388</v>
      </c>
      <c r="S67" s="105">
        <f t="shared" si="39"/>
        <v>0.18493562919008183</v>
      </c>
      <c r="T67" s="105">
        <f t="shared" si="39"/>
        <v>0.18869595993413923</v>
      </c>
      <c r="U67" s="105">
        <f t="shared" si="39"/>
        <v>0.18612961452590784</v>
      </c>
      <c r="V67" s="105">
        <f t="shared" si="39"/>
        <v>0.18421831572697533</v>
      </c>
      <c r="W67" s="105">
        <f t="shared" si="39"/>
        <v>0.18284346102612442</v>
      </c>
      <c r="X67" s="105">
        <f t="shared" si="39"/>
        <v>0.18284451159821</v>
      </c>
      <c r="Y67" s="105">
        <f t="shared" si="39"/>
        <v>0.17829025681264393</v>
      </c>
      <c r="Z67" s="105">
        <f t="shared" si="39"/>
        <v>0.18550717628184907</v>
      </c>
      <c r="AA67" s="105">
        <f t="shared" si="39"/>
        <v>0.18523702131025463</v>
      </c>
      <c r="AC67" s="106">
        <f>AC66/AC64</f>
        <v>0.18372528630072055</v>
      </c>
    </row>
    <row r="68" spans="2:32" x14ac:dyDescent="0.3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48"/>
    </row>
    <row r="69" spans="2:32" ht="17.25" thickBot="1" x14ac:dyDescent="0.3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48"/>
    </row>
    <row r="70" spans="2:32" ht="45.75" customHeight="1" x14ac:dyDescent="0.3">
      <c r="B70" s="174" t="s">
        <v>122</v>
      </c>
      <c r="C70" s="170" t="s">
        <v>100</v>
      </c>
      <c r="D70" s="170"/>
      <c r="E70" s="170"/>
      <c r="F70" s="170"/>
      <c r="G70" s="170"/>
      <c r="H70" s="170"/>
      <c r="I70" s="170"/>
      <c r="J70" s="170"/>
      <c r="K70" s="170"/>
      <c r="L70" s="170"/>
      <c r="M70" s="170"/>
      <c r="N70" s="170"/>
      <c r="O70" s="170"/>
      <c r="P70" s="170"/>
      <c r="Q70" s="170"/>
      <c r="R70" s="170"/>
      <c r="S70" s="170"/>
      <c r="T70" s="170"/>
      <c r="U70" s="170"/>
      <c r="V70" s="170"/>
      <c r="W70" s="170"/>
      <c r="X70" s="170"/>
      <c r="Y70" s="170"/>
      <c r="Z70" s="170"/>
      <c r="AA70" s="171"/>
      <c r="AC70" s="5"/>
    </row>
    <row r="71" spans="2:32" x14ac:dyDescent="0.3">
      <c r="B71" s="175"/>
      <c r="C71" s="128" t="s">
        <v>3</v>
      </c>
      <c r="D71" s="7">
        <v>43101</v>
      </c>
      <c r="E71" s="7">
        <v>43133</v>
      </c>
      <c r="F71" s="7">
        <v>43165</v>
      </c>
      <c r="G71" s="7">
        <v>43197</v>
      </c>
      <c r="H71" s="7">
        <v>43229</v>
      </c>
      <c r="I71" s="7">
        <v>43261</v>
      </c>
      <c r="J71" s="7">
        <v>43293</v>
      </c>
      <c r="K71" s="7">
        <v>43325</v>
      </c>
      <c r="L71" s="7">
        <v>43357</v>
      </c>
      <c r="M71" s="7">
        <v>43389</v>
      </c>
      <c r="N71" s="7">
        <v>43421</v>
      </c>
      <c r="O71" s="7">
        <v>43453</v>
      </c>
      <c r="P71" s="7">
        <v>43485</v>
      </c>
      <c r="Q71" s="7">
        <v>43517</v>
      </c>
      <c r="R71" s="7">
        <v>43549</v>
      </c>
      <c r="S71" s="7">
        <v>43581</v>
      </c>
      <c r="T71" s="7">
        <v>43613</v>
      </c>
      <c r="U71" s="7">
        <v>43645</v>
      </c>
      <c r="V71" s="7">
        <v>43677</v>
      </c>
      <c r="W71" s="7">
        <v>43709</v>
      </c>
      <c r="X71" s="7">
        <v>43741</v>
      </c>
      <c r="Y71" s="7">
        <v>43773</v>
      </c>
      <c r="Z71" s="7">
        <v>43805</v>
      </c>
      <c r="AA71" s="7">
        <v>43806</v>
      </c>
    </row>
    <row r="72" spans="2:32" x14ac:dyDescent="0.3">
      <c r="B72" s="175"/>
      <c r="C72" s="128" t="s">
        <v>4</v>
      </c>
      <c r="D72" s="6">
        <v>744</v>
      </c>
      <c r="E72" s="6">
        <v>696</v>
      </c>
      <c r="F72" s="6">
        <v>744</v>
      </c>
      <c r="G72" s="6">
        <v>720</v>
      </c>
      <c r="H72" s="6">
        <v>744</v>
      </c>
      <c r="I72" s="6">
        <v>720</v>
      </c>
      <c r="J72" s="6">
        <v>744</v>
      </c>
      <c r="K72" s="6">
        <v>744</v>
      </c>
      <c r="L72" s="6">
        <v>720</v>
      </c>
      <c r="M72" s="6">
        <v>744</v>
      </c>
      <c r="N72" s="6">
        <v>720</v>
      </c>
      <c r="O72" s="6">
        <v>744</v>
      </c>
      <c r="P72" s="6">
        <v>744</v>
      </c>
      <c r="Q72" s="6">
        <v>672</v>
      </c>
      <c r="R72" s="6">
        <v>744</v>
      </c>
      <c r="S72" s="6">
        <v>720</v>
      </c>
      <c r="T72" s="6">
        <v>744</v>
      </c>
      <c r="U72" s="6">
        <v>720</v>
      </c>
      <c r="V72" s="6">
        <v>744</v>
      </c>
      <c r="W72" s="6">
        <v>744</v>
      </c>
      <c r="X72" s="6">
        <v>720</v>
      </c>
      <c r="Y72" s="6">
        <v>744</v>
      </c>
      <c r="Z72" s="6">
        <v>720</v>
      </c>
      <c r="AA72" s="6">
        <v>744</v>
      </c>
    </row>
    <row r="73" spans="2:32" x14ac:dyDescent="0.3">
      <c r="B73" s="175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  <c r="AA73" s="8"/>
    </row>
    <row r="74" spans="2:32" x14ac:dyDescent="0.3">
      <c r="B74" s="175"/>
      <c r="C74" s="129" t="s">
        <v>5</v>
      </c>
      <c r="D74" s="115">
        <v>457.8</v>
      </c>
      <c r="E74" s="115">
        <v>504</v>
      </c>
      <c r="F74" s="115">
        <v>478.8</v>
      </c>
      <c r="G74" s="115">
        <v>462</v>
      </c>
      <c r="H74" s="115">
        <v>512.4</v>
      </c>
      <c r="I74" s="115">
        <v>420</v>
      </c>
      <c r="J74" s="115">
        <v>466.2</v>
      </c>
      <c r="K74" s="115">
        <v>441</v>
      </c>
      <c r="L74" s="115">
        <v>558.6</v>
      </c>
      <c r="M74" s="115">
        <v>609</v>
      </c>
      <c r="N74" s="115">
        <v>520.79999999999995</v>
      </c>
      <c r="O74" s="115">
        <v>558.6</v>
      </c>
      <c r="P74" s="118">
        <v>600.6</v>
      </c>
      <c r="Q74" s="118">
        <v>516.6</v>
      </c>
      <c r="R74" s="118">
        <v>495.6</v>
      </c>
      <c r="S74" s="118">
        <v>600.6</v>
      </c>
      <c r="T74" s="118">
        <v>478.8</v>
      </c>
      <c r="U74" s="118">
        <v>546</v>
      </c>
      <c r="V74" s="118">
        <v>512.4</v>
      </c>
      <c r="W74" s="118">
        <v>449.4</v>
      </c>
      <c r="X74" s="118">
        <v>571.20000000000005</v>
      </c>
      <c r="Y74" s="118">
        <v>541.79999999999995</v>
      </c>
      <c r="Z74" s="118">
        <v>621.6</v>
      </c>
      <c r="AA74" s="118">
        <v>537.6</v>
      </c>
      <c r="AB74" s="2"/>
      <c r="AC74" s="94" t="s">
        <v>92</v>
      </c>
      <c r="AD74" s="96" t="s">
        <v>96</v>
      </c>
      <c r="AE74" s="94" t="s">
        <v>97</v>
      </c>
      <c r="AF74" s="104" t="s">
        <v>108</v>
      </c>
    </row>
    <row r="75" spans="2:32" x14ac:dyDescent="0.3">
      <c r="B75" s="175"/>
      <c r="C75" s="129" t="s">
        <v>41</v>
      </c>
      <c r="D75" s="115">
        <v>667.8</v>
      </c>
      <c r="E75" s="115">
        <v>756</v>
      </c>
      <c r="F75" s="115">
        <v>743.4</v>
      </c>
      <c r="G75" s="115">
        <v>743.4</v>
      </c>
      <c r="H75" s="115">
        <v>747.6</v>
      </c>
      <c r="I75" s="115">
        <v>592.20000000000005</v>
      </c>
      <c r="J75" s="115">
        <v>600.6</v>
      </c>
      <c r="K75" s="115">
        <v>604.79999999999995</v>
      </c>
      <c r="L75" s="115">
        <v>798</v>
      </c>
      <c r="M75" s="115">
        <v>915.6</v>
      </c>
      <c r="N75" s="115">
        <v>772.8</v>
      </c>
      <c r="O75" s="115">
        <v>835.8</v>
      </c>
      <c r="P75" s="118">
        <v>823.2</v>
      </c>
      <c r="Q75" s="118">
        <v>781.2</v>
      </c>
      <c r="R75" s="118">
        <v>798</v>
      </c>
      <c r="S75" s="118">
        <v>848.4</v>
      </c>
      <c r="T75" s="118">
        <v>760.2</v>
      </c>
      <c r="U75" s="118">
        <v>730.8</v>
      </c>
      <c r="V75" s="118">
        <v>697.2</v>
      </c>
      <c r="W75" s="118">
        <v>663.6</v>
      </c>
      <c r="X75" s="118">
        <v>844.2</v>
      </c>
      <c r="Y75" s="118">
        <v>882</v>
      </c>
      <c r="Z75" s="118">
        <v>831.6</v>
      </c>
      <c r="AA75" s="118">
        <v>789.6</v>
      </c>
      <c r="AB75" s="2"/>
      <c r="AC75" s="94" t="s">
        <v>93</v>
      </c>
      <c r="AD75" s="95">
        <v>0</v>
      </c>
      <c r="AE75" s="96">
        <v>175</v>
      </c>
      <c r="AF75" s="104">
        <v>13.43</v>
      </c>
    </row>
    <row r="76" spans="2:32" x14ac:dyDescent="0.3">
      <c r="B76" s="175"/>
      <c r="C76" s="129" t="s">
        <v>6</v>
      </c>
      <c r="D76" s="119">
        <v>0</v>
      </c>
      <c r="E76" s="119">
        <v>0</v>
      </c>
      <c r="F76" s="119">
        <v>0</v>
      </c>
      <c r="G76" s="119">
        <v>0</v>
      </c>
      <c r="H76" s="119">
        <v>0</v>
      </c>
      <c r="I76" s="119">
        <v>0</v>
      </c>
      <c r="J76" s="119">
        <v>0</v>
      </c>
      <c r="K76" s="119">
        <v>0</v>
      </c>
      <c r="L76" s="119">
        <v>0</v>
      </c>
      <c r="M76" s="119">
        <v>0</v>
      </c>
      <c r="N76" s="119">
        <v>0</v>
      </c>
      <c r="O76" s="119">
        <v>0</v>
      </c>
      <c r="P76" s="120">
        <v>0</v>
      </c>
      <c r="Q76" s="120">
        <v>0</v>
      </c>
      <c r="R76" s="120">
        <v>0</v>
      </c>
      <c r="S76" s="120">
        <v>0</v>
      </c>
      <c r="T76" s="120">
        <v>0</v>
      </c>
      <c r="U76" s="120">
        <v>0</v>
      </c>
      <c r="V76" s="120">
        <v>0</v>
      </c>
      <c r="W76" s="120">
        <v>0</v>
      </c>
      <c r="X76" s="120">
        <v>0</v>
      </c>
      <c r="Y76" s="120">
        <v>0</v>
      </c>
      <c r="Z76" s="120">
        <v>0</v>
      </c>
      <c r="AA76" s="120">
        <v>0</v>
      </c>
      <c r="AB76" s="2"/>
      <c r="AC76" s="94" t="s">
        <v>94</v>
      </c>
      <c r="AD76" s="95">
        <v>0.5</v>
      </c>
      <c r="AE76" s="96">
        <v>220</v>
      </c>
      <c r="AF76" s="104">
        <v>41.69</v>
      </c>
    </row>
    <row r="77" spans="2:32" x14ac:dyDescent="0.3">
      <c r="B77" s="175"/>
      <c r="C77" s="129" t="s">
        <v>7</v>
      </c>
      <c r="D77" s="116">
        <v>705</v>
      </c>
      <c r="E77" s="116">
        <v>705</v>
      </c>
      <c r="F77" s="116">
        <v>705</v>
      </c>
      <c r="G77" s="116">
        <v>705</v>
      </c>
      <c r="H77" s="116">
        <v>705</v>
      </c>
      <c r="I77" s="116">
        <v>705</v>
      </c>
      <c r="J77" s="116">
        <v>705</v>
      </c>
      <c r="K77" s="116">
        <v>705</v>
      </c>
      <c r="L77" s="116">
        <v>705</v>
      </c>
      <c r="M77" s="116">
        <v>705</v>
      </c>
      <c r="N77" s="116">
        <v>705</v>
      </c>
      <c r="O77" s="116">
        <v>705</v>
      </c>
      <c r="P77" s="121">
        <v>705</v>
      </c>
      <c r="Q77" s="121">
        <v>705</v>
      </c>
      <c r="R77" s="121">
        <v>705</v>
      </c>
      <c r="S77" s="121">
        <v>705</v>
      </c>
      <c r="T77" s="121">
        <v>705</v>
      </c>
      <c r="U77" s="121">
        <v>705</v>
      </c>
      <c r="V77" s="121">
        <v>705</v>
      </c>
      <c r="W77" s="121">
        <v>705</v>
      </c>
      <c r="X77" s="121">
        <v>705</v>
      </c>
      <c r="Y77" s="121">
        <v>705</v>
      </c>
      <c r="Z77" s="121">
        <v>705</v>
      </c>
      <c r="AA77" s="121">
        <v>705</v>
      </c>
      <c r="AB77" s="2"/>
      <c r="AC77" s="94" t="s">
        <v>95</v>
      </c>
      <c r="AD77" s="95">
        <v>1</v>
      </c>
      <c r="AE77" s="96">
        <v>310</v>
      </c>
      <c r="AF77" s="104">
        <v>62.43</v>
      </c>
    </row>
    <row r="78" spans="2:32" x14ac:dyDescent="0.3">
      <c r="B78" s="175"/>
      <c r="C78" s="129" t="s">
        <v>8</v>
      </c>
      <c r="D78" s="16">
        <f t="shared" ref="D78:AA78" si="40">IF(D87="Verde",0,IF(D74&gt;D76*1.05,D74-D76,0))</f>
        <v>0</v>
      </c>
      <c r="E78" s="16">
        <f t="shared" si="40"/>
        <v>0</v>
      </c>
      <c r="F78" s="16">
        <f t="shared" si="40"/>
        <v>0</v>
      </c>
      <c r="G78" s="16">
        <f t="shared" si="40"/>
        <v>0</v>
      </c>
      <c r="H78" s="16">
        <f t="shared" si="40"/>
        <v>0</v>
      </c>
      <c r="I78" s="16">
        <f t="shared" si="40"/>
        <v>0</v>
      </c>
      <c r="J78" s="16">
        <f t="shared" si="40"/>
        <v>0</v>
      </c>
      <c r="K78" s="16">
        <f t="shared" si="40"/>
        <v>0</v>
      </c>
      <c r="L78" s="16">
        <f t="shared" si="40"/>
        <v>0</v>
      </c>
      <c r="M78" s="16">
        <f t="shared" si="40"/>
        <v>0</v>
      </c>
      <c r="N78" s="16">
        <f t="shared" si="40"/>
        <v>0</v>
      </c>
      <c r="O78" s="16">
        <f t="shared" si="40"/>
        <v>0</v>
      </c>
      <c r="P78" s="16">
        <f t="shared" si="40"/>
        <v>0</v>
      </c>
      <c r="Q78" s="16">
        <f t="shared" si="40"/>
        <v>0</v>
      </c>
      <c r="R78" s="16">
        <f t="shared" si="40"/>
        <v>0</v>
      </c>
      <c r="S78" s="16">
        <f t="shared" si="40"/>
        <v>0</v>
      </c>
      <c r="T78" s="16">
        <f t="shared" si="40"/>
        <v>0</v>
      </c>
      <c r="U78" s="16">
        <f t="shared" si="40"/>
        <v>0</v>
      </c>
      <c r="V78" s="16">
        <f t="shared" si="40"/>
        <v>0</v>
      </c>
      <c r="W78" s="16">
        <f t="shared" si="40"/>
        <v>0</v>
      </c>
      <c r="X78" s="16">
        <f t="shared" si="40"/>
        <v>0</v>
      </c>
      <c r="Y78" s="16">
        <f t="shared" si="40"/>
        <v>0</v>
      </c>
      <c r="Z78" s="16">
        <f t="shared" si="40"/>
        <v>0</v>
      </c>
      <c r="AA78" s="16">
        <f t="shared" si="40"/>
        <v>0</v>
      </c>
      <c r="AB78" s="2"/>
    </row>
    <row r="79" spans="2:32" x14ac:dyDescent="0.3">
      <c r="B79" s="175"/>
      <c r="C79" s="129" t="s">
        <v>9</v>
      </c>
      <c r="D79" s="18">
        <f t="shared" ref="D79:AA79" si="41">IF(D75&gt;D77*1.05,D75-D77,0)</f>
        <v>0</v>
      </c>
      <c r="E79" s="18">
        <f t="shared" si="41"/>
        <v>51</v>
      </c>
      <c r="F79" s="18">
        <f t="shared" si="41"/>
        <v>38.399999999999977</v>
      </c>
      <c r="G79" s="18">
        <f t="shared" si="41"/>
        <v>38.399999999999977</v>
      </c>
      <c r="H79" s="18">
        <f t="shared" si="41"/>
        <v>42.600000000000023</v>
      </c>
      <c r="I79" s="18">
        <f t="shared" si="41"/>
        <v>0</v>
      </c>
      <c r="J79" s="18">
        <f t="shared" si="41"/>
        <v>0</v>
      </c>
      <c r="K79" s="18">
        <f t="shared" si="41"/>
        <v>0</v>
      </c>
      <c r="L79" s="18">
        <f t="shared" si="41"/>
        <v>93</v>
      </c>
      <c r="M79" s="18">
        <f t="shared" si="41"/>
        <v>210.60000000000002</v>
      </c>
      <c r="N79" s="18">
        <f t="shared" si="41"/>
        <v>67.799999999999955</v>
      </c>
      <c r="O79" s="18">
        <f t="shared" si="41"/>
        <v>130.79999999999995</v>
      </c>
      <c r="P79" s="18">
        <f t="shared" si="41"/>
        <v>118.20000000000005</v>
      </c>
      <c r="Q79" s="18">
        <f t="shared" si="41"/>
        <v>76.200000000000045</v>
      </c>
      <c r="R79" s="18">
        <f t="shared" si="41"/>
        <v>93</v>
      </c>
      <c r="S79" s="18">
        <f t="shared" si="41"/>
        <v>143.39999999999998</v>
      </c>
      <c r="T79" s="18">
        <f t="shared" si="41"/>
        <v>55.200000000000045</v>
      </c>
      <c r="U79" s="18">
        <f t="shared" si="41"/>
        <v>0</v>
      </c>
      <c r="V79" s="18">
        <f t="shared" si="41"/>
        <v>0</v>
      </c>
      <c r="W79" s="18">
        <f t="shared" si="41"/>
        <v>0</v>
      </c>
      <c r="X79" s="18">
        <f t="shared" si="41"/>
        <v>139.20000000000005</v>
      </c>
      <c r="Y79" s="18">
        <f t="shared" si="41"/>
        <v>177</v>
      </c>
      <c r="Z79" s="18">
        <f t="shared" si="41"/>
        <v>126.60000000000002</v>
      </c>
      <c r="AA79" s="18">
        <f t="shared" si="41"/>
        <v>84.600000000000023</v>
      </c>
      <c r="AB79" s="1" t="s">
        <v>43</v>
      </c>
    </row>
    <row r="80" spans="2:32" x14ac:dyDescent="0.3">
      <c r="B80" s="175"/>
      <c r="C80" s="129" t="s">
        <v>10</v>
      </c>
      <c r="D80" s="115">
        <v>15.54</v>
      </c>
      <c r="E80" s="115">
        <v>17.64</v>
      </c>
      <c r="F80" s="115">
        <v>20.16</v>
      </c>
      <c r="G80" s="115">
        <v>22.26</v>
      </c>
      <c r="H80" s="115">
        <v>22.26</v>
      </c>
      <c r="I80" s="115">
        <v>15.96</v>
      </c>
      <c r="J80" s="115">
        <v>19.32</v>
      </c>
      <c r="K80" s="115">
        <v>18.899999999999999</v>
      </c>
      <c r="L80" s="115">
        <v>21.42</v>
      </c>
      <c r="M80" s="115">
        <v>30.66</v>
      </c>
      <c r="N80" s="115">
        <v>20.58</v>
      </c>
      <c r="O80" s="115">
        <v>26.04</v>
      </c>
      <c r="P80" s="115">
        <v>17.64</v>
      </c>
      <c r="Q80" s="115">
        <v>11.76</v>
      </c>
      <c r="R80" s="115">
        <v>22.68</v>
      </c>
      <c r="S80" s="115">
        <v>31.5</v>
      </c>
      <c r="T80" s="115">
        <v>22.68</v>
      </c>
      <c r="U80" s="115">
        <v>23.52</v>
      </c>
      <c r="V80" s="115">
        <v>23.1</v>
      </c>
      <c r="W80" s="115">
        <v>24.78</v>
      </c>
      <c r="X80" s="115">
        <v>26.46</v>
      </c>
      <c r="Y80" s="115">
        <v>20.58</v>
      </c>
      <c r="Z80" s="115">
        <v>29.4</v>
      </c>
      <c r="AA80" s="115">
        <v>23.52</v>
      </c>
      <c r="AB80" s="2"/>
    </row>
    <row r="81" spans="2:32" x14ac:dyDescent="0.3">
      <c r="B81" s="175"/>
      <c r="C81" s="129" t="s">
        <v>11</v>
      </c>
      <c r="D81" s="115">
        <v>128.52000000000001</v>
      </c>
      <c r="E81" s="115">
        <v>152.04</v>
      </c>
      <c r="F81" s="115">
        <v>152.88</v>
      </c>
      <c r="G81" s="115">
        <v>165.06</v>
      </c>
      <c r="H81" s="115">
        <v>160.44</v>
      </c>
      <c r="I81" s="115">
        <v>122.22</v>
      </c>
      <c r="J81" s="115">
        <v>126</v>
      </c>
      <c r="K81" s="115">
        <v>128.52000000000001</v>
      </c>
      <c r="L81" s="115">
        <v>141.54</v>
      </c>
      <c r="M81" s="115">
        <v>198.24</v>
      </c>
      <c r="N81" s="115">
        <v>168.42</v>
      </c>
      <c r="O81" s="115">
        <v>184.38</v>
      </c>
      <c r="P81" s="115">
        <v>145.74</v>
      </c>
      <c r="Q81" s="115">
        <v>124.32</v>
      </c>
      <c r="R81" s="115">
        <v>163.80000000000001</v>
      </c>
      <c r="S81" s="115">
        <v>203.7</v>
      </c>
      <c r="T81" s="115">
        <v>176.4</v>
      </c>
      <c r="U81" s="115">
        <v>152.04</v>
      </c>
      <c r="V81" s="115">
        <v>143.63999999999999</v>
      </c>
      <c r="W81" s="115">
        <v>141.96</v>
      </c>
      <c r="X81" s="115">
        <v>181.44</v>
      </c>
      <c r="Y81" s="115">
        <v>160.86000000000001</v>
      </c>
      <c r="Z81" s="115">
        <v>197.4</v>
      </c>
      <c r="AA81" s="115">
        <v>171.36</v>
      </c>
      <c r="AB81" s="2"/>
      <c r="AC81" s="1" t="s">
        <v>45</v>
      </c>
      <c r="AD81" s="1">
        <f>SUM(P80:AA81)/SUM(P72:AA72)</f>
        <v>0.25573972602739736</v>
      </c>
      <c r="AF81" s="1">
        <v>145</v>
      </c>
    </row>
    <row r="82" spans="2:32" x14ac:dyDescent="0.3">
      <c r="B82" s="175"/>
      <c r="C82" s="129" t="s">
        <v>0</v>
      </c>
      <c r="D82" s="19" t="s">
        <v>44</v>
      </c>
      <c r="E82" s="20" t="s">
        <v>44</v>
      </c>
      <c r="F82" s="20" t="s">
        <v>44</v>
      </c>
      <c r="G82" s="20" t="s">
        <v>44</v>
      </c>
      <c r="H82" s="20" t="s">
        <v>44</v>
      </c>
      <c r="I82" s="20" t="s">
        <v>44</v>
      </c>
      <c r="J82" s="19" t="s">
        <v>44</v>
      </c>
      <c r="K82" s="20" t="s">
        <v>44</v>
      </c>
      <c r="L82" s="20" t="s">
        <v>44</v>
      </c>
      <c r="M82" s="20" t="s">
        <v>44</v>
      </c>
      <c r="N82" s="20" t="s">
        <v>44</v>
      </c>
      <c r="O82" s="20" t="s">
        <v>44</v>
      </c>
      <c r="P82" s="20" t="s">
        <v>44</v>
      </c>
      <c r="Q82" s="20" t="s">
        <v>44</v>
      </c>
      <c r="R82" s="20" t="s">
        <v>44</v>
      </c>
      <c r="S82" s="20" t="s">
        <v>44</v>
      </c>
      <c r="T82" s="20" t="s">
        <v>44</v>
      </c>
      <c r="U82" s="20" t="s">
        <v>44</v>
      </c>
      <c r="V82" s="20" t="s">
        <v>44</v>
      </c>
      <c r="W82" s="20" t="s">
        <v>44</v>
      </c>
      <c r="X82" s="20" t="s">
        <v>44</v>
      </c>
      <c r="Y82" s="20" t="s">
        <v>44</v>
      </c>
      <c r="Z82" s="20" t="s">
        <v>44</v>
      </c>
      <c r="AA82" s="20" t="s">
        <v>44</v>
      </c>
      <c r="AB82" s="2"/>
      <c r="AC82" s="1" t="s">
        <v>91</v>
      </c>
      <c r="AD82" s="93">
        <f>SUM(P80:AA80)/SUM(P80:AA81)</f>
        <v>0.12392200974878137</v>
      </c>
      <c r="AF82" s="1">
        <v>17.64</v>
      </c>
    </row>
    <row r="83" spans="2:32" x14ac:dyDescent="0.3">
      <c r="B83" s="175"/>
      <c r="C83" s="107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7"/>
      <c r="AA83" s="108"/>
      <c r="AD83" s="1">
        <v>0.12392200974878137</v>
      </c>
      <c r="AF83" s="1">
        <f>AF81+AF82</f>
        <v>162.63999999999999</v>
      </c>
    </row>
    <row r="84" spans="2:32" x14ac:dyDescent="0.3">
      <c r="B84" s="175"/>
      <c r="C84" s="129" t="s">
        <v>12</v>
      </c>
      <c r="D84" s="126">
        <f>'SIMULAÇÃO CENÁRIOS'!$D$7</f>
        <v>0.5</v>
      </c>
      <c r="E84" s="126">
        <f>'SIMULAÇÃO CENÁRIOS'!$D$7</f>
        <v>0.5</v>
      </c>
      <c r="F84" s="126">
        <f>'SIMULAÇÃO CENÁRIOS'!$D$7</f>
        <v>0.5</v>
      </c>
      <c r="G84" s="126">
        <f>'SIMULAÇÃO CENÁRIOS'!$D$7</f>
        <v>0.5</v>
      </c>
      <c r="H84" s="126">
        <f>'SIMULAÇÃO CENÁRIOS'!$D$7</f>
        <v>0.5</v>
      </c>
      <c r="I84" s="126">
        <f>'SIMULAÇÃO CENÁRIOS'!$D$7</f>
        <v>0.5</v>
      </c>
      <c r="J84" s="126">
        <f>'SIMULAÇÃO CENÁRIOS'!$D$7</f>
        <v>0.5</v>
      </c>
      <c r="K84" s="126">
        <f>'SIMULAÇÃO CENÁRIOS'!$D$7</f>
        <v>0.5</v>
      </c>
      <c r="L84" s="126">
        <f>'SIMULAÇÃO CENÁRIOS'!$D$7</f>
        <v>0.5</v>
      </c>
      <c r="M84" s="126">
        <f>'SIMULAÇÃO CENÁRIOS'!$D$7</f>
        <v>0.5</v>
      </c>
      <c r="N84" s="126">
        <f>'SIMULAÇÃO CENÁRIOS'!$D$7</f>
        <v>0.5</v>
      </c>
      <c r="O84" s="126">
        <f>'SIMULAÇÃO CENÁRIOS'!$D$7</f>
        <v>0.5</v>
      </c>
      <c r="P84" s="126">
        <f>'SIMULAÇÃO CENÁRIOS'!$D$7</f>
        <v>0.5</v>
      </c>
      <c r="Q84" s="126">
        <f>'SIMULAÇÃO CENÁRIOS'!$D$7</f>
        <v>0.5</v>
      </c>
      <c r="R84" s="126">
        <f>'SIMULAÇÃO CENÁRIOS'!$D$7</f>
        <v>0.5</v>
      </c>
      <c r="S84" s="126">
        <f>'SIMULAÇÃO CENÁRIOS'!$D$7</f>
        <v>0.5</v>
      </c>
      <c r="T84" s="126">
        <f>'SIMULAÇÃO CENÁRIOS'!$D$7</f>
        <v>0.5</v>
      </c>
      <c r="U84" s="126">
        <f>'SIMULAÇÃO CENÁRIOS'!$D$7</f>
        <v>0.5</v>
      </c>
      <c r="V84" s="126">
        <f>'SIMULAÇÃO CENÁRIOS'!$D$7</f>
        <v>0.5</v>
      </c>
      <c r="W84" s="126">
        <f>'SIMULAÇÃO CENÁRIOS'!$D$7</f>
        <v>0.5</v>
      </c>
      <c r="X84" s="126">
        <f>'SIMULAÇÃO CENÁRIOS'!$D$7</f>
        <v>0.5</v>
      </c>
      <c r="Y84" s="126">
        <f>'SIMULAÇÃO CENÁRIOS'!$D$7</f>
        <v>0.5</v>
      </c>
      <c r="Z84" s="126">
        <f>'SIMULAÇÃO CENÁRIOS'!$D$7</f>
        <v>0.5</v>
      </c>
      <c r="AA84" s="126">
        <f>'SIMULAÇÃO CENÁRIOS'!$D$7</f>
        <v>0.5</v>
      </c>
    </row>
    <row r="85" spans="2:32" x14ac:dyDescent="0.3">
      <c r="B85" s="175"/>
      <c r="C85" s="107"/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  <c r="W85" s="107"/>
      <c r="X85" s="107"/>
      <c r="Y85" s="107"/>
      <c r="Z85" s="107"/>
      <c r="AA85" s="108"/>
    </row>
    <row r="86" spans="2:32" x14ac:dyDescent="0.3">
      <c r="B86" s="175"/>
      <c r="C86" s="129" t="s">
        <v>13</v>
      </c>
      <c r="D86" s="9" t="s">
        <v>1</v>
      </c>
      <c r="E86" s="10" t="s">
        <v>1</v>
      </c>
      <c r="F86" s="10" t="s">
        <v>1</v>
      </c>
      <c r="G86" s="10" t="s">
        <v>1</v>
      </c>
      <c r="H86" s="10" t="s">
        <v>1</v>
      </c>
      <c r="I86" s="10" t="s">
        <v>1</v>
      </c>
      <c r="J86" s="9" t="s">
        <v>1</v>
      </c>
      <c r="K86" s="10" t="s">
        <v>1</v>
      </c>
      <c r="L86" s="10" t="s">
        <v>1</v>
      </c>
      <c r="M86" s="10" t="s">
        <v>1</v>
      </c>
      <c r="N86" s="10" t="s">
        <v>1</v>
      </c>
      <c r="O86" s="10" t="s">
        <v>1</v>
      </c>
      <c r="P86" s="9" t="s">
        <v>1</v>
      </c>
      <c r="Q86" s="9" t="s">
        <v>1</v>
      </c>
      <c r="R86" s="9" t="s">
        <v>1</v>
      </c>
      <c r="S86" s="9" t="s">
        <v>1</v>
      </c>
      <c r="T86" s="9" t="s">
        <v>1</v>
      </c>
      <c r="U86" s="9" t="s">
        <v>1</v>
      </c>
      <c r="V86" s="9" t="s">
        <v>1</v>
      </c>
      <c r="W86" s="9" t="s">
        <v>1</v>
      </c>
      <c r="X86" s="9" t="s">
        <v>1</v>
      </c>
      <c r="Y86" s="9" t="s">
        <v>1</v>
      </c>
      <c r="Z86" s="9" t="s">
        <v>1</v>
      </c>
      <c r="AA86" s="9" t="s">
        <v>1</v>
      </c>
      <c r="AF86" s="92">
        <f>AF83*1000</f>
        <v>162640</v>
      </c>
    </row>
    <row r="87" spans="2:32" x14ac:dyDescent="0.3">
      <c r="B87" s="175"/>
      <c r="C87" s="129" t="s">
        <v>14</v>
      </c>
      <c r="D87" s="11" t="s">
        <v>42</v>
      </c>
      <c r="E87" s="12" t="s">
        <v>42</v>
      </c>
      <c r="F87" s="12" t="s">
        <v>42</v>
      </c>
      <c r="G87" s="12" t="s">
        <v>42</v>
      </c>
      <c r="H87" s="12" t="s">
        <v>42</v>
      </c>
      <c r="I87" s="12" t="s">
        <v>42</v>
      </c>
      <c r="J87" s="11" t="s">
        <v>42</v>
      </c>
      <c r="K87" s="12" t="s">
        <v>42</v>
      </c>
      <c r="L87" s="12" t="s">
        <v>42</v>
      </c>
      <c r="M87" s="12" t="s">
        <v>42</v>
      </c>
      <c r="N87" s="12" t="s">
        <v>42</v>
      </c>
      <c r="O87" s="12" t="s">
        <v>42</v>
      </c>
      <c r="P87" s="12" t="s">
        <v>42</v>
      </c>
      <c r="Q87" s="12" t="s">
        <v>42</v>
      </c>
      <c r="R87" s="12" t="s">
        <v>42</v>
      </c>
      <c r="S87" s="12" t="s">
        <v>42</v>
      </c>
      <c r="T87" s="12" t="s">
        <v>42</v>
      </c>
      <c r="U87" s="12" t="s">
        <v>42</v>
      </c>
      <c r="V87" s="12" t="s">
        <v>42</v>
      </c>
      <c r="W87" s="12" t="s">
        <v>42</v>
      </c>
      <c r="X87" s="12" t="s">
        <v>42</v>
      </c>
      <c r="Y87" s="12" t="s">
        <v>42</v>
      </c>
      <c r="Z87" s="12" t="s">
        <v>42</v>
      </c>
      <c r="AA87" s="12" t="s">
        <v>42</v>
      </c>
      <c r="AF87" s="92">
        <f>AF86/100</f>
        <v>1626.4</v>
      </c>
    </row>
    <row r="88" spans="2:32" x14ac:dyDescent="0.3">
      <c r="B88" s="175"/>
      <c r="C88" s="129" t="s">
        <v>15</v>
      </c>
      <c r="D88" s="13">
        <v>49.84</v>
      </c>
      <c r="E88" s="14">
        <v>49.84</v>
      </c>
      <c r="F88" s="14">
        <v>49.84</v>
      </c>
      <c r="G88" s="14">
        <v>49.84</v>
      </c>
      <c r="H88" s="14">
        <v>49.84</v>
      </c>
      <c r="I88" s="14">
        <v>49.84</v>
      </c>
      <c r="J88" s="13">
        <v>49.84</v>
      </c>
      <c r="K88" s="14">
        <v>49.84</v>
      </c>
      <c r="L88" s="14">
        <v>49.84</v>
      </c>
      <c r="M88" s="14">
        <v>49.84</v>
      </c>
      <c r="N88" s="14">
        <v>49.84</v>
      </c>
      <c r="O88" s="14">
        <v>49.84</v>
      </c>
      <c r="P88" s="14">
        <v>49.84</v>
      </c>
      <c r="Q88" s="14">
        <v>49.84</v>
      </c>
      <c r="R88" s="14">
        <v>49.84</v>
      </c>
      <c r="S88" s="14">
        <v>49.84</v>
      </c>
      <c r="T88" s="14">
        <v>49.84</v>
      </c>
      <c r="U88" s="14">
        <v>49.84</v>
      </c>
      <c r="V88" s="14">
        <v>49.84</v>
      </c>
      <c r="W88" s="14">
        <v>49.84</v>
      </c>
      <c r="X88" s="14">
        <v>49.84</v>
      </c>
      <c r="Y88" s="14">
        <v>49.84</v>
      </c>
      <c r="Z88" s="14">
        <v>49.84</v>
      </c>
      <c r="AA88" s="14">
        <v>49.84</v>
      </c>
      <c r="AF88" s="1">
        <f>AF87*1.343</f>
        <v>2184.2552000000001</v>
      </c>
    </row>
    <row r="89" spans="2:32" x14ac:dyDescent="0.3">
      <c r="B89" s="175"/>
      <c r="C89" s="129" t="s">
        <v>16</v>
      </c>
      <c r="D89" s="11">
        <v>19.260000000000002</v>
      </c>
      <c r="E89" s="12">
        <v>19.260000000000002</v>
      </c>
      <c r="F89" s="12">
        <v>19.260000000000002</v>
      </c>
      <c r="G89" s="12">
        <v>19.260000000000002</v>
      </c>
      <c r="H89" s="12">
        <v>19.260000000000002</v>
      </c>
      <c r="I89" s="12">
        <v>19.260000000000002</v>
      </c>
      <c r="J89" s="11">
        <v>19.260000000000002</v>
      </c>
      <c r="K89" s="12">
        <v>19.260000000000002</v>
      </c>
      <c r="L89" s="12">
        <v>19.260000000000002</v>
      </c>
      <c r="M89" s="12">
        <v>19.260000000000002</v>
      </c>
      <c r="N89" s="12">
        <v>19.260000000000002</v>
      </c>
      <c r="O89" s="12">
        <v>19.260000000000002</v>
      </c>
      <c r="P89" s="12">
        <v>19.260000000000002</v>
      </c>
      <c r="Q89" s="12">
        <v>19.260000000000002</v>
      </c>
      <c r="R89" s="12">
        <v>19.260000000000002</v>
      </c>
      <c r="S89" s="12">
        <v>19.260000000000002</v>
      </c>
      <c r="T89" s="12">
        <v>19.260000000000002</v>
      </c>
      <c r="U89" s="12">
        <v>19.260000000000002</v>
      </c>
      <c r="V89" s="12">
        <v>19.260000000000002</v>
      </c>
      <c r="W89" s="12">
        <v>19.260000000000002</v>
      </c>
      <c r="X89" s="12">
        <v>19.260000000000002</v>
      </c>
      <c r="Y89" s="12">
        <v>19.260000000000002</v>
      </c>
      <c r="Z89" s="12">
        <v>19.260000000000002</v>
      </c>
      <c r="AA89" s="12">
        <v>19.260000000000002</v>
      </c>
    </row>
    <row r="90" spans="2:32" x14ac:dyDescent="0.3">
      <c r="B90" s="175"/>
      <c r="C90" s="129" t="s">
        <v>17</v>
      </c>
      <c r="D90" s="15">
        <v>1292.96</v>
      </c>
      <c r="E90" s="16">
        <v>1292.96</v>
      </c>
      <c r="F90" s="16">
        <v>1292.96</v>
      </c>
      <c r="G90" s="16">
        <v>1292.96</v>
      </c>
      <c r="H90" s="16">
        <v>1292.96</v>
      </c>
      <c r="I90" s="16">
        <v>1292.96</v>
      </c>
      <c r="J90" s="15">
        <v>1292.96</v>
      </c>
      <c r="K90" s="16">
        <v>1292.96</v>
      </c>
      <c r="L90" s="16">
        <v>1292.96</v>
      </c>
      <c r="M90" s="16">
        <v>1292.96</v>
      </c>
      <c r="N90" s="16">
        <v>1292.96</v>
      </c>
      <c r="O90" s="16">
        <v>1292.96</v>
      </c>
      <c r="P90" s="16">
        <v>1292.96</v>
      </c>
      <c r="Q90" s="16">
        <v>1292.96</v>
      </c>
      <c r="R90" s="16">
        <v>1292.96</v>
      </c>
      <c r="S90" s="16">
        <v>1292.96</v>
      </c>
      <c r="T90" s="16">
        <v>1292.96</v>
      </c>
      <c r="U90" s="16">
        <v>1292.96</v>
      </c>
      <c r="V90" s="16">
        <v>1292.96</v>
      </c>
      <c r="W90" s="16">
        <v>1292.96</v>
      </c>
      <c r="X90" s="16">
        <v>1292.96</v>
      </c>
      <c r="Y90" s="16">
        <v>1292.96</v>
      </c>
      <c r="Z90" s="16">
        <v>1292.96</v>
      </c>
      <c r="AA90" s="16">
        <v>1292.96</v>
      </c>
    </row>
    <row r="91" spans="2:32" x14ac:dyDescent="0.3">
      <c r="B91" s="175"/>
      <c r="C91" s="129" t="s">
        <v>18</v>
      </c>
      <c r="D91" s="17">
        <v>83.39</v>
      </c>
      <c r="E91" s="18">
        <v>83.39</v>
      </c>
      <c r="F91" s="18">
        <v>83.39</v>
      </c>
      <c r="G91" s="18">
        <v>83.39</v>
      </c>
      <c r="H91" s="18">
        <v>83.39</v>
      </c>
      <c r="I91" s="18">
        <v>83.39</v>
      </c>
      <c r="J91" s="17">
        <v>83.39</v>
      </c>
      <c r="K91" s="18">
        <v>83.39</v>
      </c>
      <c r="L91" s="18">
        <v>83.39</v>
      </c>
      <c r="M91" s="18">
        <v>83.39</v>
      </c>
      <c r="N91" s="18">
        <v>83.39</v>
      </c>
      <c r="O91" s="18">
        <v>83.39</v>
      </c>
      <c r="P91" s="18">
        <v>83.39</v>
      </c>
      <c r="Q91" s="18">
        <v>83.39</v>
      </c>
      <c r="R91" s="18">
        <v>83.39</v>
      </c>
      <c r="S91" s="18">
        <v>83.39</v>
      </c>
      <c r="T91" s="18">
        <v>83.39</v>
      </c>
      <c r="U91" s="18">
        <v>83.39</v>
      </c>
      <c r="V91" s="18">
        <v>83.39</v>
      </c>
      <c r="W91" s="18">
        <v>83.39</v>
      </c>
      <c r="X91" s="18">
        <v>83.39</v>
      </c>
      <c r="Y91" s="18">
        <v>83.39</v>
      </c>
      <c r="Z91" s="18">
        <v>83.39</v>
      </c>
      <c r="AA91" s="18">
        <v>83.39</v>
      </c>
    </row>
    <row r="92" spans="2:32" x14ac:dyDescent="0.3">
      <c r="B92" s="175"/>
      <c r="C92" s="129" t="s">
        <v>19</v>
      </c>
      <c r="D92" s="15">
        <v>420.68</v>
      </c>
      <c r="E92" s="16">
        <v>420.68</v>
      </c>
      <c r="F92" s="16">
        <v>420.68</v>
      </c>
      <c r="G92" s="16">
        <v>420.68</v>
      </c>
      <c r="H92" s="16">
        <v>420.68</v>
      </c>
      <c r="I92" s="16">
        <v>420.68</v>
      </c>
      <c r="J92" s="15">
        <v>420.68</v>
      </c>
      <c r="K92" s="16">
        <v>420.68</v>
      </c>
      <c r="L92" s="16">
        <v>420.68</v>
      </c>
      <c r="M92" s="16">
        <v>420.68</v>
      </c>
      <c r="N92" s="16">
        <v>420.68</v>
      </c>
      <c r="O92" s="16">
        <v>420.68</v>
      </c>
      <c r="P92" s="16">
        <v>420.68</v>
      </c>
      <c r="Q92" s="16">
        <v>420.68</v>
      </c>
      <c r="R92" s="16">
        <v>420.68</v>
      </c>
      <c r="S92" s="16">
        <v>420.68</v>
      </c>
      <c r="T92" s="16">
        <v>420.68</v>
      </c>
      <c r="U92" s="16">
        <v>420.68</v>
      </c>
      <c r="V92" s="16">
        <v>420.68</v>
      </c>
      <c r="W92" s="16">
        <v>420.68</v>
      </c>
      <c r="X92" s="16">
        <v>420.68</v>
      </c>
      <c r="Y92" s="16">
        <v>420.68</v>
      </c>
      <c r="Z92" s="16">
        <v>420.68</v>
      </c>
      <c r="AA92" s="16">
        <v>420.68</v>
      </c>
    </row>
    <row r="93" spans="2:32" x14ac:dyDescent="0.3">
      <c r="B93" s="175"/>
      <c r="C93" s="130" t="s">
        <v>20</v>
      </c>
      <c r="D93" s="21">
        <v>251.44</v>
      </c>
      <c r="E93" s="22">
        <v>251.44</v>
      </c>
      <c r="F93" s="22">
        <v>251.44</v>
      </c>
      <c r="G93" s="22">
        <v>251.44</v>
      </c>
      <c r="H93" s="22">
        <v>251.44</v>
      </c>
      <c r="I93" s="22">
        <v>251.44</v>
      </c>
      <c r="J93" s="21">
        <v>251.44</v>
      </c>
      <c r="K93" s="22">
        <v>251.44</v>
      </c>
      <c r="L93" s="22">
        <v>251.44</v>
      </c>
      <c r="M93" s="22">
        <v>251.44</v>
      </c>
      <c r="N93" s="22">
        <v>251.44</v>
      </c>
      <c r="O93" s="22">
        <v>251.44</v>
      </c>
      <c r="P93" s="22">
        <v>251.44</v>
      </c>
      <c r="Q93" s="22">
        <v>251.44</v>
      </c>
      <c r="R93" s="22">
        <v>251.44</v>
      </c>
      <c r="S93" s="22">
        <v>251.44</v>
      </c>
      <c r="T93" s="22">
        <v>251.44</v>
      </c>
      <c r="U93" s="22">
        <v>251.44</v>
      </c>
      <c r="V93" s="22">
        <v>251.44</v>
      </c>
      <c r="W93" s="22">
        <v>251.44</v>
      </c>
      <c r="X93" s="22">
        <v>251.44</v>
      </c>
      <c r="Y93" s="22">
        <v>251.44</v>
      </c>
      <c r="Z93" s="22">
        <v>251.44</v>
      </c>
      <c r="AA93" s="22">
        <v>251.44</v>
      </c>
    </row>
    <row r="94" spans="2:32" x14ac:dyDescent="0.3">
      <c r="B94" s="175"/>
      <c r="C94" s="107"/>
      <c r="D94" s="107"/>
      <c r="E94" s="107"/>
      <c r="F94" s="107"/>
      <c r="G94" s="107"/>
      <c r="H94" s="107"/>
      <c r="I94" s="107"/>
      <c r="J94" s="107"/>
      <c r="K94" s="107"/>
      <c r="L94" s="107"/>
      <c r="M94" s="107"/>
      <c r="N94" s="107"/>
      <c r="O94" s="107"/>
      <c r="P94" s="107"/>
      <c r="Q94" s="107"/>
      <c r="R94" s="107"/>
      <c r="S94" s="107"/>
      <c r="T94" s="107"/>
      <c r="U94" s="107"/>
      <c r="V94" s="107"/>
      <c r="W94" s="107"/>
      <c r="X94" s="107"/>
      <c r="Y94" s="107"/>
      <c r="Z94" s="107"/>
      <c r="AA94" s="23"/>
    </row>
    <row r="95" spans="2:32" x14ac:dyDescent="0.3">
      <c r="B95" s="175"/>
      <c r="C95" s="129" t="s">
        <v>21</v>
      </c>
      <c r="D95" s="24">
        <v>0.27</v>
      </c>
      <c r="E95" s="24">
        <v>0.27</v>
      </c>
      <c r="F95" s="24">
        <v>0.27</v>
      </c>
      <c r="G95" s="24">
        <v>0.27</v>
      </c>
      <c r="H95" s="24">
        <v>0.27</v>
      </c>
      <c r="I95" s="24">
        <v>0.27</v>
      </c>
      <c r="J95" s="24">
        <v>0.27</v>
      </c>
      <c r="K95" s="24">
        <v>0.27</v>
      </c>
      <c r="L95" s="24">
        <v>0.27</v>
      </c>
      <c r="M95" s="24">
        <v>0.27</v>
      </c>
      <c r="N95" s="24">
        <v>0.27</v>
      </c>
      <c r="O95" s="24">
        <v>0.27</v>
      </c>
      <c r="P95" s="24">
        <v>0.27</v>
      </c>
      <c r="Q95" s="24">
        <v>0.27</v>
      </c>
      <c r="R95" s="24">
        <v>0.27</v>
      </c>
      <c r="S95" s="24">
        <v>0.27</v>
      </c>
      <c r="T95" s="24">
        <v>0.27</v>
      </c>
      <c r="U95" s="24">
        <v>0.27</v>
      </c>
      <c r="V95" s="24">
        <v>0.27</v>
      </c>
      <c r="W95" s="24">
        <v>0.27</v>
      </c>
      <c r="X95" s="24">
        <v>0.27</v>
      </c>
      <c r="Y95" s="24">
        <v>0.27</v>
      </c>
      <c r="Z95" s="24">
        <v>0.27</v>
      </c>
      <c r="AA95" s="24">
        <v>0.27</v>
      </c>
    </row>
    <row r="96" spans="2:32" x14ac:dyDescent="0.3">
      <c r="B96" s="175"/>
      <c r="C96" s="129" t="s">
        <v>22</v>
      </c>
      <c r="D96" s="25">
        <v>0.05</v>
      </c>
      <c r="E96" s="26">
        <v>0.05</v>
      </c>
      <c r="F96" s="26">
        <v>0.05</v>
      </c>
      <c r="G96" s="26">
        <v>0.05</v>
      </c>
      <c r="H96" s="26">
        <v>0.05</v>
      </c>
      <c r="I96" s="26">
        <v>0.05</v>
      </c>
      <c r="J96" s="25">
        <v>0.05</v>
      </c>
      <c r="K96" s="26">
        <v>0.05</v>
      </c>
      <c r="L96" s="26">
        <v>0.05</v>
      </c>
      <c r="M96" s="26">
        <v>0.05</v>
      </c>
      <c r="N96" s="26">
        <v>0.05</v>
      </c>
      <c r="O96" s="26">
        <v>0.05</v>
      </c>
      <c r="P96" s="26">
        <v>0.05</v>
      </c>
      <c r="Q96" s="26">
        <v>0.05</v>
      </c>
      <c r="R96" s="26">
        <v>0.05</v>
      </c>
      <c r="S96" s="26">
        <v>0.05</v>
      </c>
      <c r="T96" s="26">
        <v>0.05</v>
      </c>
      <c r="U96" s="26">
        <v>0.05</v>
      </c>
      <c r="V96" s="26">
        <v>0.05</v>
      </c>
      <c r="W96" s="26">
        <v>0.05</v>
      </c>
      <c r="X96" s="26">
        <v>0.05</v>
      </c>
      <c r="Y96" s="26">
        <v>0.05</v>
      </c>
      <c r="Z96" s="26">
        <v>0.05</v>
      </c>
      <c r="AA96" s="26">
        <v>0.05</v>
      </c>
    </row>
    <row r="97" spans="2:29" x14ac:dyDescent="0.3">
      <c r="B97" s="175"/>
      <c r="C97" s="107"/>
      <c r="D97" s="107"/>
      <c r="E97" s="107"/>
      <c r="F97" s="107"/>
      <c r="G97" s="107"/>
      <c r="H97" s="107"/>
      <c r="I97" s="107"/>
      <c r="J97" s="107"/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07"/>
      <c r="V97" s="107"/>
      <c r="W97" s="107"/>
      <c r="X97" s="107"/>
      <c r="Y97" s="107"/>
      <c r="Z97" s="107"/>
      <c r="AA97" s="23"/>
    </row>
    <row r="98" spans="2:29" x14ac:dyDescent="0.3">
      <c r="B98" s="175"/>
      <c r="C98" s="131" t="s">
        <v>23</v>
      </c>
      <c r="D98" s="27">
        <f>IF(D87="Azul",D76*D88*(1-D84),0)</f>
        <v>0</v>
      </c>
      <c r="E98" s="28">
        <f t="shared" ref="E98:O98" si="42">IF(E87="Azul",E76*E88*(1-E84),0)</f>
        <v>0</v>
      </c>
      <c r="F98" s="28">
        <f t="shared" si="42"/>
        <v>0</v>
      </c>
      <c r="G98" s="28">
        <f t="shared" si="42"/>
        <v>0</v>
      </c>
      <c r="H98" s="28">
        <f t="shared" si="42"/>
        <v>0</v>
      </c>
      <c r="I98" s="28">
        <f t="shared" si="42"/>
        <v>0</v>
      </c>
      <c r="J98" s="27">
        <f t="shared" si="42"/>
        <v>0</v>
      </c>
      <c r="K98" s="28">
        <f t="shared" si="42"/>
        <v>0</v>
      </c>
      <c r="L98" s="28">
        <f t="shared" si="42"/>
        <v>0</v>
      </c>
      <c r="M98" s="28">
        <f t="shared" si="42"/>
        <v>0</v>
      </c>
      <c r="N98" s="28">
        <f t="shared" si="42"/>
        <v>0</v>
      </c>
      <c r="O98" s="28">
        <f t="shared" si="42"/>
        <v>0</v>
      </c>
      <c r="P98" s="27">
        <f>IF(P87="Azul",P76*P88*(1-P84),0)</f>
        <v>0</v>
      </c>
      <c r="Q98" s="28">
        <f t="shared" ref="Q98:AA98" si="43">IF(Q87="Azul",Q76*Q88*(1-Q84),0)</f>
        <v>0</v>
      </c>
      <c r="R98" s="28">
        <f t="shared" si="43"/>
        <v>0</v>
      </c>
      <c r="S98" s="28">
        <f t="shared" si="43"/>
        <v>0</v>
      </c>
      <c r="T98" s="28">
        <f t="shared" si="43"/>
        <v>0</v>
      </c>
      <c r="U98" s="28">
        <f t="shared" si="43"/>
        <v>0</v>
      </c>
      <c r="V98" s="28">
        <f t="shared" si="43"/>
        <v>0</v>
      </c>
      <c r="W98" s="28">
        <f t="shared" si="43"/>
        <v>0</v>
      </c>
      <c r="X98" s="28">
        <f t="shared" si="43"/>
        <v>0</v>
      </c>
      <c r="Y98" s="28">
        <f t="shared" si="43"/>
        <v>0</v>
      </c>
      <c r="Z98" s="28">
        <f t="shared" si="43"/>
        <v>0</v>
      </c>
      <c r="AA98" s="28">
        <f t="shared" si="43"/>
        <v>0</v>
      </c>
    </row>
    <row r="99" spans="2:29" x14ac:dyDescent="0.3">
      <c r="B99" s="175"/>
      <c r="C99" s="131" t="s">
        <v>24</v>
      </c>
      <c r="D99" s="29">
        <f>D78*D88*2</f>
        <v>0</v>
      </c>
      <c r="E99" s="30">
        <f t="shared" ref="E99:O99" si="44">E78*E88*2</f>
        <v>0</v>
      </c>
      <c r="F99" s="30">
        <f t="shared" si="44"/>
        <v>0</v>
      </c>
      <c r="G99" s="30">
        <f t="shared" si="44"/>
        <v>0</v>
      </c>
      <c r="H99" s="30">
        <f t="shared" si="44"/>
        <v>0</v>
      </c>
      <c r="I99" s="30">
        <f t="shared" si="44"/>
        <v>0</v>
      </c>
      <c r="J99" s="29">
        <f t="shared" si="44"/>
        <v>0</v>
      </c>
      <c r="K99" s="30">
        <f t="shared" si="44"/>
        <v>0</v>
      </c>
      <c r="L99" s="30">
        <f t="shared" si="44"/>
        <v>0</v>
      </c>
      <c r="M99" s="30">
        <f t="shared" si="44"/>
        <v>0</v>
      </c>
      <c r="N99" s="30">
        <f t="shared" si="44"/>
        <v>0</v>
      </c>
      <c r="O99" s="30">
        <f t="shared" si="44"/>
        <v>0</v>
      </c>
      <c r="P99" s="29">
        <f>P78*P88*2</f>
        <v>0</v>
      </c>
      <c r="Q99" s="30">
        <f t="shared" ref="Q99:AA99" si="45">Q78*Q88*2</f>
        <v>0</v>
      </c>
      <c r="R99" s="30">
        <f t="shared" si="45"/>
        <v>0</v>
      </c>
      <c r="S99" s="30">
        <f t="shared" si="45"/>
        <v>0</v>
      </c>
      <c r="T99" s="30">
        <f t="shared" si="45"/>
        <v>0</v>
      </c>
      <c r="U99" s="30">
        <f t="shared" si="45"/>
        <v>0</v>
      </c>
      <c r="V99" s="30">
        <f t="shared" si="45"/>
        <v>0</v>
      </c>
      <c r="W99" s="30">
        <f t="shared" si="45"/>
        <v>0</v>
      </c>
      <c r="X99" s="30">
        <f t="shared" si="45"/>
        <v>0</v>
      </c>
      <c r="Y99" s="30">
        <f t="shared" si="45"/>
        <v>0</v>
      </c>
      <c r="Z99" s="30">
        <f t="shared" si="45"/>
        <v>0</v>
      </c>
      <c r="AA99" s="30">
        <f t="shared" si="45"/>
        <v>0</v>
      </c>
    </row>
    <row r="100" spans="2:29" x14ac:dyDescent="0.3">
      <c r="B100" s="175"/>
      <c r="C100" s="131" t="s">
        <v>25</v>
      </c>
      <c r="D100" s="31">
        <f>D77*D89*(1-D84)</f>
        <v>6789.1500000000005</v>
      </c>
      <c r="E100" s="32">
        <f t="shared" ref="E100:O100" si="46">E77*E89*(1-E84)</f>
        <v>6789.1500000000005</v>
      </c>
      <c r="F100" s="32">
        <f t="shared" si="46"/>
        <v>6789.1500000000005</v>
      </c>
      <c r="G100" s="32">
        <f t="shared" si="46"/>
        <v>6789.1500000000005</v>
      </c>
      <c r="H100" s="32">
        <f t="shared" si="46"/>
        <v>6789.1500000000005</v>
      </c>
      <c r="I100" s="32">
        <f t="shared" si="46"/>
        <v>6789.1500000000005</v>
      </c>
      <c r="J100" s="31">
        <f t="shared" si="46"/>
        <v>6789.1500000000005</v>
      </c>
      <c r="K100" s="32">
        <f t="shared" si="46"/>
        <v>6789.1500000000005</v>
      </c>
      <c r="L100" s="32">
        <f t="shared" si="46"/>
        <v>6789.1500000000005</v>
      </c>
      <c r="M100" s="32">
        <f t="shared" si="46"/>
        <v>6789.1500000000005</v>
      </c>
      <c r="N100" s="32">
        <f t="shared" si="46"/>
        <v>6789.1500000000005</v>
      </c>
      <c r="O100" s="32">
        <f t="shared" si="46"/>
        <v>6789.1500000000005</v>
      </c>
      <c r="P100" s="31">
        <f>P77*P89*(1-P84)</f>
        <v>6789.1500000000005</v>
      </c>
      <c r="Q100" s="32">
        <f t="shared" ref="Q100:AA100" si="47">Q77*Q89*(1-Q84)</f>
        <v>6789.1500000000005</v>
      </c>
      <c r="R100" s="32">
        <f t="shared" si="47"/>
        <v>6789.1500000000005</v>
      </c>
      <c r="S100" s="32">
        <f t="shared" si="47"/>
        <v>6789.1500000000005</v>
      </c>
      <c r="T100" s="32">
        <f t="shared" si="47"/>
        <v>6789.1500000000005</v>
      </c>
      <c r="U100" s="32">
        <f t="shared" si="47"/>
        <v>6789.1500000000005</v>
      </c>
      <c r="V100" s="32">
        <f t="shared" si="47"/>
        <v>6789.1500000000005</v>
      </c>
      <c r="W100" s="32">
        <f t="shared" si="47"/>
        <v>6789.1500000000005</v>
      </c>
      <c r="X100" s="32">
        <f t="shared" si="47"/>
        <v>6789.1500000000005</v>
      </c>
      <c r="Y100" s="32">
        <f t="shared" si="47"/>
        <v>6789.1500000000005</v>
      </c>
      <c r="Z100" s="32">
        <f t="shared" si="47"/>
        <v>6789.1500000000005</v>
      </c>
      <c r="AA100" s="32">
        <f t="shared" si="47"/>
        <v>6789.1500000000005</v>
      </c>
    </row>
    <row r="101" spans="2:29" x14ac:dyDescent="0.3">
      <c r="B101" s="175"/>
      <c r="C101" s="131" t="s">
        <v>26</v>
      </c>
      <c r="D101" s="29">
        <f>D79*D89*2</f>
        <v>0</v>
      </c>
      <c r="E101" s="30">
        <f t="shared" ref="E101:O101" si="48">E79*E89*2</f>
        <v>1964.5200000000002</v>
      </c>
      <c r="F101" s="30">
        <f t="shared" si="48"/>
        <v>1479.1679999999992</v>
      </c>
      <c r="G101" s="30">
        <f t="shared" si="48"/>
        <v>1479.1679999999992</v>
      </c>
      <c r="H101" s="30">
        <f t="shared" si="48"/>
        <v>1640.9520000000009</v>
      </c>
      <c r="I101" s="30">
        <f t="shared" si="48"/>
        <v>0</v>
      </c>
      <c r="J101" s="29">
        <f t="shared" si="48"/>
        <v>0</v>
      </c>
      <c r="K101" s="30">
        <f t="shared" si="48"/>
        <v>0</v>
      </c>
      <c r="L101" s="30">
        <f t="shared" si="48"/>
        <v>3582.36</v>
      </c>
      <c r="M101" s="30">
        <f t="shared" si="48"/>
        <v>8112.3120000000017</v>
      </c>
      <c r="N101" s="30">
        <f t="shared" si="48"/>
        <v>2611.6559999999986</v>
      </c>
      <c r="O101" s="30">
        <f t="shared" si="48"/>
        <v>5038.4159999999983</v>
      </c>
      <c r="P101" s="29">
        <f>P79*P89*2</f>
        <v>4553.0640000000021</v>
      </c>
      <c r="Q101" s="30">
        <f t="shared" ref="Q101:AA101" si="49">Q79*Q89*2</f>
        <v>2935.224000000002</v>
      </c>
      <c r="R101" s="30">
        <f t="shared" si="49"/>
        <v>3582.36</v>
      </c>
      <c r="S101" s="30">
        <f t="shared" si="49"/>
        <v>5523.7679999999991</v>
      </c>
      <c r="T101" s="30">
        <f t="shared" si="49"/>
        <v>2126.3040000000019</v>
      </c>
      <c r="U101" s="30">
        <f t="shared" si="49"/>
        <v>0</v>
      </c>
      <c r="V101" s="30">
        <f t="shared" si="49"/>
        <v>0</v>
      </c>
      <c r="W101" s="30">
        <f t="shared" si="49"/>
        <v>0</v>
      </c>
      <c r="X101" s="30">
        <f t="shared" si="49"/>
        <v>5361.9840000000022</v>
      </c>
      <c r="Y101" s="30">
        <f t="shared" si="49"/>
        <v>6818.0400000000009</v>
      </c>
      <c r="Z101" s="30">
        <f t="shared" si="49"/>
        <v>4876.6320000000014</v>
      </c>
      <c r="AA101" s="30">
        <f t="shared" si="49"/>
        <v>3258.7920000000013</v>
      </c>
    </row>
    <row r="102" spans="2:29" x14ac:dyDescent="0.3">
      <c r="B102" s="175"/>
      <c r="C102" s="131" t="s">
        <v>27</v>
      </c>
      <c r="D102" s="31">
        <f>IF(D87="Azul",D80*D91,D80*((D90-D91)*(1-D84)+D91))</f>
        <v>10694.239499999998</v>
      </c>
      <c r="E102" s="32">
        <f t="shared" ref="E102:O102" si="50">IF(E87="Azul",E80*E91,E80*((E90-E91)*(1-E84)+E91))</f>
        <v>12139.406999999999</v>
      </c>
      <c r="F102" s="32">
        <f t="shared" si="50"/>
        <v>13873.607999999998</v>
      </c>
      <c r="G102" s="32">
        <f t="shared" si="50"/>
        <v>15318.7755</v>
      </c>
      <c r="H102" s="32">
        <f t="shared" si="50"/>
        <v>15318.7755</v>
      </c>
      <c r="I102" s="32">
        <f t="shared" si="50"/>
        <v>10983.272999999999</v>
      </c>
      <c r="J102" s="31">
        <f t="shared" si="50"/>
        <v>13295.540999999999</v>
      </c>
      <c r="K102" s="32">
        <f t="shared" si="50"/>
        <v>13006.507499999998</v>
      </c>
      <c r="L102" s="32">
        <f t="shared" si="50"/>
        <v>14740.708500000001</v>
      </c>
      <c r="M102" s="32">
        <f t="shared" si="50"/>
        <v>21099.445499999998</v>
      </c>
      <c r="N102" s="32">
        <f t="shared" si="50"/>
        <v>14162.641499999998</v>
      </c>
      <c r="O102" s="32">
        <f t="shared" si="50"/>
        <v>17920.076999999997</v>
      </c>
      <c r="P102" s="31">
        <f>IF(P87="Azul",P80*P91,P80*((P90-P91)*(1-P84)+P91))</f>
        <v>12139.406999999999</v>
      </c>
      <c r="Q102" s="32">
        <f t="shared" ref="Q102:AA102" si="51">IF(Q87="Azul",Q80*Q91,Q80*((Q90-Q91)*(1-Q84)+Q91))</f>
        <v>8092.9379999999992</v>
      </c>
      <c r="R102" s="32">
        <f t="shared" si="51"/>
        <v>15607.808999999999</v>
      </c>
      <c r="S102" s="32">
        <f t="shared" si="51"/>
        <v>21677.512499999997</v>
      </c>
      <c r="T102" s="32">
        <f t="shared" si="51"/>
        <v>15607.808999999999</v>
      </c>
      <c r="U102" s="32">
        <f t="shared" si="51"/>
        <v>16185.875999999998</v>
      </c>
      <c r="V102" s="32">
        <f t="shared" si="51"/>
        <v>15896.842500000001</v>
      </c>
      <c r="W102" s="32">
        <f t="shared" si="51"/>
        <v>17052.976500000001</v>
      </c>
      <c r="X102" s="32">
        <f t="shared" si="51"/>
        <v>18209.110499999999</v>
      </c>
      <c r="Y102" s="32">
        <f t="shared" si="51"/>
        <v>14162.641499999998</v>
      </c>
      <c r="Z102" s="32">
        <f t="shared" si="51"/>
        <v>20232.344999999998</v>
      </c>
      <c r="AA102" s="32">
        <f t="shared" si="51"/>
        <v>16185.875999999998</v>
      </c>
    </row>
    <row r="103" spans="2:29" x14ac:dyDescent="0.3">
      <c r="B103" s="175"/>
      <c r="C103" s="132" t="s">
        <v>28</v>
      </c>
      <c r="D103" s="33">
        <f>D81*D91</f>
        <v>10717.282800000001</v>
      </c>
      <c r="E103" s="34">
        <f t="shared" ref="E103:O103" si="52">E81*E91</f>
        <v>12678.615599999999</v>
      </c>
      <c r="F103" s="34">
        <f t="shared" si="52"/>
        <v>12748.663199999999</v>
      </c>
      <c r="G103" s="34">
        <f t="shared" si="52"/>
        <v>13764.3534</v>
      </c>
      <c r="H103" s="34">
        <f t="shared" si="52"/>
        <v>13379.0916</v>
      </c>
      <c r="I103" s="34">
        <f t="shared" si="52"/>
        <v>10191.925799999999</v>
      </c>
      <c r="J103" s="33">
        <f t="shared" si="52"/>
        <v>10507.14</v>
      </c>
      <c r="K103" s="34">
        <f t="shared" si="52"/>
        <v>10717.282800000001</v>
      </c>
      <c r="L103" s="34">
        <f t="shared" si="52"/>
        <v>11803.0206</v>
      </c>
      <c r="M103" s="34">
        <f t="shared" si="52"/>
        <v>16531.2336</v>
      </c>
      <c r="N103" s="34">
        <f t="shared" si="52"/>
        <v>14044.543799999999</v>
      </c>
      <c r="O103" s="34">
        <f t="shared" si="52"/>
        <v>15375.448199999999</v>
      </c>
      <c r="P103" s="33">
        <f>P81*P91</f>
        <v>12153.258600000001</v>
      </c>
      <c r="Q103" s="34">
        <f t="shared" ref="Q103:AA103" si="53">Q81*Q91</f>
        <v>10367.0448</v>
      </c>
      <c r="R103" s="34">
        <f t="shared" si="53"/>
        <v>13659.282000000001</v>
      </c>
      <c r="S103" s="34">
        <f t="shared" si="53"/>
        <v>16986.542999999998</v>
      </c>
      <c r="T103" s="34">
        <f t="shared" si="53"/>
        <v>14709.996000000001</v>
      </c>
      <c r="U103" s="34">
        <f t="shared" si="53"/>
        <v>12678.615599999999</v>
      </c>
      <c r="V103" s="34">
        <f t="shared" si="53"/>
        <v>11978.139599999999</v>
      </c>
      <c r="W103" s="34">
        <f t="shared" si="53"/>
        <v>11838.044400000001</v>
      </c>
      <c r="X103" s="34">
        <f t="shared" si="53"/>
        <v>15130.2816</v>
      </c>
      <c r="Y103" s="34">
        <f t="shared" si="53"/>
        <v>13414.115400000001</v>
      </c>
      <c r="Z103" s="34">
        <f t="shared" si="53"/>
        <v>16461.186000000002</v>
      </c>
      <c r="AA103" s="34">
        <f t="shared" si="53"/>
        <v>14289.710400000002</v>
      </c>
    </row>
    <row r="104" spans="2:29" x14ac:dyDescent="0.3">
      <c r="B104" s="175"/>
      <c r="C104" s="131" t="s">
        <v>29</v>
      </c>
      <c r="D104" s="27">
        <f>SUM(D98:D103)</f>
        <v>28200.672299999998</v>
      </c>
      <c r="E104" s="28">
        <f>SUM(E98:E103)</f>
        <v>33571.692599999995</v>
      </c>
      <c r="F104" s="28">
        <f>SUM(F98:F103)</f>
        <v>34890.589200000002</v>
      </c>
      <c r="G104" s="28">
        <f t="shared" ref="G104:O104" si="54">SUM(G98:G103)</f>
        <v>37351.446899999995</v>
      </c>
      <c r="H104" s="28">
        <f t="shared" si="54"/>
        <v>37127.969100000002</v>
      </c>
      <c r="I104" s="28">
        <f t="shared" si="54"/>
        <v>27964.3488</v>
      </c>
      <c r="J104" s="27">
        <f t="shared" si="54"/>
        <v>30591.830999999998</v>
      </c>
      <c r="K104" s="28">
        <f t="shared" si="54"/>
        <v>30512.940299999998</v>
      </c>
      <c r="L104" s="28">
        <f t="shared" si="54"/>
        <v>36915.239100000006</v>
      </c>
      <c r="M104" s="28">
        <f t="shared" si="54"/>
        <v>52532.141100000001</v>
      </c>
      <c r="N104" s="28">
        <f t="shared" si="54"/>
        <v>37607.991299999994</v>
      </c>
      <c r="O104" s="28">
        <f t="shared" si="54"/>
        <v>45123.091199999995</v>
      </c>
      <c r="P104" s="27">
        <f>SUM(P98:P103)</f>
        <v>35634.8796</v>
      </c>
      <c r="Q104" s="28">
        <f t="shared" ref="Q104:AA104" si="55">SUM(Q98:Q103)</f>
        <v>28184.356800000001</v>
      </c>
      <c r="R104" s="28">
        <f t="shared" si="55"/>
        <v>39638.601000000002</v>
      </c>
      <c r="S104" s="28">
        <f t="shared" si="55"/>
        <v>50976.973499999993</v>
      </c>
      <c r="T104" s="28">
        <f t="shared" si="55"/>
        <v>39233.258999999998</v>
      </c>
      <c r="U104" s="28">
        <f t="shared" si="55"/>
        <v>35653.641599999995</v>
      </c>
      <c r="V104" s="28">
        <f t="shared" si="55"/>
        <v>34664.132100000003</v>
      </c>
      <c r="W104" s="28">
        <f t="shared" si="55"/>
        <v>35680.170900000005</v>
      </c>
      <c r="X104" s="28">
        <f t="shared" si="55"/>
        <v>45490.526100000003</v>
      </c>
      <c r="Y104" s="28">
        <f t="shared" si="55"/>
        <v>41183.946900000003</v>
      </c>
      <c r="Z104" s="28">
        <f t="shared" si="55"/>
        <v>48359.313000000002</v>
      </c>
      <c r="AA104" s="28">
        <f t="shared" si="55"/>
        <v>40523.528400000003</v>
      </c>
    </row>
    <row r="105" spans="2:29" x14ac:dyDescent="0.3">
      <c r="B105" s="175"/>
      <c r="C105" s="193" t="s">
        <v>30</v>
      </c>
      <c r="D105" s="35">
        <f>D104/(1-SUM(D95:D96))*SUM(D95:D96)+((D108+D109+D107)/(1-SUM(D95:D96)))*SUM(D95:D96)</f>
        <v>20888.555858823533</v>
      </c>
      <c r="E105" s="35">
        <f t="shared" ref="E105:AA105" si="56">E104/(1-SUM(E95:E96))*SUM(E95:E96)+((E108+E109+E107)/(1-SUM(E95:E96)))*SUM(E95:E96)</f>
        <v>24013.764705882357</v>
      </c>
      <c r="F105" s="35">
        <f t="shared" si="56"/>
        <v>25351.625788235302</v>
      </c>
      <c r="G105" s="35">
        <f t="shared" si="56"/>
        <v>27107.346352941175</v>
      </c>
      <c r="H105" s="35">
        <f t="shared" si="56"/>
        <v>27002.180329411771</v>
      </c>
      <c r="I105" s="35">
        <f t="shared" si="56"/>
        <v>20896.878776470588</v>
      </c>
      <c r="J105" s="35">
        <f t="shared" si="56"/>
        <v>23089.612800000003</v>
      </c>
      <c r="K105" s="36">
        <f t="shared" si="56"/>
        <v>22932.953788235296</v>
      </c>
      <c r="L105" s="36">
        <f t="shared" si="56"/>
        <v>26663.004141176476</v>
      </c>
      <c r="M105" s="36">
        <f t="shared" si="56"/>
        <v>36641.881976470591</v>
      </c>
      <c r="N105" s="36">
        <f t="shared" si="56"/>
        <v>26749.937223529414</v>
      </c>
      <c r="O105" s="36">
        <f t="shared" si="56"/>
        <v>31840.396517647067</v>
      </c>
      <c r="P105" s="35">
        <f t="shared" si="56"/>
        <v>24984.676235294122</v>
      </c>
      <c r="Q105" s="36">
        <f t="shared" si="56"/>
        <v>19805.072188235295</v>
      </c>
      <c r="R105" s="36">
        <f t="shared" si="56"/>
        <v>28303.188141176473</v>
      </c>
      <c r="S105" s="36">
        <f t="shared" si="56"/>
        <v>36149.106352941177</v>
      </c>
      <c r="T105" s="36">
        <f t="shared" si="56"/>
        <v>28112.438964705885</v>
      </c>
      <c r="U105" s="36">
        <f t="shared" si="56"/>
        <v>26666.981082352941</v>
      </c>
      <c r="V105" s="36">
        <f t="shared" si="56"/>
        <v>26081.795576470591</v>
      </c>
      <c r="W105" s="36">
        <f t="shared" si="56"/>
        <v>27038.0673882353</v>
      </c>
      <c r="X105" s="36">
        <f t="shared" si="56"/>
        <v>32132.841035294121</v>
      </c>
      <c r="Y105" s="36">
        <f t="shared" si="56"/>
        <v>28432.739858823537</v>
      </c>
      <c r="Z105" s="36">
        <f t="shared" si="56"/>
        <v>34319.596235294121</v>
      </c>
      <c r="AA105" s="36">
        <f t="shared" si="56"/>
        <v>28958.692517647061</v>
      </c>
    </row>
    <row r="106" spans="2:29" x14ac:dyDescent="0.3">
      <c r="B106" s="175"/>
      <c r="C106" s="107"/>
      <c r="D106" s="107"/>
      <c r="E106" s="107"/>
      <c r="F106" s="107"/>
      <c r="G106" s="107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  <c r="S106" s="107"/>
      <c r="T106" s="107"/>
      <c r="U106" s="107"/>
      <c r="V106" s="107"/>
      <c r="W106" s="107"/>
      <c r="X106" s="107"/>
      <c r="Y106" s="107"/>
      <c r="Z106" s="107"/>
      <c r="AA106" s="37"/>
    </row>
    <row r="107" spans="2:29" x14ac:dyDescent="0.3">
      <c r="B107" s="175"/>
      <c r="C107" s="131" t="s">
        <v>31</v>
      </c>
      <c r="D107" s="9">
        <f>IF(D87="Azul",D76*D88*(D84),0)</f>
        <v>0</v>
      </c>
      <c r="E107" s="10">
        <f t="shared" ref="E107:O107" si="57">IF(E87="Azul",E76*E88*(E84),0)</f>
        <v>0</v>
      </c>
      <c r="F107" s="10">
        <f t="shared" si="57"/>
        <v>0</v>
      </c>
      <c r="G107" s="10">
        <f t="shared" si="57"/>
        <v>0</v>
      </c>
      <c r="H107" s="10">
        <f t="shared" si="57"/>
        <v>0</v>
      </c>
      <c r="I107" s="10">
        <f t="shared" si="57"/>
        <v>0</v>
      </c>
      <c r="J107" s="9">
        <f t="shared" si="57"/>
        <v>0</v>
      </c>
      <c r="K107" s="10">
        <f t="shared" si="57"/>
        <v>0</v>
      </c>
      <c r="L107" s="10">
        <f t="shared" si="57"/>
        <v>0</v>
      </c>
      <c r="M107" s="10">
        <f t="shared" si="57"/>
        <v>0</v>
      </c>
      <c r="N107" s="10">
        <f t="shared" si="57"/>
        <v>0</v>
      </c>
      <c r="O107" s="10">
        <f t="shared" si="57"/>
        <v>0</v>
      </c>
      <c r="P107" s="10">
        <f>IF(P87="Azul",P76*P88*(P84),0)</f>
        <v>0</v>
      </c>
      <c r="Q107" s="10">
        <f t="shared" ref="Q107:AA107" si="58">IF(Q87="Azul",Q76*Q88*(Q84),0)</f>
        <v>0</v>
      </c>
      <c r="R107" s="10">
        <f t="shared" si="58"/>
        <v>0</v>
      </c>
      <c r="S107" s="10">
        <f t="shared" si="58"/>
        <v>0</v>
      </c>
      <c r="T107" s="10">
        <f t="shared" si="58"/>
        <v>0</v>
      </c>
      <c r="U107" s="10">
        <f t="shared" si="58"/>
        <v>0</v>
      </c>
      <c r="V107" s="10">
        <f t="shared" si="58"/>
        <v>0</v>
      </c>
      <c r="W107" s="10">
        <f t="shared" si="58"/>
        <v>0</v>
      </c>
      <c r="X107" s="10">
        <f t="shared" si="58"/>
        <v>0</v>
      </c>
      <c r="Y107" s="10">
        <f t="shared" si="58"/>
        <v>0</v>
      </c>
      <c r="Z107" s="10">
        <f t="shared" si="58"/>
        <v>0</v>
      </c>
      <c r="AA107" s="10">
        <f t="shared" si="58"/>
        <v>0</v>
      </c>
    </row>
    <row r="108" spans="2:29" x14ac:dyDescent="0.3">
      <c r="B108" s="175"/>
      <c r="C108" s="131" t="s">
        <v>32</v>
      </c>
      <c r="D108" s="11">
        <f>D77*D89*(D84)</f>
        <v>6789.1500000000005</v>
      </c>
      <c r="E108" s="12">
        <f t="shared" ref="E108:O108" si="59">E77*E89*(E84)</f>
        <v>6789.1500000000005</v>
      </c>
      <c r="F108" s="12">
        <f t="shared" si="59"/>
        <v>6789.1500000000005</v>
      </c>
      <c r="G108" s="12">
        <f t="shared" si="59"/>
        <v>6789.1500000000005</v>
      </c>
      <c r="H108" s="12">
        <f t="shared" si="59"/>
        <v>6789.1500000000005</v>
      </c>
      <c r="I108" s="12">
        <f t="shared" si="59"/>
        <v>6789.1500000000005</v>
      </c>
      <c r="J108" s="11">
        <f t="shared" si="59"/>
        <v>6789.1500000000005</v>
      </c>
      <c r="K108" s="12">
        <f t="shared" si="59"/>
        <v>6789.1500000000005</v>
      </c>
      <c r="L108" s="12">
        <f t="shared" si="59"/>
        <v>6789.1500000000005</v>
      </c>
      <c r="M108" s="12">
        <f t="shared" si="59"/>
        <v>6789.1500000000005</v>
      </c>
      <c r="N108" s="12">
        <f t="shared" si="59"/>
        <v>6789.1500000000005</v>
      </c>
      <c r="O108" s="12">
        <f t="shared" si="59"/>
        <v>6789.1500000000005</v>
      </c>
      <c r="P108" s="12">
        <f>P77*P89*(P84)</f>
        <v>6789.1500000000005</v>
      </c>
      <c r="Q108" s="12">
        <f t="shared" ref="Q108:AA108" si="60">Q77*Q89*(Q84)</f>
        <v>6789.1500000000005</v>
      </c>
      <c r="R108" s="12">
        <f t="shared" si="60"/>
        <v>6789.1500000000005</v>
      </c>
      <c r="S108" s="12">
        <f t="shared" si="60"/>
        <v>6789.1500000000005</v>
      </c>
      <c r="T108" s="12">
        <f t="shared" si="60"/>
        <v>6789.1500000000005</v>
      </c>
      <c r="U108" s="12">
        <f t="shared" si="60"/>
        <v>6789.1500000000005</v>
      </c>
      <c r="V108" s="12">
        <f t="shared" si="60"/>
        <v>6789.1500000000005</v>
      </c>
      <c r="W108" s="12">
        <f t="shared" si="60"/>
        <v>6789.1500000000005</v>
      </c>
      <c r="X108" s="12">
        <f t="shared" si="60"/>
        <v>6789.1500000000005</v>
      </c>
      <c r="Y108" s="12">
        <f t="shared" si="60"/>
        <v>6789.1500000000005</v>
      </c>
      <c r="Z108" s="12">
        <f t="shared" si="60"/>
        <v>6789.1500000000005</v>
      </c>
      <c r="AA108" s="12">
        <f t="shared" si="60"/>
        <v>6789.1500000000005</v>
      </c>
    </row>
    <row r="109" spans="2:29" x14ac:dyDescent="0.3">
      <c r="B109" s="175"/>
      <c r="C109" s="129" t="s">
        <v>33</v>
      </c>
      <c r="D109" s="19">
        <f>IF(D87="Verde",D80*(D90-D91)*(1-D84),0)</f>
        <v>9398.3588999999993</v>
      </c>
      <c r="E109" s="20">
        <f t="shared" ref="E109:O109" si="61">IF(E87="Verde",E80*(E90-E91)*(1-E84),0)</f>
        <v>10668.4074</v>
      </c>
      <c r="F109" s="20">
        <f t="shared" si="61"/>
        <v>12192.4656</v>
      </c>
      <c r="G109" s="20">
        <f t="shared" si="61"/>
        <v>13462.5141</v>
      </c>
      <c r="H109" s="20">
        <f t="shared" si="61"/>
        <v>13462.5141</v>
      </c>
      <c r="I109" s="20">
        <f t="shared" si="61"/>
        <v>9652.3685999999998</v>
      </c>
      <c r="J109" s="19">
        <f t="shared" si="61"/>
        <v>11684.4462</v>
      </c>
      <c r="K109" s="20">
        <f t="shared" si="61"/>
        <v>11430.436499999998</v>
      </c>
      <c r="L109" s="20">
        <f t="shared" si="61"/>
        <v>12954.494700000001</v>
      </c>
      <c r="M109" s="20">
        <f t="shared" si="61"/>
        <v>18542.7081</v>
      </c>
      <c r="N109" s="20">
        <f t="shared" si="61"/>
        <v>12446.475299999998</v>
      </c>
      <c r="O109" s="20">
        <f t="shared" si="61"/>
        <v>15748.6014</v>
      </c>
      <c r="P109" s="20">
        <f>IF(P87="Verde",P80*(P90-P91)*(1-P84),0)</f>
        <v>10668.4074</v>
      </c>
      <c r="Q109" s="20">
        <f t="shared" ref="Q109:AA109" si="62">IF(Q87="Verde",Q80*(Q90-Q91)*(1-Q84),0)</f>
        <v>7112.2715999999991</v>
      </c>
      <c r="R109" s="20">
        <f t="shared" si="62"/>
        <v>13716.523799999999</v>
      </c>
      <c r="S109" s="20">
        <f t="shared" si="62"/>
        <v>19050.727499999997</v>
      </c>
      <c r="T109" s="20">
        <f t="shared" si="62"/>
        <v>13716.523799999999</v>
      </c>
      <c r="U109" s="20">
        <f t="shared" si="62"/>
        <v>14224.543199999998</v>
      </c>
      <c r="V109" s="20">
        <f t="shared" si="62"/>
        <v>13970.5335</v>
      </c>
      <c r="W109" s="20">
        <f t="shared" si="62"/>
        <v>14986.5723</v>
      </c>
      <c r="X109" s="20">
        <f t="shared" si="62"/>
        <v>16002.6111</v>
      </c>
      <c r="Y109" s="20">
        <f t="shared" si="62"/>
        <v>12446.475299999998</v>
      </c>
      <c r="Z109" s="20">
        <f t="shared" si="62"/>
        <v>17780.678999999996</v>
      </c>
      <c r="AA109" s="20">
        <f t="shared" si="62"/>
        <v>14224.543199999998</v>
      </c>
      <c r="AC109" s="92"/>
    </row>
    <row r="110" spans="2:29" x14ac:dyDescent="0.3">
      <c r="B110" s="175"/>
      <c r="C110" s="109"/>
      <c r="D110" s="109"/>
      <c r="E110" s="109"/>
      <c r="F110" s="109"/>
      <c r="G110" s="109"/>
      <c r="H110" s="109"/>
      <c r="I110" s="109"/>
      <c r="J110" s="109"/>
      <c r="K110" s="109"/>
      <c r="L110" s="109"/>
      <c r="M110" s="109"/>
      <c r="N110" s="109"/>
      <c r="O110" s="109"/>
      <c r="P110" s="109"/>
      <c r="Q110" s="109"/>
      <c r="R110" s="109"/>
      <c r="S110" s="109"/>
      <c r="T110" s="109"/>
      <c r="U110" s="109"/>
      <c r="V110" s="109"/>
      <c r="W110" s="109"/>
      <c r="X110" s="109"/>
      <c r="Y110" s="109"/>
      <c r="Z110" s="109"/>
      <c r="AA110" s="38"/>
    </row>
    <row r="111" spans="2:29" x14ac:dyDescent="0.3">
      <c r="B111" s="175"/>
      <c r="C111" s="129" t="s">
        <v>34</v>
      </c>
      <c r="D111" s="98">
        <f>SUM(D80:D81)/D72</f>
        <v>0.19362903225806452</v>
      </c>
      <c r="E111" s="98">
        <f t="shared" ref="E111:O111" si="63">SUM(E80:E81)/E72</f>
        <v>0.24379310344827587</v>
      </c>
      <c r="F111" s="98">
        <f t="shared" si="63"/>
        <v>0.23258064516129032</v>
      </c>
      <c r="G111" s="98">
        <f t="shared" si="63"/>
        <v>0.26016666666666666</v>
      </c>
      <c r="H111" s="98">
        <f t="shared" si="63"/>
        <v>0.24556451612903224</v>
      </c>
      <c r="I111" s="98">
        <f t="shared" si="63"/>
        <v>0.19191666666666668</v>
      </c>
      <c r="J111" s="98">
        <f t="shared" si="63"/>
        <v>0.19532258064516128</v>
      </c>
      <c r="K111" s="98">
        <f t="shared" si="63"/>
        <v>0.19814516129032261</v>
      </c>
      <c r="L111" s="98">
        <f t="shared" si="63"/>
        <v>0.2263333333333333</v>
      </c>
      <c r="M111" s="98">
        <f t="shared" si="63"/>
        <v>0.30766129032258066</v>
      </c>
      <c r="N111" s="98">
        <f t="shared" si="63"/>
        <v>0.26250000000000001</v>
      </c>
      <c r="O111" s="98">
        <f t="shared" si="63"/>
        <v>0.28282258064516125</v>
      </c>
      <c r="P111" s="98">
        <f>SUM(P80:P81)/P72</f>
        <v>0.21959677419354839</v>
      </c>
      <c r="Q111" s="98">
        <f t="shared" ref="Q111:AA111" si="64">SUM(Q80:Q81)/Q72</f>
        <v>0.20249999999999999</v>
      </c>
      <c r="R111" s="98">
        <f t="shared" si="64"/>
        <v>0.2506451612903226</v>
      </c>
      <c r="S111" s="98">
        <f t="shared" si="64"/>
        <v>0.32666666666666666</v>
      </c>
      <c r="T111" s="98">
        <f t="shared" si="64"/>
        <v>0.26758064516129032</v>
      </c>
      <c r="U111" s="98">
        <f t="shared" si="64"/>
        <v>0.24383333333333335</v>
      </c>
      <c r="V111" s="98">
        <f t="shared" si="64"/>
        <v>0.22411290322580643</v>
      </c>
      <c r="W111" s="98">
        <f t="shared" si="64"/>
        <v>0.22411290322580646</v>
      </c>
      <c r="X111" s="98">
        <f t="shared" si="64"/>
        <v>0.28875000000000001</v>
      </c>
      <c r="Y111" s="98">
        <f t="shared" si="64"/>
        <v>0.24387096774193548</v>
      </c>
      <c r="Z111" s="98">
        <f t="shared" si="64"/>
        <v>0.315</v>
      </c>
      <c r="AA111" s="98">
        <f t="shared" si="64"/>
        <v>0.26193548387096777</v>
      </c>
    </row>
    <row r="112" spans="2:29" x14ac:dyDescent="0.3">
      <c r="B112" s="175"/>
      <c r="C112" s="133" t="s">
        <v>35</v>
      </c>
      <c r="D112" s="97">
        <f t="shared" ref="D112:T112" si="65">D111*D72</f>
        <v>144.06</v>
      </c>
      <c r="E112" s="97">
        <f t="shared" si="65"/>
        <v>169.68</v>
      </c>
      <c r="F112" s="97">
        <f t="shared" si="65"/>
        <v>173.04</v>
      </c>
      <c r="G112" s="97">
        <f t="shared" si="65"/>
        <v>187.32</v>
      </c>
      <c r="H112" s="97">
        <f t="shared" si="65"/>
        <v>182.7</v>
      </c>
      <c r="I112" s="97">
        <f t="shared" si="65"/>
        <v>138.18</v>
      </c>
      <c r="J112" s="97">
        <f t="shared" si="65"/>
        <v>145.32</v>
      </c>
      <c r="K112" s="97">
        <f t="shared" si="65"/>
        <v>147.42000000000002</v>
      </c>
      <c r="L112" s="97">
        <f t="shared" si="65"/>
        <v>162.95999999999998</v>
      </c>
      <c r="M112" s="97">
        <f t="shared" si="65"/>
        <v>228.9</v>
      </c>
      <c r="N112" s="97">
        <f t="shared" si="65"/>
        <v>189</v>
      </c>
      <c r="O112" s="97">
        <f t="shared" si="65"/>
        <v>210.41999999999996</v>
      </c>
      <c r="P112" s="97">
        <f t="shared" si="65"/>
        <v>163.38</v>
      </c>
      <c r="Q112" s="97">
        <f t="shared" si="65"/>
        <v>136.07999999999998</v>
      </c>
      <c r="R112" s="97">
        <f t="shared" si="65"/>
        <v>186.48000000000002</v>
      </c>
      <c r="S112" s="97">
        <f t="shared" si="65"/>
        <v>235.2</v>
      </c>
      <c r="T112" s="97">
        <f t="shared" si="65"/>
        <v>199.07999999999998</v>
      </c>
      <c r="U112" s="97">
        <f>U111*U72</f>
        <v>175.56</v>
      </c>
      <c r="V112" s="97">
        <f t="shared" ref="V112:AA112" si="66">V111*V72</f>
        <v>166.73999999999998</v>
      </c>
      <c r="W112" s="97">
        <f t="shared" si="66"/>
        <v>166.74</v>
      </c>
      <c r="X112" s="97">
        <f t="shared" si="66"/>
        <v>207.9</v>
      </c>
      <c r="Y112" s="97">
        <f t="shared" si="66"/>
        <v>181.44</v>
      </c>
      <c r="Z112" s="97">
        <f t="shared" si="66"/>
        <v>226.8</v>
      </c>
      <c r="AA112" s="97">
        <f t="shared" si="66"/>
        <v>194.88000000000002</v>
      </c>
    </row>
    <row r="113" spans="2:29" x14ac:dyDescent="0.3">
      <c r="B113" s="175"/>
      <c r="C113" s="129" t="s">
        <v>36</v>
      </c>
      <c r="D113" s="39">
        <f t="shared" ref="D113:AA113" si="67">D112*1.1</f>
        <v>158.46600000000001</v>
      </c>
      <c r="E113" s="39">
        <f t="shared" si="67"/>
        <v>186.64800000000002</v>
      </c>
      <c r="F113" s="39">
        <f t="shared" si="67"/>
        <v>190.34399999999999</v>
      </c>
      <c r="G113" s="39">
        <f t="shared" si="67"/>
        <v>206.05200000000002</v>
      </c>
      <c r="H113" s="39">
        <f t="shared" si="67"/>
        <v>200.97</v>
      </c>
      <c r="I113" s="39">
        <f t="shared" si="67"/>
        <v>151.99800000000002</v>
      </c>
      <c r="J113" s="39">
        <f t="shared" si="67"/>
        <v>159.852</v>
      </c>
      <c r="K113" s="39">
        <f t="shared" si="67"/>
        <v>162.16200000000003</v>
      </c>
      <c r="L113" s="39">
        <f t="shared" si="67"/>
        <v>179.256</v>
      </c>
      <c r="M113" s="39">
        <f t="shared" si="67"/>
        <v>251.79000000000002</v>
      </c>
      <c r="N113" s="39">
        <f t="shared" si="67"/>
        <v>207.9</v>
      </c>
      <c r="O113" s="39">
        <f t="shared" si="67"/>
        <v>231.46199999999996</v>
      </c>
      <c r="P113" s="39">
        <f t="shared" si="67"/>
        <v>179.71800000000002</v>
      </c>
      <c r="Q113" s="39">
        <f t="shared" si="67"/>
        <v>149.68799999999999</v>
      </c>
      <c r="R113" s="39">
        <f t="shared" si="67"/>
        <v>205.12800000000004</v>
      </c>
      <c r="S113" s="39">
        <f t="shared" si="67"/>
        <v>258.72000000000003</v>
      </c>
      <c r="T113" s="39">
        <f t="shared" si="67"/>
        <v>218.988</v>
      </c>
      <c r="U113" s="39">
        <f t="shared" si="67"/>
        <v>193.11600000000001</v>
      </c>
      <c r="V113" s="39">
        <f t="shared" si="67"/>
        <v>183.41399999999999</v>
      </c>
      <c r="W113" s="39">
        <f t="shared" si="67"/>
        <v>183.41400000000002</v>
      </c>
      <c r="X113" s="39">
        <f t="shared" si="67"/>
        <v>228.69000000000003</v>
      </c>
      <c r="Y113" s="39">
        <f t="shared" si="67"/>
        <v>199.584</v>
      </c>
      <c r="Z113" s="39">
        <f t="shared" si="67"/>
        <v>249.48000000000005</v>
      </c>
      <c r="AA113" s="39">
        <f t="shared" si="67"/>
        <v>214.36800000000005</v>
      </c>
    </row>
    <row r="114" spans="2:29" x14ac:dyDescent="0.3">
      <c r="B114" s="175"/>
      <c r="C114" s="129" t="s">
        <v>37</v>
      </c>
      <c r="D114" s="40">
        <f t="shared" ref="D114:AA114" si="68">D112*0.9</f>
        <v>129.654</v>
      </c>
      <c r="E114" s="40">
        <f t="shared" si="68"/>
        <v>152.71200000000002</v>
      </c>
      <c r="F114" s="40">
        <f t="shared" si="68"/>
        <v>155.73599999999999</v>
      </c>
      <c r="G114" s="40">
        <f t="shared" si="68"/>
        <v>168.58799999999999</v>
      </c>
      <c r="H114" s="40">
        <f t="shared" si="68"/>
        <v>164.43</v>
      </c>
      <c r="I114" s="40">
        <f t="shared" si="68"/>
        <v>124.36200000000001</v>
      </c>
      <c r="J114" s="40">
        <f t="shared" si="68"/>
        <v>130.78800000000001</v>
      </c>
      <c r="K114" s="40">
        <f t="shared" si="68"/>
        <v>132.67800000000003</v>
      </c>
      <c r="L114" s="40">
        <f t="shared" si="68"/>
        <v>146.66399999999999</v>
      </c>
      <c r="M114" s="40">
        <f t="shared" si="68"/>
        <v>206.01000000000002</v>
      </c>
      <c r="N114" s="40">
        <f t="shared" si="68"/>
        <v>170.1</v>
      </c>
      <c r="O114" s="40">
        <f t="shared" si="68"/>
        <v>189.37799999999996</v>
      </c>
      <c r="P114" s="40">
        <f t="shared" si="68"/>
        <v>147.042</v>
      </c>
      <c r="Q114" s="40">
        <f t="shared" si="68"/>
        <v>122.47199999999999</v>
      </c>
      <c r="R114" s="40">
        <f t="shared" si="68"/>
        <v>167.83200000000002</v>
      </c>
      <c r="S114" s="40">
        <f t="shared" si="68"/>
        <v>211.68</v>
      </c>
      <c r="T114" s="40">
        <f t="shared" si="68"/>
        <v>179.172</v>
      </c>
      <c r="U114" s="40">
        <f t="shared" si="68"/>
        <v>158.00400000000002</v>
      </c>
      <c r="V114" s="40">
        <f t="shared" si="68"/>
        <v>150.06599999999997</v>
      </c>
      <c r="W114" s="40">
        <f t="shared" si="68"/>
        <v>150.066</v>
      </c>
      <c r="X114" s="40">
        <f t="shared" si="68"/>
        <v>187.11</v>
      </c>
      <c r="Y114" s="40">
        <f t="shared" si="68"/>
        <v>163.29599999999999</v>
      </c>
      <c r="Z114" s="40">
        <f t="shared" si="68"/>
        <v>204.12</v>
      </c>
      <c r="AA114" s="40">
        <f t="shared" si="68"/>
        <v>175.39200000000002</v>
      </c>
    </row>
    <row r="115" spans="2:29" x14ac:dyDescent="0.3">
      <c r="B115" s="175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  <c r="AA115" s="41"/>
    </row>
    <row r="116" spans="2:29" x14ac:dyDescent="0.3">
      <c r="B116" s="175"/>
      <c r="C116" s="129" t="s">
        <v>38</v>
      </c>
      <c r="D116" s="43">
        <f t="shared" ref="D116:O116" si="69">D112</f>
        <v>144.06</v>
      </c>
      <c r="E116" s="43">
        <f t="shared" si="69"/>
        <v>169.68</v>
      </c>
      <c r="F116" s="43">
        <f t="shared" si="69"/>
        <v>173.04</v>
      </c>
      <c r="G116" s="43">
        <f t="shared" si="69"/>
        <v>187.32</v>
      </c>
      <c r="H116" s="43">
        <f t="shared" si="69"/>
        <v>182.7</v>
      </c>
      <c r="I116" s="43">
        <f t="shared" si="69"/>
        <v>138.18</v>
      </c>
      <c r="J116" s="43">
        <f t="shared" si="69"/>
        <v>145.32</v>
      </c>
      <c r="K116" s="43">
        <f t="shared" si="69"/>
        <v>147.42000000000002</v>
      </c>
      <c r="L116" s="43">
        <f t="shared" si="69"/>
        <v>162.95999999999998</v>
      </c>
      <c r="M116" s="43">
        <f t="shared" si="69"/>
        <v>228.9</v>
      </c>
      <c r="N116" s="43">
        <f t="shared" si="69"/>
        <v>189</v>
      </c>
      <c r="O116" s="43">
        <f t="shared" si="69"/>
        <v>210.41999999999996</v>
      </c>
      <c r="P116" s="43">
        <f>P112</f>
        <v>163.38</v>
      </c>
      <c r="Q116" s="43">
        <f t="shared" ref="Q116:AA116" si="70">Q112</f>
        <v>136.07999999999998</v>
      </c>
      <c r="R116" s="43">
        <f t="shared" si="70"/>
        <v>186.48000000000002</v>
      </c>
      <c r="S116" s="43">
        <f t="shared" si="70"/>
        <v>235.2</v>
      </c>
      <c r="T116" s="43">
        <f t="shared" si="70"/>
        <v>199.07999999999998</v>
      </c>
      <c r="U116" s="43">
        <f t="shared" si="70"/>
        <v>175.56</v>
      </c>
      <c r="V116" s="43">
        <f t="shared" si="70"/>
        <v>166.73999999999998</v>
      </c>
      <c r="W116" s="43">
        <f t="shared" si="70"/>
        <v>166.74</v>
      </c>
      <c r="X116" s="43">
        <f t="shared" si="70"/>
        <v>207.9</v>
      </c>
      <c r="Y116" s="43">
        <f t="shared" si="70"/>
        <v>181.44</v>
      </c>
      <c r="Z116" s="43">
        <f t="shared" si="70"/>
        <v>226.8</v>
      </c>
      <c r="AA116" s="43">
        <f t="shared" si="70"/>
        <v>194.88000000000002</v>
      </c>
    </row>
    <row r="117" spans="2:29" x14ac:dyDescent="0.3">
      <c r="B117" s="175"/>
      <c r="C117" s="129" t="s">
        <v>39</v>
      </c>
      <c r="D117" s="127">
        <f>'SIMULAÇÃO CENÁRIOS'!$E$7</f>
        <v>220</v>
      </c>
      <c r="E117" s="127">
        <f>'SIMULAÇÃO CENÁRIOS'!$E$7</f>
        <v>220</v>
      </c>
      <c r="F117" s="127">
        <f>'SIMULAÇÃO CENÁRIOS'!$E$7</f>
        <v>220</v>
      </c>
      <c r="G117" s="127">
        <f>'SIMULAÇÃO CENÁRIOS'!$E$7</f>
        <v>220</v>
      </c>
      <c r="H117" s="127">
        <f>'SIMULAÇÃO CENÁRIOS'!$E$7</f>
        <v>220</v>
      </c>
      <c r="I117" s="127">
        <f>'SIMULAÇÃO CENÁRIOS'!$E$7</f>
        <v>220</v>
      </c>
      <c r="J117" s="127">
        <f>'SIMULAÇÃO CENÁRIOS'!$E$7</f>
        <v>220</v>
      </c>
      <c r="K117" s="127">
        <f>'SIMULAÇÃO CENÁRIOS'!$E$7</f>
        <v>220</v>
      </c>
      <c r="L117" s="127">
        <f>'SIMULAÇÃO CENÁRIOS'!$E$7</f>
        <v>220</v>
      </c>
      <c r="M117" s="127">
        <f>'SIMULAÇÃO CENÁRIOS'!$E$7</f>
        <v>220</v>
      </c>
      <c r="N117" s="127">
        <f>'SIMULAÇÃO CENÁRIOS'!$E$7</f>
        <v>220</v>
      </c>
      <c r="O117" s="127">
        <f>'SIMULAÇÃO CENÁRIOS'!$E$7</f>
        <v>220</v>
      </c>
      <c r="P117" s="127">
        <f>'SIMULAÇÃO CENÁRIOS'!$E$7</f>
        <v>220</v>
      </c>
      <c r="Q117" s="127">
        <f>'SIMULAÇÃO CENÁRIOS'!$E$7</f>
        <v>220</v>
      </c>
      <c r="R117" s="127">
        <f>'SIMULAÇÃO CENÁRIOS'!$E$7</f>
        <v>220</v>
      </c>
      <c r="S117" s="127">
        <f>'SIMULAÇÃO CENÁRIOS'!$E$7</f>
        <v>220</v>
      </c>
      <c r="T117" s="127">
        <f>'SIMULAÇÃO CENÁRIOS'!$E$7</f>
        <v>220</v>
      </c>
      <c r="U117" s="127">
        <f>'SIMULAÇÃO CENÁRIOS'!$E$7</f>
        <v>220</v>
      </c>
      <c r="V117" s="127">
        <f>'SIMULAÇÃO CENÁRIOS'!$E$7</f>
        <v>220</v>
      </c>
      <c r="W117" s="127">
        <f>'SIMULAÇÃO CENÁRIOS'!$E$7</f>
        <v>220</v>
      </c>
      <c r="X117" s="127">
        <f>'SIMULAÇÃO CENÁRIOS'!$E$7</f>
        <v>220</v>
      </c>
      <c r="Y117" s="127">
        <f>'SIMULAÇÃO CENÁRIOS'!$E$7</f>
        <v>220</v>
      </c>
      <c r="Z117" s="127">
        <f>'SIMULAÇÃO CENÁRIOS'!$E$7</f>
        <v>220</v>
      </c>
      <c r="AA117" s="127">
        <f>'SIMULAÇÃO CENÁRIOS'!$E$7</f>
        <v>220</v>
      </c>
    </row>
    <row r="118" spans="2:29" x14ac:dyDescent="0.3">
      <c r="B118" s="175"/>
      <c r="C118" s="129" t="s">
        <v>40</v>
      </c>
      <c r="D118" s="44">
        <f t="shared" ref="D118:O118" si="71">D116*D117/(1-$P$27)</f>
        <v>43415.342465753427</v>
      </c>
      <c r="E118" s="44">
        <f t="shared" si="71"/>
        <v>51136.438356164384</v>
      </c>
      <c r="F118" s="44">
        <f t="shared" si="71"/>
        <v>52149.041095890403</v>
      </c>
      <c r="G118" s="44">
        <f t="shared" si="71"/>
        <v>56452.602739726033</v>
      </c>
      <c r="H118" s="44">
        <f t="shared" si="71"/>
        <v>55060.273972602743</v>
      </c>
      <c r="I118" s="44">
        <f t="shared" si="71"/>
        <v>41643.28767123288</v>
      </c>
      <c r="J118" s="44">
        <f t="shared" si="71"/>
        <v>43795.068493150684</v>
      </c>
      <c r="K118" s="44">
        <f t="shared" si="71"/>
        <v>44427.94520547946</v>
      </c>
      <c r="L118" s="44">
        <f t="shared" si="71"/>
        <v>49111.232876712325</v>
      </c>
      <c r="M118" s="44">
        <f t="shared" si="71"/>
        <v>68983.561643835623</v>
      </c>
      <c r="N118" s="44">
        <f t="shared" si="71"/>
        <v>56958.904109589042</v>
      </c>
      <c r="O118" s="44">
        <f t="shared" si="71"/>
        <v>63414.246575342462</v>
      </c>
      <c r="P118" s="44">
        <f>P116*P117/(1-$P$27)</f>
        <v>49237.808219178085</v>
      </c>
      <c r="Q118" s="44">
        <f t="shared" ref="Q118:AA118" si="72">Q116*Q117/(1-$P$27)</f>
        <v>41010.410958904104</v>
      </c>
      <c r="R118" s="44">
        <f t="shared" si="72"/>
        <v>56199.452054794529</v>
      </c>
      <c r="S118" s="44">
        <f t="shared" si="72"/>
        <v>70882.191780821915</v>
      </c>
      <c r="T118" s="44">
        <f t="shared" si="72"/>
        <v>59996.71232876712</v>
      </c>
      <c r="U118" s="44">
        <f t="shared" si="72"/>
        <v>52908.493150684932</v>
      </c>
      <c r="V118" s="44">
        <f t="shared" si="72"/>
        <v>50250.410958904104</v>
      </c>
      <c r="W118" s="44">
        <f t="shared" si="72"/>
        <v>50250.410958904118</v>
      </c>
      <c r="X118" s="44">
        <f t="shared" si="72"/>
        <v>62654.794520547948</v>
      </c>
      <c r="Y118" s="44">
        <f t="shared" si="72"/>
        <v>54680.547945205486</v>
      </c>
      <c r="Z118" s="44">
        <f t="shared" si="72"/>
        <v>68350.684931506854</v>
      </c>
      <c r="AA118" s="44">
        <f t="shared" si="72"/>
        <v>58730.958904109597</v>
      </c>
    </row>
    <row r="119" spans="2:29" ht="17.25" thickBot="1" x14ac:dyDescent="0.35">
      <c r="B119" s="175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  <c r="AA119" s="45"/>
    </row>
    <row r="120" spans="2:29" ht="17.25" thickBot="1" x14ac:dyDescent="0.35">
      <c r="B120" s="175"/>
      <c r="C120" s="134" t="s">
        <v>98</v>
      </c>
      <c r="D120" s="46">
        <f t="shared" ref="D120:O120" si="73">+D118+D105+D104</f>
        <v>92504.570624576969</v>
      </c>
      <c r="E120" s="46">
        <f t="shared" si="73"/>
        <v>108721.89566204674</v>
      </c>
      <c r="F120" s="46">
        <f t="shared" si="73"/>
        <v>112391.25608412571</v>
      </c>
      <c r="G120" s="46">
        <f t="shared" si="73"/>
        <v>120911.3959926672</v>
      </c>
      <c r="H120" s="46">
        <f t="shared" si="73"/>
        <v>119190.42340201452</v>
      </c>
      <c r="I120" s="46">
        <f t="shared" si="73"/>
        <v>90504.515247703472</v>
      </c>
      <c r="J120" s="46">
        <f t="shared" si="73"/>
        <v>97476.512293150678</v>
      </c>
      <c r="K120" s="46">
        <f t="shared" si="73"/>
        <v>97873.839293714758</v>
      </c>
      <c r="L120" s="46">
        <f t="shared" si="73"/>
        <v>112689.47611788881</v>
      </c>
      <c r="M120" s="46">
        <f t="shared" si="73"/>
        <v>158157.58472030621</v>
      </c>
      <c r="N120" s="46">
        <f t="shared" si="73"/>
        <v>121316.83263311845</v>
      </c>
      <c r="O120" s="46">
        <f t="shared" si="73"/>
        <v>140377.73429298954</v>
      </c>
      <c r="P120" s="46">
        <f>+P118+P105+P104</f>
        <v>109857.3640544722</v>
      </c>
      <c r="Q120" s="46">
        <f t="shared" ref="Q120:AA120" si="74">+Q118+Q105+Q104</f>
        <v>88999.839947139408</v>
      </c>
      <c r="R120" s="46">
        <f t="shared" si="74"/>
        <v>124141.241195971</v>
      </c>
      <c r="S120" s="46">
        <f t="shared" si="74"/>
        <v>158008.2716337631</v>
      </c>
      <c r="T120" s="46">
        <f t="shared" si="74"/>
        <v>127342.41029347299</v>
      </c>
      <c r="U120" s="46">
        <f t="shared" si="74"/>
        <v>115229.11583303788</v>
      </c>
      <c r="V120" s="46">
        <f t="shared" si="74"/>
        <v>110996.33863537469</v>
      </c>
      <c r="W120" s="46">
        <f t="shared" si="74"/>
        <v>112968.64924713943</v>
      </c>
      <c r="X120" s="46">
        <f t="shared" si="74"/>
        <v>140278.16165584209</v>
      </c>
      <c r="Y120" s="46">
        <f t="shared" si="74"/>
        <v>124297.23470402902</v>
      </c>
      <c r="Z120" s="46">
        <f t="shared" si="74"/>
        <v>151029.59416680096</v>
      </c>
      <c r="AA120" s="46">
        <f t="shared" si="74"/>
        <v>128213.17982175667</v>
      </c>
      <c r="AC120" s="47">
        <f>SUM(D120:AA120)</f>
        <v>2863477.4375531017</v>
      </c>
    </row>
    <row r="121" spans="2:29" x14ac:dyDescent="0.3">
      <c r="B121" s="175"/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100"/>
    </row>
    <row r="122" spans="2:29" ht="45.75" x14ac:dyDescent="0.3">
      <c r="B122" s="175"/>
      <c r="C122" s="172" t="s">
        <v>99</v>
      </c>
      <c r="D122" s="172"/>
      <c r="E122" s="172"/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3"/>
    </row>
    <row r="123" spans="2:29" x14ac:dyDescent="0.3">
      <c r="B123" s="175"/>
      <c r="C123" s="129" t="s">
        <v>101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3">
        <v>0</v>
      </c>
      <c r="R123" s="43">
        <v>0</v>
      </c>
      <c r="S123" s="43">
        <v>0</v>
      </c>
      <c r="T123" s="43">
        <v>0</v>
      </c>
      <c r="U123" s="43">
        <v>0</v>
      </c>
      <c r="V123" s="43">
        <v>0</v>
      </c>
      <c r="W123" s="43">
        <v>0</v>
      </c>
      <c r="X123" s="43">
        <v>0</v>
      </c>
      <c r="Y123" s="43">
        <v>0</v>
      </c>
      <c r="Z123" s="43">
        <v>0</v>
      </c>
      <c r="AA123" s="43">
        <v>0</v>
      </c>
    </row>
    <row r="124" spans="2:29" x14ac:dyDescent="0.3">
      <c r="B124" s="175"/>
      <c r="C124" s="129" t="s">
        <v>102</v>
      </c>
      <c r="D124" s="17">
        <f t="shared" ref="D124:O124" si="75">D77*D89+D79*D89*2</f>
        <v>13578.300000000001</v>
      </c>
      <c r="E124" s="17">
        <f t="shared" si="75"/>
        <v>15542.820000000002</v>
      </c>
      <c r="F124" s="17">
        <f t="shared" si="75"/>
        <v>15057.468000000001</v>
      </c>
      <c r="G124" s="17">
        <f t="shared" si="75"/>
        <v>15057.468000000001</v>
      </c>
      <c r="H124" s="17">
        <f t="shared" si="75"/>
        <v>15219.252000000002</v>
      </c>
      <c r="I124" s="17">
        <f t="shared" si="75"/>
        <v>13578.300000000001</v>
      </c>
      <c r="J124" s="17">
        <f t="shared" si="75"/>
        <v>13578.300000000001</v>
      </c>
      <c r="K124" s="17">
        <f t="shared" si="75"/>
        <v>13578.300000000001</v>
      </c>
      <c r="L124" s="17">
        <f t="shared" si="75"/>
        <v>17160.66</v>
      </c>
      <c r="M124" s="17">
        <f t="shared" si="75"/>
        <v>21690.612000000001</v>
      </c>
      <c r="N124" s="17">
        <f t="shared" si="75"/>
        <v>16189.956</v>
      </c>
      <c r="O124" s="17">
        <f t="shared" si="75"/>
        <v>18616.716</v>
      </c>
      <c r="P124" s="17">
        <f>P77*P89+P79*P89*2</f>
        <v>18131.364000000001</v>
      </c>
      <c r="Q124" s="18">
        <f t="shared" ref="Q124:AA124" si="76">Q77*Q89+Q79*Q89*2</f>
        <v>16513.524000000005</v>
      </c>
      <c r="R124" s="18">
        <f t="shared" si="76"/>
        <v>17160.66</v>
      </c>
      <c r="S124" s="18">
        <f t="shared" si="76"/>
        <v>19102.067999999999</v>
      </c>
      <c r="T124" s="18">
        <f t="shared" si="76"/>
        <v>15704.604000000003</v>
      </c>
      <c r="U124" s="18">
        <f t="shared" si="76"/>
        <v>13578.300000000001</v>
      </c>
      <c r="V124" s="18">
        <f t="shared" si="76"/>
        <v>13578.300000000001</v>
      </c>
      <c r="W124" s="18">
        <f t="shared" si="76"/>
        <v>13578.300000000001</v>
      </c>
      <c r="X124" s="18">
        <f t="shared" si="76"/>
        <v>18940.284000000003</v>
      </c>
      <c r="Y124" s="18">
        <f t="shared" si="76"/>
        <v>20396.340000000004</v>
      </c>
      <c r="Z124" s="18">
        <f t="shared" si="76"/>
        <v>18454.932000000001</v>
      </c>
      <c r="AA124" s="18">
        <f t="shared" si="76"/>
        <v>16837.092000000004</v>
      </c>
    </row>
    <row r="125" spans="2:29" x14ac:dyDescent="0.3">
      <c r="B125" s="175"/>
      <c r="C125" s="129" t="s">
        <v>103</v>
      </c>
      <c r="D125" s="102">
        <f t="shared" ref="D125:O125" si="77">D80*D90</f>
        <v>20092.598399999999</v>
      </c>
      <c r="E125" s="102">
        <f t="shared" si="77"/>
        <v>22807.814400000003</v>
      </c>
      <c r="F125" s="102">
        <f t="shared" si="77"/>
        <v>26066.0736</v>
      </c>
      <c r="G125" s="102">
        <f t="shared" si="77"/>
        <v>28781.289600000004</v>
      </c>
      <c r="H125" s="102">
        <f t="shared" si="77"/>
        <v>28781.289600000004</v>
      </c>
      <c r="I125" s="102">
        <f t="shared" si="77"/>
        <v>20635.641600000003</v>
      </c>
      <c r="J125" s="102">
        <f t="shared" si="77"/>
        <v>24979.9872</v>
      </c>
      <c r="K125" s="102">
        <f t="shared" si="77"/>
        <v>24436.944</v>
      </c>
      <c r="L125" s="102">
        <f t="shared" si="77"/>
        <v>27695.203200000004</v>
      </c>
      <c r="M125" s="102">
        <f t="shared" si="77"/>
        <v>39642.153599999998</v>
      </c>
      <c r="N125" s="102">
        <f t="shared" si="77"/>
        <v>26609.1168</v>
      </c>
      <c r="O125" s="102">
        <f t="shared" si="77"/>
        <v>33668.678399999997</v>
      </c>
      <c r="P125" s="102">
        <f>P80*P90</f>
        <v>22807.814400000003</v>
      </c>
      <c r="Q125" s="103">
        <f t="shared" ref="Q125:AA125" si="78">Q80*Q90</f>
        <v>15205.2096</v>
      </c>
      <c r="R125" s="103">
        <f t="shared" si="78"/>
        <v>29324.3328</v>
      </c>
      <c r="S125" s="103">
        <f t="shared" si="78"/>
        <v>40728.239999999998</v>
      </c>
      <c r="T125" s="103">
        <f t="shared" si="78"/>
        <v>29324.3328</v>
      </c>
      <c r="U125" s="103">
        <f t="shared" si="78"/>
        <v>30410.4192</v>
      </c>
      <c r="V125" s="103">
        <f t="shared" si="78"/>
        <v>29867.376000000004</v>
      </c>
      <c r="W125" s="103">
        <f t="shared" si="78"/>
        <v>32039.548800000004</v>
      </c>
      <c r="X125" s="103">
        <f t="shared" si="78"/>
        <v>34211.721600000004</v>
      </c>
      <c r="Y125" s="103">
        <f t="shared" si="78"/>
        <v>26609.1168</v>
      </c>
      <c r="Z125" s="103">
        <f t="shared" si="78"/>
        <v>38013.023999999998</v>
      </c>
      <c r="AA125" s="103">
        <f t="shared" si="78"/>
        <v>30410.4192</v>
      </c>
    </row>
    <row r="126" spans="2:29" x14ac:dyDescent="0.3">
      <c r="B126" s="175"/>
      <c r="C126" s="129" t="s">
        <v>104</v>
      </c>
      <c r="D126" s="17">
        <f t="shared" ref="D126:O126" si="79">D81*D91</f>
        <v>10717.282800000001</v>
      </c>
      <c r="E126" s="17">
        <f t="shared" si="79"/>
        <v>12678.615599999999</v>
      </c>
      <c r="F126" s="17">
        <f t="shared" si="79"/>
        <v>12748.663199999999</v>
      </c>
      <c r="G126" s="17">
        <f t="shared" si="79"/>
        <v>13764.3534</v>
      </c>
      <c r="H126" s="17">
        <f t="shared" si="79"/>
        <v>13379.0916</v>
      </c>
      <c r="I126" s="17">
        <f t="shared" si="79"/>
        <v>10191.925799999999</v>
      </c>
      <c r="J126" s="17">
        <f t="shared" si="79"/>
        <v>10507.14</v>
      </c>
      <c r="K126" s="17">
        <f t="shared" si="79"/>
        <v>10717.282800000001</v>
      </c>
      <c r="L126" s="17">
        <f t="shared" si="79"/>
        <v>11803.0206</v>
      </c>
      <c r="M126" s="17">
        <f t="shared" si="79"/>
        <v>16531.2336</v>
      </c>
      <c r="N126" s="17">
        <f t="shared" si="79"/>
        <v>14044.543799999999</v>
      </c>
      <c r="O126" s="17">
        <f t="shared" si="79"/>
        <v>15375.448199999999</v>
      </c>
      <c r="P126" s="17">
        <f>P81*P91</f>
        <v>12153.258600000001</v>
      </c>
      <c r="Q126" s="18">
        <f t="shared" ref="Q126:AA126" si="80">Q81*Q91</f>
        <v>10367.0448</v>
      </c>
      <c r="R126" s="18">
        <f t="shared" si="80"/>
        <v>13659.282000000001</v>
      </c>
      <c r="S126" s="18">
        <f t="shared" si="80"/>
        <v>16986.542999999998</v>
      </c>
      <c r="T126" s="18">
        <f t="shared" si="80"/>
        <v>14709.996000000001</v>
      </c>
      <c r="U126" s="18">
        <f t="shared" si="80"/>
        <v>12678.615599999999</v>
      </c>
      <c r="V126" s="18">
        <f t="shared" si="80"/>
        <v>11978.139599999999</v>
      </c>
      <c r="W126" s="18">
        <f t="shared" si="80"/>
        <v>11838.044400000001</v>
      </c>
      <c r="X126" s="18">
        <f t="shared" si="80"/>
        <v>15130.2816</v>
      </c>
      <c r="Y126" s="18">
        <f t="shared" si="80"/>
        <v>13414.115400000001</v>
      </c>
      <c r="Z126" s="18">
        <f t="shared" si="80"/>
        <v>16461.186000000002</v>
      </c>
      <c r="AA126" s="18">
        <f t="shared" si="80"/>
        <v>14289.710400000002</v>
      </c>
    </row>
    <row r="127" spans="2:29" x14ac:dyDescent="0.3">
      <c r="B127" s="175"/>
      <c r="C127" s="129" t="s">
        <v>105</v>
      </c>
      <c r="D127" s="102">
        <f t="shared" ref="D127:O127" si="81">D80*D92</f>
        <v>6537.3671999999997</v>
      </c>
      <c r="E127" s="102">
        <f t="shared" si="81"/>
        <v>7420.7952000000005</v>
      </c>
      <c r="F127" s="102">
        <f t="shared" si="81"/>
        <v>8480.9088000000011</v>
      </c>
      <c r="G127" s="102">
        <f t="shared" si="81"/>
        <v>9364.3368000000009</v>
      </c>
      <c r="H127" s="102">
        <f t="shared" si="81"/>
        <v>9364.3368000000009</v>
      </c>
      <c r="I127" s="102">
        <f t="shared" si="81"/>
        <v>6714.0528000000004</v>
      </c>
      <c r="J127" s="102">
        <f t="shared" si="81"/>
        <v>8127.5376000000006</v>
      </c>
      <c r="K127" s="102">
        <f t="shared" si="81"/>
        <v>7950.8519999999999</v>
      </c>
      <c r="L127" s="102">
        <f t="shared" si="81"/>
        <v>9010.9656000000014</v>
      </c>
      <c r="M127" s="102">
        <f t="shared" si="81"/>
        <v>12898.0488</v>
      </c>
      <c r="N127" s="102">
        <f t="shared" si="81"/>
        <v>8657.5944</v>
      </c>
      <c r="O127" s="102">
        <f t="shared" si="81"/>
        <v>10954.5072</v>
      </c>
      <c r="P127" s="102">
        <f>P80*P92</f>
        <v>7420.7952000000005</v>
      </c>
      <c r="Q127" s="103">
        <f t="shared" ref="Q127:AA127" si="82">Q80*Q92</f>
        <v>4947.1967999999997</v>
      </c>
      <c r="R127" s="103">
        <f t="shared" si="82"/>
        <v>9541.0223999999998</v>
      </c>
      <c r="S127" s="103">
        <f t="shared" si="82"/>
        <v>13251.42</v>
      </c>
      <c r="T127" s="103">
        <f t="shared" si="82"/>
        <v>9541.0223999999998</v>
      </c>
      <c r="U127" s="103">
        <f t="shared" si="82"/>
        <v>9894.3935999999994</v>
      </c>
      <c r="V127" s="103">
        <f t="shared" si="82"/>
        <v>9717.7080000000005</v>
      </c>
      <c r="W127" s="103">
        <f t="shared" si="82"/>
        <v>10424.450400000002</v>
      </c>
      <c r="X127" s="103">
        <f t="shared" si="82"/>
        <v>11131.192800000001</v>
      </c>
      <c r="Y127" s="103">
        <f t="shared" si="82"/>
        <v>8657.5944</v>
      </c>
      <c r="Z127" s="103">
        <f t="shared" si="82"/>
        <v>12367.992</v>
      </c>
      <c r="AA127" s="103">
        <f t="shared" si="82"/>
        <v>9894.3935999999994</v>
      </c>
    </row>
    <row r="128" spans="2:29" x14ac:dyDescent="0.3">
      <c r="B128" s="175"/>
      <c r="C128" s="129" t="s">
        <v>106</v>
      </c>
      <c r="D128" s="17">
        <f t="shared" ref="D128:O128" si="83">D81*D93</f>
        <v>32315.068800000001</v>
      </c>
      <c r="E128" s="17">
        <f t="shared" si="83"/>
        <v>38228.937599999997</v>
      </c>
      <c r="F128" s="17">
        <f t="shared" si="83"/>
        <v>38440.147199999999</v>
      </c>
      <c r="G128" s="17">
        <f t="shared" si="83"/>
        <v>41502.686399999999</v>
      </c>
      <c r="H128" s="17">
        <f t="shared" si="83"/>
        <v>40341.033600000002</v>
      </c>
      <c r="I128" s="17">
        <f t="shared" si="83"/>
        <v>30730.996800000001</v>
      </c>
      <c r="J128" s="17">
        <f t="shared" si="83"/>
        <v>31681.439999999999</v>
      </c>
      <c r="K128" s="17">
        <f t="shared" si="83"/>
        <v>32315.068800000001</v>
      </c>
      <c r="L128" s="17">
        <f t="shared" si="83"/>
        <v>35588.817599999995</v>
      </c>
      <c r="M128" s="17">
        <f t="shared" si="83"/>
        <v>49845.465600000003</v>
      </c>
      <c r="N128" s="17">
        <f t="shared" si="83"/>
        <v>42347.524799999999</v>
      </c>
      <c r="O128" s="17">
        <f t="shared" si="83"/>
        <v>46360.5072</v>
      </c>
      <c r="P128" s="17">
        <f>P81*P93</f>
        <v>36644.865600000005</v>
      </c>
      <c r="Q128" s="18">
        <f t="shared" ref="Q128:AA128" si="84">Q81*Q93</f>
        <v>31259.020799999998</v>
      </c>
      <c r="R128" s="18">
        <f t="shared" si="84"/>
        <v>41185.872000000003</v>
      </c>
      <c r="S128" s="18">
        <f t="shared" si="84"/>
        <v>51218.327999999994</v>
      </c>
      <c r="T128" s="18">
        <f t="shared" si="84"/>
        <v>44354.016000000003</v>
      </c>
      <c r="U128" s="18">
        <f t="shared" si="84"/>
        <v>38228.937599999997</v>
      </c>
      <c r="V128" s="18">
        <f t="shared" si="84"/>
        <v>36116.8416</v>
      </c>
      <c r="W128" s="18">
        <f t="shared" si="84"/>
        <v>35694.422400000003</v>
      </c>
      <c r="X128" s="18">
        <f t="shared" si="84"/>
        <v>45621.2736</v>
      </c>
      <c r="Y128" s="18">
        <f t="shared" si="84"/>
        <v>40446.638400000003</v>
      </c>
      <c r="Z128" s="18">
        <f t="shared" si="84"/>
        <v>49634.256000000001</v>
      </c>
      <c r="AA128" s="18">
        <f t="shared" si="84"/>
        <v>43086.758400000006</v>
      </c>
    </row>
    <row r="129" spans="2:32" x14ac:dyDescent="0.3">
      <c r="B129" s="175"/>
      <c r="C129" s="130" t="s">
        <v>107</v>
      </c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3"/>
      <c r="R129" s="103"/>
      <c r="S129" s="103"/>
      <c r="T129" s="103"/>
      <c r="U129" s="103"/>
      <c r="V129" s="103"/>
      <c r="W129" s="103"/>
      <c r="X129" s="103"/>
      <c r="Y129" s="103"/>
      <c r="Z129" s="103"/>
      <c r="AA129" s="103"/>
    </row>
    <row r="130" spans="2:32" x14ac:dyDescent="0.3">
      <c r="B130" s="175"/>
      <c r="C130" s="130" t="s">
        <v>110</v>
      </c>
      <c r="D130" s="21">
        <f t="shared" ref="D130:O130" si="85">SUM(D123:D129)/(1-SUM(D95:D96))*SUM(D95:D96)</f>
        <v>39172.055152941182</v>
      </c>
      <c r="E130" s="21">
        <f t="shared" si="85"/>
        <v>45495.991905882358</v>
      </c>
      <c r="F130" s="21">
        <f t="shared" si="85"/>
        <v>47432.122729411771</v>
      </c>
      <c r="G130" s="21">
        <f t="shared" si="85"/>
        <v>51044.769035294121</v>
      </c>
      <c r="H130" s="21">
        <f t="shared" si="85"/>
        <v>50392.942870588238</v>
      </c>
      <c r="I130" s="21">
        <f t="shared" si="85"/>
        <v>38518.078588235301</v>
      </c>
      <c r="J130" s="21">
        <f t="shared" si="85"/>
        <v>41823.249317647067</v>
      </c>
      <c r="K130" s="21">
        <f t="shared" si="85"/>
        <v>41881.6224</v>
      </c>
      <c r="L130" s="21">
        <f t="shared" si="85"/>
        <v>47651.137411764714</v>
      </c>
      <c r="M130" s="21">
        <f t="shared" si="85"/>
        <v>66168.241694117649</v>
      </c>
      <c r="N130" s="21">
        <f t="shared" si="85"/>
        <v>50752.346258823527</v>
      </c>
      <c r="O130" s="21">
        <f t="shared" si="85"/>
        <v>58812.167999999998</v>
      </c>
      <c r="P130" s="21">
        <f>SUM(P123:P129)/(1-SUM(P95:P96))*SUM(P95:P96)</f>
        <v>45721.457788235304</v>
      </c>
      <c r="Q130" s="22">
        <f t="shared" ref="Q130:AA130" si="86">SUM(Q123:Q129)/(1-SUM(Q95:Q96))*SUM(Q95:Q96)</f>
        <v>36843.292235294131</v>
      </c>
      <c r="R130" s="22">
        <f t="shared" si="86"/>
        <v>52174.667858823537</v>
      </c>
      <c r="S130" s="22">
        <f t="shared" si="86"/>
        <v>66487.811294117651</v>
      </c>
      <c r="T130" s="22">
        <f t="shared" si="86"/>
        <v>53474.809976470591</v>
      </c>
      <c r="U130" s="22">
        <f t="shared" si="86"/>
        <v>49313.254588235301</v>
      </c>
      <c r="V130" s="22">
        <f t="shared" si="86"/>
        <v>47650.9953882353</v>
      </c>
      <c r="W130" s="22">
        <f t="shared" si="86"/>
        <v>48741.066352941183</v>
      </c>
      <c r="X130" s="22">
        <f t="shared" si="86"/>
        <v>58839.884047058833</v>
      </c>
      <c r="Y130" s="22">
        <f t="shared" si="86"/>
        <v>51540.614117647063</v>
      </c>
      <c r="Z130" s="22">
        <f t="shared" si="86"/>
        <v>63497.12470588235</v>
      </c>
      <c r="AA130" s="22">
        <f t="shared" si="86"/>
        <v>53890.999341176488</v>
      </c>
    </row>
    <row r="131" spans="2:32" ht="17.25" thickBot="1" x14ac:dyDescent="0.35">
      <c r="B131" s="175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  <c r="AA131" s="45"/>
    </row>
    <row r="132" spans="2:32" ht="17.25" thickBot="1" x14ac:dyDescent="0.35">
      <c r="B132" s="175"/>
      <c r="C132" s="134" t="s">
        <v>109</v>
      </c>
      <c r="D132" s="46">
        <f t="shared" ref="D132:O132" si="87">+SUM(D123:D130)</f>
        <v>122412.67235294118</v>
      </c>
      <c r="E132" s="46">
        <f t="shared" si="87"/>
        <v>142174.97470588237</v>
      </c>
      <c r="F132" s="46">
        <f t="shared" si="87"/>
        <v>148225.38352941175</v>
      </c>
      <c r="G132" s="46">
        <f t="shared" si="87"/>
        <v>159514.90323529413</v>
      </c>
      <c r="H132" s="46">
        <f t="shared" si="87"/>
        <v>157477.94647058824</v>
      </c>
      <c r="I132" s="46">
        <f t="shared" si="87"/>
        <v>120368.9955882353</v>
      </c>
      <c r="J132" s="46">
        <f t="shared" si="87"/>
        <v>130697.65411764706</v>
      </c>
      <c r="K132" s="46">
        <f t="shared" si="87"/>
        <v>130880.07</v>
      </c>
      <c r="L132" s="46">
        <f t="shared" si="87"/>
        <v>148909.80441176472</v>
      </c>
      <c r="M132" s="46">
        <f t="shared" si="87"/>
        <v>206775.75529411767</v>
      </c>
      <c r="N132" s="46">
        <f t="shared" si="87"/>
        <v>158601.08205882352</v>
      </c>
      <c r="O132" s="46">
        <f t="shared" si="87"/>
        <v>183788.02499999999</v>
      </c>
      <c r="P132" s="46">
        <f>+SUM(P123:P130)</f>
        <v>142879.55558823532</v>
      </c>
      <c r="Q132" s="46">
        <f t="shared" ref="Q132:AA132" si="88">+SUM(Q123:Q130)</f>
        <v>115135.28823529414</v>
      </c>
      <c r="R132" s="46">
        <f t="shared" si="88"/>
        <v>163045.83705882356</v>
      </c>
      <c r="S132" s="46">
        <f t="shared" si="88"/>
        <v>207774.41029411764</v>
      </c>
      <c r="T132" s="46">
        <f t="shared" si="88"/>
        <v>167108.7811764706</v>
      </c>
      <c r="U132" s="46">
        <f t="shared" si="88"/>
        <v>154103.92058823531</v>
      </c>
      <c r="V132" s="46">
        <f t="shared" si="88"/>
        <v>148909.36058823531</v>
      </c>
      <c r="W132" s="46">
        <f t="shared" si="88"/>
        <v>152315.83235294119</v>
      </c>
      <c r="X132" s="46">
        <f t="shared" si="88"/>
        <v>183874.63764705884</v>
      </c>
      <c r="Y132" s="46">
        <f t="shared" si="88"/>
        <v>161064.41911764705</v>
      </c>
      <c r="Z132" s="46">
        <f t="shared" si="88"/>
        <v>198428.51470588235</v>
      </c>
      <c r="AA132" s="46">
        <f t="shared" si="88"/>
        <v>168409.37294117652</v>
      </c>
      <c r="AC132" s="47">
        <f>SUM(D132:AA132)</f>
        <v>3772877.1970588244</v>
      </c>
    </row>
    <row r="133" spans="2:32" ht="17.25" thickBot="1" x14ac:dyDescent="0.35">
      <c r="B133" s="175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  <c r="AA133" s="41"/>
    </row>
    <row r="134" spans="2:32" ht="17.25" thickBot="1" x14ac:dyDescent="0.35">
      <c r="B134" s="175"/>
      <c r="C134" s="134" t="s">
        <v>111</v>
      </c>
      <c r="D134" s="46">
        <f t="shared" ref="D134:O134" si="89">D132-D120</f>
        <v>29908.101728364214</v>
      </c>
      <c r="E134" s="46">
        <f t="shared" si="89"/>
        <v>33453.079043835634</v>
      </c>
      <c r="F134" s="46">
        <f t="shared" si="89"/>
        <v>35834.127445286038</v>
      </c>
      <c r="G134" s="46">
        <f t="shared" si="89"/>
        <v>38603.507242626933</v>
      </c>
      <c r="H134" s="46">
        <f t="shared" si="89"/>
        <v>38287.523068573719</v>
      </c>
      <c r="I134" s="46">
        <f t="shared" si="89"/>
        <v>29864.480340531823</v>
      </c>
      <c r="J134" s="46">
        <f t="shared" si="89"/>
        <v>33221.141824496386</v>
      </c>
      <c r="K134" s="46">
        <f t="shared" si="89"/>
        <v>33006.230706285249</v>
      </c>
      <c r="L134" s="46">
        <f t="shared" si="89"/>
        <v>36220.328293875908</v>
      </c>
      <c r="M134" s="46">
        <f t="shared" si="89"/>
        <v>48618.170573811454</v>
      </c>
      <c r="N134" s="46">
        <f t="shared" si="89"/>
        <v>37284.249425705071</v>
      </c>
      <c r="O134" s="46">
        <f t="shared" si="89"/>
        <v>43410.290707010456</v>
      </c>
      <c r="P134" s="46">
        <f>P132-P120</f>
        <v>33022.191533763122</v>
      </c>
      <c r="Q134" s="46">
        <f t="shared" ref="Q134:AA134" si="90">Q132-Q120</f>
        <v>26135.44828815473</v>
      </c>
      <c r="R134" s="46">
        <f t="shared" si="90"/>
        <v>38904.595862852555</v>
      </c>
      <c r="S134" s="46">
        <f t="shared" si="90"/>
        <v>49766.13866035454</v>
      </c>
      <c r="T134" s="46">
        <f t="shared" si="90"/>
        <v>39766.370882997609</v>
      </c>
      <c r="U134" s="46">
        <f t="shared" si="90"/>
        <v>38874.80475519743</v>
      </c>
      <c r="V134" s="46">
        <f t="shared" si="90"/>
        <v>37913.021952860625</v>
      </c>
      <c r="W134" s="46">
        <f t="shared" si="90"/>
        <v>39347.183105801756</v>
      </c>
      <c r="X134" s="46">
        <f t="shared" si="90"/>
        <v>43596.47599121675</v>
      </c>
      <c r="Y134" s="46">
        <f t="shared" si="90"/>
        <v>36767.18441361803</v>
      </c>
      <c r="Z134" s="46">
        <f t="shared" si="90"/>
        <v>47398.920539081388</v>
      </c>
      <c r="AA134" s="46">
        <f t="shared" si="90"/>
        <v>40196.193119419855</v>
      </c>
      <c r="AC134" s="47">
        <f>AC132-AC120</f>
        <v>909399.75950572267</v>
      </c>
    </row>
    <row r="135" spans="2:32" ht="17.25" thickBot="1" x14ac:dyDescent="0.35">
      <c r="B135" s="176"/>
      <c r="C135" s="134" t="s">
        <v>112</v>
      </c>
      <c r="D135" s="105">
        <f t="shared" ref="D135:O135" si="91">D134/D132</f>
        <v>0.24432194113149444</v>
      </c>
      <c r="E135" s="105">
        <f t="shared" si="91"/>
        <v>0.23529512920990547</v>
      </c>
      <c r="F135" s="105">
        <f t="shared" si="91"/>
        <v>0.24175432434064589</v>
      </c>
      <c r="G135" s="105">
        <f t="shared" si="91"/>
        <v>0.2420056462416206</v>
      </c>
      <c r="H135" s="105">
        <f t="shared" si="91"/>
        <v>0.2431294281305896</v>
      </c>
      <c r="I135" s="105">
        <f t="shared" si="91"/>
        <v>0.24810774730308324</v>
      </c>
      <c r="J135" s="105">
        <f t="shared" si="91"/>
        <v>0.25418315308546002</v>
      </c>
      <c r="K135" s="105">
        <f t="shared" si="91"/>
        <v>0.25218683567547945</v>
      </c>
      <c r="L135" s="105">
        <f t="shared" si="91"/>
        <v>0.24323669241898685</v>
      </c>
      <c r="M135" s="105">
        <f t="shared" si="91"/>
        <v>0.23512510209263657</v>
      </c>
      <c r="N135" s="105">
        <f t="shared" si="91"/>
        <v>0.235081936022837</v>
      </c>
      <c r="O135" s="105">
        <f t="shared" si="91"/>
        <v>0.2361976015956995</v>
      </c>
      <c r="P135" s="105">
        <f>P134/P132</f>
        <v>0.23111908066770445</v>
      </c>
      <c r="Q135" s="105">
        <f>Q134/Q132</f>
        <v>0.22699772318929273</v>
      </c>
      <c r="R135" s="105">
        <f t="shared" ref="R135:AA135" si="92">R134/R132</f>
        <v>0.23861140256415492</v>
      </c>
      <c r="S135" s="105">
        <f t="shared" si="92"/>
        <v>0.23952005730593803</v>
      </c>
      <c r="T135" s="105">
        <f t="shared" si="92"/>
        <v>0.23796697338725387</v>
      </c>
      <c r="U135" s="105">
        <f t="shared" si="92"/>
        <v>0.25226356738236827</v>
      </c>
      <c r="V135" s="105">
        <f t="shared" si="92"/>
        <v>0.25460469243231693</v>
      </c>
      <c r="W135" s="105">
        <f t="shared" si="92"/>
        <v>0.2583262849171698</v>
      </c>
      <c r="X135" s="105">
        <f t="shared" si="92"/>
        <v>0.23709890906704986</v>
      </c>
      <c r="Y135" s="105">
        <f t="shared" si="92"/>
        <v>0.2282762674403091</v>
      </c>
      <c r="Z135" s="105">
        <f t="shared" si="92"/>
        <v>0.23887151808467508</v>
      </c>
      <c r="AA135" s="105">
        <f t="shared" si="92"/>
        <v>0.23868144876627459</v>
      </c>
      <c r="AC135" s="106">
        <f>AC134/AC132</f>
        <v>0.24103614085681144</v>
      </c>
    </row>
    <row r="136" spans="2:32" x14ac:dyDescent="0.3"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"/>
    </row>
    <row r="137" spans="2:32" x14ac:dyDescent="0.3"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"/>
    </row>
    <row r="138" spans="2:32" ht="17.25" thickBot="1" x14ac:dyDescent="0.35"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"/>
    </row>
    <row r="139" spans="2:32" ht="45.75" x14ac:dyDescent="0.3">
      <c r="B139" s="174" t="s">
        <v>95</v>
      </c>
      <c r="C139" s="170" t="s">
        <v>100</v>
      </c>
      <c r="D139" s="170"/>
      <c r="E139" s="170"/>
      <c r="F139" s="170"/>
      <c r="G139" s="170"/>
      <c r="H139" s="170"/>
      <c r="I139" s="170"/>
      <c r="J139" s="170"/>
      <c r="K139" s="170"/>
      <c r="L139" s="170"/>
      <c r="M139" s="170"/>
      <c r="N139" s="170"/>
      <c r="O139" s="170"/>
      <c r="P139" s="170"/>
      <c r="Q139" s="170"/>
      <c r="R139" s="170"/>
      <c r="S139" s="170"/>
      <c r="T139" s="170"/>
      <c r="U139" s="170"/>
      <c r="V139" s="170"/>
      <c r="W139" s="170"/>
      <c r="X139" s="170"/>
      <c r="Y139" s="170"/>
      <c r="Z139" s="170"/>
      <c r="AA139" s="171"/>
      <c r="AC139" s="5"/>
    </row>
    <row r="140" spans="2:32" x14ac:dyDescent="0.3">
      <c r="B140" s="175"/>
      <c r="C140" s="128" t="s">
        <v>3</v>
      </c>
      <c r="D140" s="7">
        <v>43101</v>
      </c>
      <c r="E140" s="7">
        <v>43133</v>
      </c>
      <c r="F140" s="7">
        <v>43165</v>
      </c>
      <c r="G140" s="7">
        <v>43197</v>
      </c>
      <c r="H140" s="7">
        <v>43229</v>
      </c>
      <c r="I140" s="7">
        <v>43261</v>
      </c>
      <c r="J140" s="7">
        <v>43293</v>
      </c>
      <c r="K140" s="7">
        <v>43325</v>
      </c>
      <c r="L140" s="7">
        <v>43357</v>
      </c>
      <c r="M140" s="7">
        <v>43389</v>
      </c>
      <c r="N140" s="7">
        <v>43421</v>
      </c>
      <c r="O140" s="7">
        <v>43453</v>
      </c>
      <c r="P140" s="7">
        <v>43485</v>
      </c>
      <c r="Q140" s="7">
        <v>43517</v>
      </c>
      <c r="R140" s="7">
        <v>43549</v>
      </c>
      <c r="S140" s="7">
        <v>43581</v>
      </c>
      <c r="T140" s="7">
        <v>43613</v>
      </c>
      <c r="U140" s="7">
        <v>43645</v>
      </c>
      <c r="V140" s="7">
        <v>43677</v>
      </c>
      <c r="W140" s="7">
        <v>43709</v>
      </c>
      <c r="X140" s="7">
        <v>43741</v>
      </c>
      <c r="Y140" s="7">
        <v>43773</v>
      </c>
      <c r="Z140" s="7">
        <v>43805</v>
      </c>
      <c r="AA140" s="7">
        <v>43806</v>
      </c>
    </row>
    <row r="141" spans="2:32" x14ac:dyDescent="0.3">
      <c r="B141" s="175"/>
      <c r="C141" s="128" t="s">
        <v>4</v>
      </c>
      <c r="D141" s="6">
        <v>744</v>
      </c>
      <c r="E141" s="6">
        <v>696</v>
      </c>
      <c r="F141" s="6">
        <v>744</v>
      </c>
      <c r="G141" s="6">
        <v>720</v>
      </c>
      <c r="H141" s="6">
        <v>744</v>
      </c>
      <c r="I141" s="6">
        <v>720</v>
      </c>
      <c r="J141" s="6">
        <v>744</v>
      </c>
      <c r="K141" s="6">
        <v>744</v>
      </c>
      <c r="L141" s="6">
        <v>720</v>
      </c>
      <c r="M141" s="6">
        <v>744</v>
      </c>
      <c r="N141" s="6">
        <v>720</v>
      </c>
      <c r="O141" s="6">
        <v>744</v>
      </c>
      <c r="P141" s="6">
        <v>744</v>
      </c>
      <c r="Q141" s="6">
        <v>672</v>
      </c>
      <c r="R141" s="6">
        <v>744</v>
      </c>
      <c r="S141" s="6">
        <v>720</v>
      </c>
      <c r="T141" s="6">
        <v>744</v>
      </c>
      <c r="U141" s="6">
        <v>720</v>
      </c>
      <c r="V141" s="6">
        <v>744</v>
      </c>
      <c r="W141" s="6">
        <v>744</v>
      </c>
      <c r="X141" s="6">
        <v>720</v>
      </c>
      <c r="Y141" s="6">
        <v>744</v>
      </c>
      <c r="Z141" s="6">
        <v>720</v>
      </c>
      <c r="AA141" s="6">
        <v>744</v>
      </c>
    </row>
    <row r="142" spans="2:32" x14ac:dyDescent="0.3">
      <c r="B142" s="175"/>
      <c r="C142" s="107"/>
      <c r="D142" s="107"/>
      <c r="E142" s="107"/>
      <c r="F142" s="107"/>
      <c r="G142" s="107"/>
      <c r="H142" s="107"/>
      <c r="I142" s="107"/>
      <c r="J142" s="107"/>
      <c r="K142" s="107"/>
      <c r="L142" s="107"/>
      <c r="M142" s="107"/>
      <c r="N142" s="107"/>
      <c r="O142" s="107"/>
      <c r="P142" s="107"/>
      <c r="Q142" s="107"/>
      <c r="R142" s="107"/>
      <c r="S142" s="107"/>
      <c r="T142" s="107"/>
      <c r="U142" s="107"/>
      <c r="V142" s="107"/>
      <c r="W142" s="107"/>
      <c r="X142" s="107"/>
      <c r="Y142" s="107"/>
      <c r="Z142" s="107"/>
      <c r="AA142" s="8"/>
    </row>
    <row r="143" spans="2:32" x14ac:dyDescent="0.3">
      <c r="B143" s="175"/>
      <c r="C143" s="129" t="s">
        <v>5</v>
      </c>
      <c r="D143" s="115">
        <v>457.8</v>
      </c>
      <c r="E143" s="115">
        <v>504</v>
      </c>
      <c r="F143" s="115">
        <v>478.8</v>
      </c>
      <c r="G143" s="115">
        <v>462</v>
      </c>
      <c r="H143" s="115">
        <v>512.4</v>
      </c>
      <c r="I143" s="115">
        <v>420</v>
      </c>
      <c r="J143" s="115">
        <v>466.2</v>
      </c>
      <c r="K143" s="115">
        <v>441</v>
      </c>
      <c r="L143" s="115">
        <v>558.6</v>
      </c>
      <c r="M143" s="115">
        <v>609</v>
      </c>
      <c r="N143" s="115">
        <v>520.79999999999995</v>
      </c>
      <c r="O143" s="115">
        <v>558.6</v>
      </c>
      <c r="P143" s="118">
        <v>600.6</v>
      </c>
      <c r="Q143" s="118">
        <v>516.6</v>
      </c>
      <c r="R143" s="118">
        <v>495.6</v>
      </c>
      <c r="S143" s="118">
        <v>600.6</v>
      </c>
      <c r="T143" s="118">
        <v>478.8</v>
      </c>
      <c r="U143" s="118">
        <v>546</v>
      </c>
      <c r="V143" s="118">
        <v>512.4</v>
      </c>
      <c r="W143" s="118">
        <v>449.4</v>
      </c>
      <c r="X143" s="118">
        <v>571.20000000000005</v>
      </c>
      <c r="Y143" s="118">
        <v>541.79999999999995</v>
      </c>
      <c r="Z143" s="118">
        <v>621.6</v>
      </c>
      <c r="AA143" s="118">
        <v>537.6</v>
      </c>
      <c r="AB143" s="2"/>
      <c r="AC143" s="94" t="s">
        <v>92</v>
      </c>
      <c r="AD143" s="96" t="s">
        <v>96</v>
      </c>
      <c r="AE143" s="94" t="s">
        <v>97</v>
      </c>
      <c r="AF143" s="104" t="s">
        <v>108</v>
      </c>
    </row>
    <row r="144" spans="2:32" x14ac:dyDescent="0.3">
      <c r="B144" s="175"/>
      <c r="C144" s="129" t="s">
        <v>41</v>
      </c>
      <c r="D144" s="115">
        <v>667.8</v>
      </c>
      <c r="E144" s="115">
        <v>756</v>
      </c>
      <c r="F144" s="115">
        <v>743.4</v>
      </c>
      <c r="G144" s="115">
        <v>743.4</v>
      </c>
      <c r="H144" s="115">
        <v>747.6</v>
      </c>
      <c r="I144" s="115">
        <v>592.20000000000005</v>
      </c>
      <c r="J144" s="115">
        <v>600.6</v>
      </c>
      <c r="K144" s="115">
        <v>604.79999999999995</v>
      </c>
      <c r="L144" s="115">
        <v>798</v>
      </c>
      <c r="M144" s="115">
        <v>915.6</v>
      </c>
      <c r="N144" s="115">
        <v>772.8</v>
      </c>
      <c r="O144" s="115">
        <v>835.8</v>
      </c>
      <c r="P144" s="118">
        <v>823.2</v>
      </c>
      <c r="Q144" s="118">
        <v>781.2</v>
      </c>
      <c r="R144" s="118">
        <v>798</v>
      </c>
      <c r="S144" s="118">
        <v>848.4</v>
      </c>
      <c r="T144" s="118">
        <v>760.2</v>
      </c>
      <c r="U144" s="118">
        <v>730.8</v>
      </c>
      <c r="V144" s="118">
        <v>697.2</v>
      </c>
      <c r="W144" s="118">
        <v>663.6</v>
      </c>
      <c r="X144" s="118">
        <v>844.2</v>
      </c>
      <c r="Y144" s="118">
        <v>882</v>
      </c>
      <c r="Z144" s="118">
        <v>831.6</v>
      </c>
      <c r="AA144" s="118">
        <v>789.6</v>
      </c>
      <c r="AB144" s="2"/>
      <c r="AC144" s="94" t="s">
        <v>93</v>
      </c>
      <c r="AD144" s="95">
        <v>0</v>
      </c>
      <c r="AE144" s="96">
        <v>175</v>
      </c>
      <c r="AF144" s="104">
        <v>13.43</v>
      </c>
    </row>
    <row r="145" spans="2:32" x14ac:dyDescent="0.3">
      <c r="B145" s="175"/>
      <c r="C145" s="129" t="s">
        <v>6</v>
      </c>
      <c r="D145" s="119">
        <v>0</v>
      </c>
      <c r="E145" s="119">
        <v>0</v>
      </c>
      <c r="F145" s="119">
        <v>0</v>
      </c>
      <c r="G145" s="119">
        <v>0</v>
      </c>
      <c r="H145" s="119">
        <v>0</v>
      </c>
      <c r="I145" s="119">
        <v>0</v>
      </c>
      <c r="J145" s="119">
        <v>0</v>
      </c>
      <c r="K145" s="119">
        <v>0</v>
      </c>
      <c r="L145" s="119">
        <v>0</v>
      </c>
      <c r="M145" s="119">
        <v>0</v>
      </c>
      <c r="N145" s="119">
        <v>0</v>
      </c>
      <c r="O145" s="119">
        <v>0</v>
      </c>
      <c r="P145" s="120">
        <v>0</v>
      </c>
      <c r="Q145" s="120">
        <v>0</v>
      </c>
      <c r="R145" s="120">
        <v>0</v>
      </c>
      <c r="S145" s="120">
        <v>0</v>
      </c>
      <c r="T145" s="120">
        <v>0</v>
      </c>
      <c r="U145" s="120">
        <v>0</v>
      </c>
      <c r="V145" s="120">
        <v>0</v>
      </c>
      <c r="W145" s="120">
        <v>0</v>
      </c>
      <c r="X145" s="120">
        <v>0</v>
      </c>
      <c r="Y145" s="120">
        <v>0</v>
      </c>
      <c r="Z145" s="120">
        <v>0</v>
      </c>
      <c r="AA145" s="120">
        <v>0</v>
      </c>
      <c r="AB145" s="2"/>
      <c r="AC145" s="94" t="s">
        <v>94</v>
      </c>
      <c r="AD145" s="95">
        <v>0.5</v>
      </c>
      <c r="AE145" s="96">
        <v>220</v>
      </c>
      <c r="AF145" s="104">
        <v>41.69</v>
      </c>
    </row>
    <row r="146" spans="2:32" x14ac:dyDescent="0.3">
      <c r="B146" s="175"/>
      <c r="C146" s="129" t="s">
        <v>7</v>
      </c>
      <c r="D146" s="116">
        <v>705</v>
      </c>
      <c r="E146" s="116">
        <v>705</v>
      </c>
      <c r="F146" s="116">
        <v>705</v>
      </c>
      <c r="G146" s="116">
        <v>705</v>
      </c>
      <c r="H146" s="116">
        <v>705</v>
      </c>
      <c r="I146" s="116">
        <v>705</v>
      </c>
      <c r="J146" s="116">
        <v>705</v>
      </c>
      <c r="K146" s="116">
        <v>705</v>
      </c>
      <c r="L146" s="116">
        <v>705</v>
      </c>
      <c r="M146" s="116">
        <v>705</v>
      </c>
      <c r="N146" s="116">
        <v>705</v>
      </c>
      <c r="O146" s="116">
        <v>705</v>
      </c>
      <c r="P146" s="121">
        <v>705</v>
      </c>
      <c r="Q146" s="121">
        <v>705</v>
      </c>
      <c r="R146" s="121">
        <v>705</v>
      </c>
      <c r="S146" s="121">
        <v>705</v>
      </c>
      <c r="T146" s="121">
        <v>705</v>
      </c>
      <c r="U146" s="121">
        <v>705</v>
      </c>
      <c r="V146" s="121">
        <v>705</v>
      </c>
      <c r="W146" s="121">
        <v>705</v>
      </c>
      <c r="X146" s="121">
        <v>705</v>
      </c>
      <c r="Y146" s="121">
        <v>705</v>
      </c>
      <c r="Z146" s="121">
        <v>705</v>
      </c>
      <c r="AA146" s="121">
        <v>705</v>
      </c>
      <c r="AB146" s="2"/>
      <c r="AC146" s="94" t="s">
        <v>95</v>
      </c>
      <c r="AD146" s="95">
        <v>1</v>
      </c>
      <c r="AE146" s="96">
        <v>310</v>
      </c>
      <c r="AF146" s="104">
        <v>62.43</v>
      </c>
    </row>
    <row r="147" spans="2:32" x14ac:dyDescent="0.3">
      <c r="B147" s="175"/>
      <c r="C147" s="129" t="s">
        <v>8</v>
      </c>
      <c r="D147" s="16">
        <f t="shared" ref="D147:AA147" si="93">IF(D156="Verde",0,IF(D143&gt;D145*1.05,D143-D145,0))</f>
        <v>0</v>
      </c>
      <c r="E147" s="16">
        <f t="shared" si="93"/>
        <v>0</v>
      </c>
      <c r="F147" s="16">
        <f t="shared" si="93"/>
        <v>0</v>
      </c>
      <c r="G147" s="16">
        <f t="shared" si="93"/>
        <v>0</v>
      </c>
      <c r="H147" s="16">
        <f t="shared" si="93"/>
        <v>0</v>
      </c>
      <c r="I147" s="16">
        <f t="shared" si="93"/>
        <v>0</v>
      </c>
      <c r="J147" s="16">
        <f t="shared" si="93"/>
        <v>0</v>
      </c>
      <c r="K147" s="16">
        <f t="shared" si="93"/>
        <v>0</v>
      </c>
      <c r="L147" s="16">
        <f t="shared" si="93"/>
        <v>0</v>
      </c>
      <c r="M147" s="16">
        <f t="shared" si="93"/>
        <v>0</v>
      </c>
      <c r="N147" s="16">
        <f t="shared" si="93"/>
        <v>0</v>
      </c>
      <c r="O147" s="16">
        <f t="shared" si="93"/>
        <v>0</v>
      </c>
      <c r="P147" s="16">
        <f t="shared" si="93"/>
        <v>0</v>
      </c>
      <c r="Q147" s="16">
        <f t="shared" si="93"/>
        <v>0</v>
      </c>
      <c r="R147" s="16">
        <f t="shared" si="93"/>
        <v>0</v>
      </c>
      <c r="S147" s="16">
        <f t="shared" si="93"/>
        <v>0</v>
      </c>
      <c r="T147" s="16">
        <f t="shared" si="93"/>
        <v>0</v>
      </c>
      <c r="U147" s="16">
        <f t="shared" si="93"/>
        <v>0</v>
      </c>
      <c r="V147" s="16">
        <f t="shared" si="93"/>
        <v>0</v>
      </c>
      <c r="W147" s="16">
        <f t="shared" si="93"/>
        <v>0</v>
      </c>
      <c r="X147" s="16">
        <f t="shared" si="93"/>
        <v>0</v>
      </c>
      <c r="Y147" s="16">
        <f t="shared" si="93"/>
        <v>0</v>
      </c>
      <c r="Z147" s="16">
        <f t="shared" si="93"/>
        <v>0</v>
      </c>
      <c r="AA147" s="16">
        <f t="shared" si="93"/>
        <v>0</v>
      </c>
      <c r="AB147" s="2"/>
    </row>
    <row r="148" spans="2:32" x14ac:dyDescent="0.3">
      <c r="B148" s="175"/>
      <c r="C148" s="129" t="s">
        <v>9</v>
      </c>
      <c r="D148" s="18">
        <f t="shared" ref="D148:AA148" si="94">IF(D144&gt;D146*1.05,D144-D146,0)</f>
        <v>0</v>
      </c>
      <c r="E148" s="18">
        <f t="shared" si="94"/>
        <v>51</v>
      </c>
      <c r="F148" s="18">
        <f t="shared" si="94"/>
        <v>38.399999999999977</v>
      </c>
      <c r="G148" s="18">
        <f t="shared" si="94"/>
        <v>38.399999999999977</v>
      </c>
      <c r="H148" s="18">
        <f t="shared" si="94"/>
        <v>42.600000000000023</v>
      </c>
      <c r="I148" s="18">
        <f t="shared" si="94"/>
        <v>0</v>
      </c>
      <c r="J148" s="18">
        <f t="shared" si="94"/>
        <v>0</v>
      </c>
      <c r="K148" s="18">
        <f t="shared" si="94"/>
        <v>0</v>
      </c>
      <c r="L148" s="18">
        <f t="shared" si="94"/>
        <v>93</v>
      </c>
      <c r="M148" s="18">
        <f t="shared" si="94"/>
        <v>210.60000000000002</v>
      </c>
      <c r="N148" s="18">
        <f t="shared" si="94"/>
        <v>67.799999999999955</v>
      </c>
      <c r="O148" s="18">
        <f t="shared" si="94"/>
        <v>130.79999999999995</v>
      </c>
      <c r="P148" s="18">
        <f t="shared" si="94"/>
        <v>118.20000000000005</v>
      </c>
      <c r="Q148" s="18">
        <f t="shared" si="94"/>
        <v>76.200000000000045</v>
      </c>
      <c r="R148" s="18">
        <f t="shared" si="94"/>
        <v>93</v>
      </c>
      <c r="S148" s="18">
        <f t="shared" si="94"/>
        <v>143.39999999999998</v>
      </c>
      <c r="T148" s="18">
        <f t="shared" si="94"/>
        <v>55.200000000000045</v>
      </c>
      <c r="U148" s="18">
        <f t="shared" si="94"/>
        <v>0</v>
      </c>
      <c r="V148" s="18">
        <f t="shared" si="94"/>
        <v>0</v>
      </c>
      <c r="W148" s="18">
        <f t="shared" si="94"/>
        <v>0</v>
      </c>
      <c r="X148" s="18">
        <f t="shared" si="94"/>
        <v>139.20000000000005</v>
      </c>
      <c r="Y148" s="18">
        <f t="shared" si="94"/>
        <v>177</v>
      </c>
      <c r="Z148" s="18">
        <f t="shared" si="94"/>
        <v>126.60000000000002</v>
      </c>
      <c r="AA148" s="18">
        <f t="shared" si="94"/>
        <v>84.600000000000023</v>
      </c>
      <c r="AB148" s="1" t="s">
        <v>43</v>
      </c>
    </row>
    <row r="149" spans="2:32" x14ac:dyDescent="0.3">
      <c r="B149" s="175"/>
      <c r="C149" s="129" t="s">
        <v>10</v>
      </c>
      <c r="D149" s="115">
        <v>15.54</v>
      </c>
      <c r="E149" s="115">
        <v>17.64</v>
      </c>
      <c r="F149" s="115">
        <v>20.16</v>
      </c>
      <c r="G149" s="115">
        <v>22.26</v>
      </c>
      <c r="H149" s="115">
        <v>22.26</v>
      </c>
      <c r="I149" s="115">
        <v>15.96</v>
      </c>
      <c r="J149" s="115">
        <v>19.32</v>
      </c>
      <c r="K149" s="115">
        <v>18.899999999999999</v>
      </c>
      <c r="L149" s="115">
        <v>21.42</v>
      </c>
      <c r="M149" s="115">
        <v>30.66</v>
      </c>
      <c r="N149" s="115">
        <v>20.58</v>
      </c>
      <c r="O149" s="115">
        <v>26.04</v>
      </c>
      <c r="P149" s="115">
        <v>17.64</v>
      </c>
      <c r="Q149" s="115">
        <v>11.76</v>
      </c>
      <c r="R149" s="115">
        <v>22.68</v>
      </c>
      <c r="S149" s="115">
        <v>31.5</v>
      </c>
      <c r="T149" s="115">
        <v>22.68</v>
      </c>
      <c r="U149" s="115">
        <v>23.52</v>
      </c>
      <c r="V149" s="115">
        <v>23.1</v>
      </c>
      <c r="W149" s="115">
        <v>24.78</v>
      </c>
      <c r="X149" s="115">
        <v>26.46</v>
      </c>
      <c r="Y149" s="115">
        <v>20.58</v>
      </c>
      <c r="Z149" s="115">
        <v>29.4</v>
      </c>
      <c r="AA149" s="115">
        <v>23.52</v>
      </c>
      <c r="AB149" s="2"/>
    </row>
    <row r="150" spans="2:32" x14ac:dyDescent="0.3">
      <c r="B150" s="175"/>
      <c r="C150" s="129" t="s">
        <v>11</v>
      </c>
      <c r="D150" s="115">
        <v>128.52000000000001</v>
      </c>
      <c r="E150" s="115">
        <v>152.04</v>
      </c>
      <c r="F150" s="115">
        <v>152.88</v>
      </c>
      <c r="G150" s="115">
        <v>165.06</v>
      </c>
      <c r="H150" s="115">
        <v>160.44</v>
      </c>
      <c r="I150" s="115">
        <v>122.22</v>
      </c>
      <c r="J150" s="115">
        <v>126</v>
      </c>
      <c r="K150" s="115">
        <v>128.52000000000001</v>
      </c>
      <c r="L150" s="115">
        <v>141.54</v>
      </c>
      <c r="M150" s="115">
        <v>198.24</v>
      </c>
      <c r="N150" s="115">
        <v>168.42</v>
      </c>
      <c r="O150" s="115">
        <v>184.38</v>
      </c>
      <c r="P150" s="115">
        <v>145.74</v>
      </c>
      <c r="Q150" s="115">
        <v>124.32</v>
      </c>
      <c r="R150" s="115">
        <v>163.80000000000001</v>
      </c>
      <c r="S150" s="115">
        <v>203.7</v>
      </c>
      <c r="T150" s="115">
        <v>176.4</v>
      </c>
      <c r="U150" s="115">
        <v>152.04</v>
      </c>
      <c r="V150" s="115">
        <v>143.63999999999999</v>
      </c>
      <c r="W150" s="115">
        <v>141.96</v>
      </c>
      <c r="X150" s="115">
        <v>181.44</v>
      </c>
      <c r="Y150" s="115">
        <v>160.86000000000001</v>
      </c>
      <c r="Z150" s="115">
        <v>197.4</v>
      </c>
      <c r="AA150" s="115">
        <v>171.36</v>
      </c>
      <c r="AB150" s="2"/>
      <c r="AC150" s="1" t="s">
        <v>45</v>
      </c>
      <c r="AD150" s="1">
        <f>SUM(P149:AA150)/SUM(P141:AA141)</f>
        <v>0.25573972602739736</v>
      </c>
      <c r="AF150" s="1">
        <v>145</v>
      </c>
    </row>
    <row r="151" spans="2:32" x14ac:dyDescent="0.3">
      <c r="B151" s="175"/>
      <c r="C151" s="129" t="s">
        <v>0</v>
      </c>
      <c r="D151" s="19" t="s">
        <v>44</v>
      </c>
      <c r="E151" s="20" t="s">
        <v>44</v>
      </c>
      <c r="F151" s="20" t="s">
        <v>44</v>
      </c>
      <c r="G151" s="20" t="s">
        <v>44</v>
      </c>
      <c r="H151" s="20" t="s">
        <v>44</v>
      </c>
      <c r="I151" s="20" t="s">
        <v>44</v>
      </c>
      <c r="J151" s="19" t="s">
        <v>44</v>
      </c>
      <c r="K151" s="20" t="s">
        <v>44</v>
      </c>
      <c r="L151" s="20" t="s">
        <v>44</v>
      </c>
      <c r="M151" s="20" t="s">
        <v>44</v>
      </c>
      <c r="N151" s="20" t="s">
        <v>44</v>
      </c>
      <c r="O151" s="20" t="s">
        <v>44</v>
      </c>
      <c r="P151" s="20" t="s">
        <v>44</v>
      </c>
      <c r="Q151" s="20" t="s">
        <v>44</v>
      </c>
      <c r="R151" s="20" t="s">
        <v>44</v>
      </c>
      <c r="S151" s="20" t="s">
        <v>44</v>
      </c>
      <c r="T151" s="20" t="s">
        <v>44</v>
      </c>
      <c r="U151" s="20" t="s">
        <v>44</v>
      </c>
      <c r="V151" s="20" t="s">
        <v>44</v>
      </c>
      <c r="W151" s="20" t="s">
        <v>44</v>
      </c>
      <c r="X151" s="20" t="s">
        <v>44</v>
      </c>
      <c r="Y151" s="20" t="s">
        <v>44</v>
      </c>
      <c r="Z151" s="20" t="s">
        <v>44</v>
      </c>
      <c r="AA151" s="20" t="s">
        <v>44</v>
      </c>
      <c r="AB151" s="2"/>
      <c r="AC151" s="1" t="s">
        <v>91</v>
      </c>
      <c r="AD151" s="93">
        <f>SUM(P149:AA149)/SUM(P149:AA150)</f>
        <v>0.12392200974878137</v>
      </c>
      <c r="AF151" s="1">
        <v>17.64</v>
      </c>
    </row>
    <row r="152" spans="2:32" x14ac:dyDescent="0.3">
      <c r="B152" s="175"/>
      <c r="C152" s="107"/>
      <c r="D152" s="107"/>
      <c r="E152" s="107"/>
      <c r="F152" s="107"/>
      <c r="G152" s="107"/>
      <c r="H152" s="107"/>
      <c r="I152" s="107"/>
      <c r="J152" s="107"/>
      <c r="K152" s="107"/>
      <c r="L152" s="107"/>
      <c r="M152" s="107"/>
      <c r="N152" s="107"/>
      <c r="O152" s="107"/>
      <c r="P152" s="107"/>
      <c r="Q152" s="107"/>
      <c r="R152" s="107"/>
      <c r="S152" s="107"/>
      <c r="T152" s="107"/>
      <c r="U152" s="107"/>
      <c r="V152" s="107"/>
      <c r="W152" s="107"/>
      <c r="X152" s="107"/>
      <c r="Y152" s="107"/>
      <c r="Z152" s="107"/>
      <c r="AA152" s="108"/>
      <c r="AD152" s="1">
        <v>0.12392200974878137</v>
      </c>
      <c r="AF152" s="1">
        <f>AF150+AF151</f>
        <v>162.63999999999999</v>
      </c>
    </row>
    <row r="153" spans="2:32" x14ac:dyDescent="0.3">
      <c r="B153" s="175"/>
      <c r="C153" s="129" t="s">
        <v>12</v>
      </c>
      <c r="D153" s="126">
        <f>'SIMULAÇÃO CENÁRIOS'!$D$8</f>
        <v>1</v>
      </c>
      <c r="E153" s="126">
        <f>'SIMULAÇÃO CENÁRIOS'!$D$8</f>
        <v>1</v>
      </c>
      <c r="F153" s="126">
        <f>'SIMULAÇÃO CENÁRIOS'!$D$8</f>
        <v>1</v>
      </c>
      <c r="G153" s="126">
        <f>'SIMULAÇÃO CENÁRIOS'!$D$8</f>
        <v>1</v>
      </c>
      <c r="H153" s="126">
        <f>'SIMULAÇÃO CENÁRIOS'!$D$8</f>
        <v>1</v>
      </c>
      <c r="I153" s="126">
        <f>'SIMULAÇÃO CENÁRIOS'!$D$8</f>
        <v>1</v>
      </c>
      <c r="J153" s="126">
        <f>'SIMULAÇÃO CENÁRIOS'!$D$8</f>
        <v>1</v>
      </c>
      <c r="K153" s="126">
        <f>'SIMULAÇÃO CENÁRIOS'!$D$8</f>
        <v>1</v>
      </c>
      <c r="L153" s="126">
        <f>'SIMULAÇÃO CENÁRIOS'!$D$8</f>
        <v>1</v>
      </c>
      <c r="M153" s="126">
        <f>'SIMULAÇÃO CENÁRIOS'!$D$8</f>
        <v>1</v>
      </c>
      <c r="N153" s="126">
        <f>'SIMULAÇÃO CENÁRIOS'!$D$8</f>
        <v>1</v>
      </c>
      <c r="O153" s="126">
        <f>'SIMULAÇÃO CENÁRIOS'!$D$8</f>
        <v>1</v>
      </c>
      <c r="P153" s="126">
        <f>'SIMULAÇÃO CENÁRIOS'!$D$8</f>
        <v>1</v>
      </c>
      <c r="Q153" s="126">
        <f>'SIMULAÇÃO CENÁRIOS'!$D$8</f>
        <v>1</v>
      </c>
      <c r="R153" s="126">
        <f>'SIMULAÇÃO CENÁRIOS'!$D$8</f>
        <v>1</v>
      </c>
      <c r="S153" s="126">
        <f>'SIMULAÇÃO CENÁRIOS'!$D$8</f>
        <v>1</v>
      </c>
      <c r="T153" s="126">
        <f>'SIMULAÇÃO CENÁRIOS'!$D$8</f>
        <v>1</v>
      </c>
      <c r="U153" s="126">
        <f>'SIMULAÇÃO CENÁRIOS'!$D$8</f>
        <v>1</v>
      </c>
      <c r="V153" s="126">
        <f>'SIMULAÇÃO CENÁRIOS'!$D$8</f>
        <v>1</v>
      </c>
      <c r="W153" s="126">
        <f>'SIMULAÇÃO CENÁRIOS'!$D$8</f>
        <v>1</v>
      </c>
      <c r="X153" s="126">
        <f>'SIMULAÇÃO CENÁRIOS'!$D$8</f>
        <v>1</v>
      </c>
      <c r="Y153" s="126">
        <f>'SIMULAÇÃO CENÁRIOS'!$D$8</f>
        <v>1</v>
      </c>
      <c r="Z153" s="126">
        <f>'SIMULAÇÃO CENÁRIOS'!$D$8</f>
        <v>1</v>
      </c>
      <c r="AA153" s="126">
        <f>'SIMULAÇÃO CENÁRIOS'!$D$8</f>
        <v>1</v>
      </c>
    </row>
    <row r="154" spans="2:32" x14ac:dyDescent="0.3">
      <c r="B154" s="175"/>
      <c r="C154" s="107"/>
      <c r="D154" s="107"/>
      <c r="E154" s="107"/>
      <c r="F154" s="107"/>
      <c r="G154" s="107"/>
      <c r="H154" s="107"/>
      <c r="I154" s="107"/>
      <c r="J154" s="107"/>
      <c r="K154" s="107"/>
      <c r="L154" s="107"/>
      <c r="M154" s="107"/>
      <c r="N154" s="107"/>
      <c r="O154" s="107"/>
      <c r="P154" s="107"/>
      <c r="Q154" s="107"/>
      <c r="R154" s="107"/>
      <c r="S154" s="107"/>
      <c r="T154" s="107"/>
      <c r="U154" s="107"/>
      <c r="V154" s="107"/>
      <c r="W154" s="107"/>
      <c r="X154" s="107"/>
      <c r="Y154" s="107"/>
      <c r="Z154" s="107"/>
      <c r="AA154" s="108"/>
    </row>
    <row r="155" spans="2:32" x14ac:dyDescent="0.3">
      <c r="B155" s="175"/>
      <c r="C155" s="129" t="s">
        <v>13</v>
      </c>
      <c r="D155" s="9" t="s">
        <v>1</v>
      </c>
      <c r="E155" s="10" t="s">
        <v>1</v>
      </c>
      <c r="F155" s="10" t="s">
        <v>1</v>
      </c>
      <c r="G155" s="10" t="s">
        <v>1</v>
      </c>
      <c r="H155" s="10" t="s">
        <v>1</v>
      </c>
      <c r="I155" s="10" t="s">
        <v>1</v>
      </c>
      <c r="J155" s="9" t="s">
        <v>1</v>
      </c>
      <c r="K155" s="10" t="s">
        <v>1</v>
      </c>
      <c r="L155" s="10" t="s">
        <v>1</v>
      </c>
      <c r="M155" s="10" t="s">
        <v>1</v>
      </c>
      <c r="N155" s="10" t="s">
        <v>1</v>
      </c>
      <c r="O155" s="10" t="s">
        <v>1</v>
      </c>
      <c r="P155" s="9" t="s">
        <v>1</v>
      </c>
      <c r="Q155" s="9" t="s">
        <v>1</v>
      </c>
      <c r="R155" s="9" t="s">
        <v>1</v>
      </c>
      <c r="S155" s="9" t="s">
        <v>1</v>
      </c>
      <c r="T155" s="9" t="s">
        <v>1</v>
      </c>
      <c r="U155" s="9" t="s">
        <v>1</v>
      </c>
      <c r="V155" s="9" t="s">
        <v>1</v>
      </c>
      <c r="W155" s="9" t="s">
        <v>1</v>
      </c>
      <c r="X155" s="9" t="s">
        <v>1</v>
      </c>
      <c r="Y155" s="9" t="s">
        <v>1</v>
      </c>
      <c r="Z155" s="9" t="s">
        <v>1</v>
      </c>
      <c r="AA155" s="9" t="s">
        <v>1</v>
      </c>
      <c r="AF155" s="92">
        <f>AF152*1000</f>
        <v>162640</v>
      </c>
    </row>
    <row r="156" spans="2:32" x14ac:dyDescent="0.3">
      <c r="B156" s="175"/>
      <c r="C156" s="129" t="s">
        <v>14</v>
      </c>
      <c r="D156" s="11" t="s">
        <v>42</v>
      </c>
      <c r="E156" s="12" t="s">
        <v>42</v>
      </c>
      <c r="F156" s="12" t="s">
        <v>42</v>
      </c>
      <c r="G156" s="12" t="s">
        <v>42</v>
      </c>
      <c r="H156" s="12" t="s">
        <v>42</v>
      </c>
      <c r="I156" s="12" t="s">
        <v>42</v>
      </c>
      <c r="J156" s="11" t="s">
        <v>42</v>
      </c>
      <c r="K156" s="12" t="s">
        <v>42</v>
      </c>
      <c r="L156" s="12" t="s">
        <v>42</v>
      </c>
      <c r="M156" s="12" t="s">
        <v>42</v>
      </c>
      <c r="N156" s="12" t="s">
        <v>42</v>
      </c>
      <c r="O156" s="12" t="s">
        <v>42</v>
      </c>
      <c r="P156" s="12" t="s">
        <v>42</v>
      </c>
      <c r="Q156" s="12" t="s">
        <v>42</v>
      </c>
      <c r="R156" s="12" t="s">
        <v>42</v>
      </c>
      <c r="S156" s="12" t="s">
        <v>42</v>
      </c>
      <c r="T156" s="12" t="s">
        <v>42</v>
      </c>
      <c r="U156" s="12" t="s">
        <v>42</v>
      </c>
      <c r="V156" s="12" t="s">
        <v>42</v>
      </c>
      <c r="W156" s="12" t="s">
        <v>42</v>
      </c>
      <c r="X156" s="12" t="s">
        <v>42</v>
      </c>
      <c r="Y156" s="12" t="s">
        <v>42</v>
      </c>
      <c r="Z156" s="12" t="s">
        <v>42</v>
      </c>
      <c r="AA156" s="12" t="s">
        <v>42</v>
      </c>
      <c r="AF156" s="92">
        <f>AF155/100</f>
        <v>1626.4</v>
      </c>
    </row>
    <row r="157" spans="2:32" x14ac:dyDescent="0.3">
      <c r="B157" s="175"/>
      <c r="C157" s="129" t="s">
        <v>15</v>
      </c>
      <c r="D157" s="13">
        <v>49.84</v>
      </c>
      <c r="E157" s="14">
        <v>49.84</v>
      </c>
      <c r="F157" s="14">
        <v>49.84</v>
      </c>
      <c r="G157" s="14">
        <v>49.84</v>
      </c>
      <c r="H157" s="14">
        <v>49.84</v>
      </c>
      <c r="I157" s="14">
        <v>49.84</v>
      </c>
      <c r="J157" s="13">
        <v>49.84</v>
      </c>
      <c r="K157" s="14">
        <v>49.84</v>
      </c>
      <c r="L157" s="14">
        <v>49.84</v>
      </c>
      <c r="M157" s="14">
        <v>49.84</v>
      </c>
      <c r="N157" s="14">
        <v>49.84</v>
      </c>
      <c r="O157" s="14">
        <v>49.84</v>
      </c>
      <c r="P157" s="14">
        <v>49.84</v>
      </c>
      <c r="Q157" s="14">
        <v>49.84</v>
      </c>
      <c r="R157" s="14">
        <v>49.84</v>
      </c>
      <c r="S157" s="14">
        <v>49.84</v>
      </c>
      <c r="T157" s="14">
        <v>49.84</v>
      </c>
      <c r="U157" s="14">
        <v>49.84</v>
      </c>
      <c r="V157" s="14">
        <v>49.84</v>
      </c>
      <c r="W157" s="14">
        <v>49.84</v>
      </c>
      <c r="X157" s="14">
        <v>49.84</v>
      </c>
      <c r="Y157" s="14">
        <v>49.84</v>
      </c>
      <c r="Z157" s="14">
        <v>49.84</v>
      </c>
      <c r="AA157" s="14">
        <v>49.84</v>
      </c>
      <c r="AF157" s="1">
        <f>AF156*1.343</f>
        <v>2184.2552000000001</v>
      </c>
    </row>
    <row r="158" spans="2:32" x14ac:dyDescent="0.3">
      <c r="B158" s="175"/>
      <c r="C158" s="129" t="s">
        <v>16</v>
      </c>
      <c r="D158" s="11">
        <v>19.260000000000002</v>
      </c>
      <c r="E158" s="12">
        <v>19.260000000000002</v>
      </c>
      <c r="F158" s="12">
        <v>19.260000000000002</v>
      </c>
      <c r="G158" s="12">
        <v>19.260000000000002</v>
      </c>
      <c r="H158" s="12">
        <v>19.260000000000002</v>
      </c>
      <c r="I158" s="12">
        <v>19.260000000000002</v>
      </c>
      <c r="J158" s="11">
        <v>19.260000000000002</v>
      </c>
      <c r="K158" s="12">
        <v>19.260000000000002</v>
      </c>
      <c r="L158" s="12">
        <v>19.260000000000002</v>
      </c>
      <c r="M158" s="12">
        <v>19.260000000000002</v>
      </c>
      <c r="N158" s="12">
        <v>19.260000000000002</v>
      </c>
      <c r="O158" s="12">
        <v>19.260000000000002</v>
      </c>
      <c r="P158" s="12">
        <v>19.260000000000002</v>
      </c>
      <c r="Q158" s="12">
        <v>19.260000000000002</v>
      </c>
      <c r="R158" s="12">
        <v>19.260000000000002</v>
      </c>
      <c r="S158" s="12">
        <v>19.260000000000002</v>
      </c>
      <c r="T158" s="12">
        <v>19.260000000000002</v>
      </c>
      <c r="U158" s="12">
        <v>19.260000000000002</v>
      </c>
      <c r="V158" s="12">
        <v>19.260000000000002</v>
      </c>
      <c r="W158" s="12">
        <v>19.260000000000002</v>
      </c>
      <c r="X158" s="12">
        <v>19.260000000000002</v>
      </c>
      <c r="Y158" s="12">
        <v>19.260000000000002</v>
      </c>
      <c r="Z158" s="12">
        <v>19.260000000000002</v>
      </c>
      <c r="AA158" s="12">
        <v>19.260000000000002</v>
      </c>
    </row>
    <row r="159" spans="2:32" x14ac:dyDescent="0.3">
      <c r="B159" s="175"/>
      <c r="C159" s="129" t="s">
        <v>17</v>
      </c>
      <c r="D159" s="15">
        <v>1292.96</v>
      </c>
      <c r="E159" s="16">
        <v>1292.96</v>
      </c>
      <c r="F159" s="16">
        <v>1292.96</v>
      </c>
      <c r="G159" s="16">
        <v>1292.96</v>
      </c>
      <c r="H159" s="16">
        <v>1292.96</v>
      </c>
      <c r="I159" s="16">
        <v>1292.96</v>
      </c>
      <c r="J159" s="15">
        <v>1292.96</v>
      </c>
      <c r="K159" s="16">
        <v>1292.96</v>
      </c>
      <c r="L159" s="16">
        <v>1292.96</v>
      </c>
      <c r="M159" s="16">
        <v>1292.96</v>
      </c>
      <c r="N159" s="16">
        <v>1292.96</v>
      </c>
      <c r="O159" s="16">
        <v>1292.96</v>
      </c>
      <c r="P159" s="16">
        <v>1292.96</v>
      </c>
      <c r="Q159" s="16">
        <v>1292.96</v>
      </c>
      <c r="R159" s="16">
        <v>1292.96</v>
      </c>
      <c r="S159" s="16">
        <v>1292.96</v>
      </c>
      <c r="T159" s="16">
        <v>1292.96</v>
      </c>
      <c r="U159" s="16">
        <v>1292.96</v>
      </c>
      <c r="V159" s="16">
        <v>1292.96</v>
      </c>
      <c r="W159" s="16">
        <v>1292.96</v>
      </c>
      <c r="X159" s="16">
        <v>1292.96</v>
      </c>
      <c r="Y159" s="16">
        <v>1292.96</v>
      </c>
      <c r="Z159" s="16">
        <v>1292.96</v>
      </c>
      <c r="AA159" s="16">
        <v>1292.96</v>
      </c>
    </row>
    <row r="160" spans="2:32" x14ac:dyDescent="0.3">
      <c r="B160" s="175"/>
      <c r="C160" s="129" t="s">
        <v>18</v>
      </c>
      <c r="D160" s="17">
        <v>83.39</v>
      </c>
      <c r="E160" s="18">
        <v>83.39</v>
      </c>
      <c r="F160" s="18">
        <v>83.39</v>
      </c>
      <c r="G160" s="18">
        <v>83.39</v>
      </c>
      <c r="H160" s="18">
        <v>83.39</v>
      </c>
      <c r="I160" s="18">
        <v>83.39</v>
      </c>
      <c r="J160" s="17">
        <v>83.39</v>
      </c>
      <c r="K160" s="18">
        <v>83.39</v>
      </c>
      <c r="L160" s="18">
        <v>83.39</v>
      </c>
      <c r="M160" s="18">
        <v>83.39</v>
      </c>
      <c r="N160" s="18">
        <v>83.39</v>
      </c>
      <c r="O160" s="18">
        <v>83.39</v>
      </c>
      <c r="P160" s="18">
        <v>83.39</v>
      </c>
      <c r="Q160" s="18">
        <v>83.39</v>
      </c>
      <c r="R160" s="18">
        <v>83.39</v>
      </c>
      <c r="S160" s="18">
        <v>83.39</v>
      </c>
      <c r="T160" s="18">
        <v>83.39</v>
      </c>
      <c r="U160" s="18">
        <v>83.39</v>
      </c>
      <c r="V160" s="18">
        <v>83.39</v>
      </c>
      <c r="W160" s="18">
        <v>83.39</v>
      </c>
      <c r="X160" s="18">
        <v>83.39</v>
      </c>
      <c r="Y160" s="18">
        <v>83.39</v>
      </c>
      <c r="Z160" s="18">
        <v>83.39</v>
      </c>
      <c r="AA160" s="18">
        <v>83.39</v>
      </c>
    </row>
    <row r="161" spans="2:27" x14ac:dyDescent="0.3">
      <c r="B161" s="175"/>
      <c r="C161" s="129" t="s">
        <v>19</v>
      </c>
      <c r="D161" s="15">
        <v>420.68</v>
      </c>
      <c r="E161" s="16">
        <v>420.68</v>
      </c>
      <c r="F161" s="16">
        <v>420.68</v>
      </c>
      <c r="G161" s="16">
        <v>420.68</v>
      </c>
      <c r="H161" s="16">
        <v>420.68</v>
      </c>
      <c r="I161" s="16">
        <v>420.68</v>
      </c>
      <c r="J161" s="15">
        <v>420.68</v>
      </c>
      <c r="K161" s="16">
        <v>420.68</v>
      </c>
      <c r="L161" s="16">
        <v>420.68</v>
      </c>
      <c r="M161" s="16">
        <v>420.68</v>
      </c>
      <c r="N161" s="16">
        <v>420.68</v>
      </c>
      <c r="O161" s="16">
        <v>420.68</v>
      </c>
      <c r="P161" s="16">
        <v>420.68</v>
      </c>
      <c r="Q161" s="16">
        <v>420.68</v>
      </c>
      <c r="R161" s="16">
        <v>420.68</v>
      </c>
      <c r="S161" s="16">
        <v>420.68</v>
      </c>
      <c r="T161" s="16">
        <v>420.68</v>
      </c>
      <c r="U161" s="16">
        <v>420.68</v>
      </c>
      <c r="V161" s="16">
        <v>420.68</v>
      </c>
      <c r="W161" s="16">
        <v>420.68</v>
      </c>
      <c r="X161" s="16">
        <v>420.68</v>
      </c>
      <c r="Y161" s="16">
        <v>420.68</v>
      </c>
      <c r="Z161" s="16">
        <v>420.68</v>
      </c>
      <c r="AA161" s="16">
        <v>420.68</v>
      </c>
    </row>
    <row r="162" spans="2:27" x14ac:dyDescent="0.3">
      <c r="B162" s="175"/>
      <c r="C162" s="130" t="s">
        <v>20</v>
      </c>
      <c r="D162" s="21">
        <v>251.44</v>
      </c>
      <c r="E162" s="22">
        <v>251.44</v>
      </c>
      <c r="F162" s="22">
        <v>251.44</v>
      </c>
      <c r="G162" s="22">
        <v>251.44</v>
      </c>
      <c r="H162" s="22">
        <v>251.44</v>
      </c>
      <c r="I162" s="22">
        <v>251.44</v>
      </c>
      <c r="J162" s="21">
        <v>251.44</v>
      </c>
      <c r="K162" s="22">
        <v>251.44</v>
      </c>
      <c r="L162" s="22">
        <v>251.44</v>
      </c>
      <c r="M162" s="22">
        <v>251.44</v>
      </c>
      <c r="N162" s="22">
        <v>251.44</v>
      </c>
      <c r="O162" s="22">
        <v>251.44</v>
      </c>
      <c r="P162" s="22">
        <v>251.44</v>
      </c>
      <c r="Q162" s="22">
        <v>251.44</v>
      </c>
      <c r="R162" s="22">
        <v>251.44</v>
      </c>
      <c r="S162" s="22">
        <v>251.44</v>
      </c>
      <c r="T162" s="22">
        <v>251.44</v>
      </c>
      <c r="U162" s="22">
        <v>251.44</v>
      </c>
      <c r="V162" s="22">
        <v>251.44</v>
      </c>
      <c r="W162" s="22">
        <v>251.44</v>
      </c>
      <c r="X162" s="22">
        <v>251.44</v>
      </c>
      <c r="Y162" s="22">
        <v>251.44</v>
      </c>
      <c r="Z162" s="22">
        <v>251.44</v>
      </c>
      <c r="AA162" s="22">
        <v>251.44</v>
      </c>
    </row>
    <row r="163" spans="2:27" x14ac:dyDescent="0.3">
      <c r="B163" s="175"/>
      <c r="C163" s="107"/>
      <c r="D163" s="107"/>
      <c r="E163" s="107"/>
      <c r="F163" s="107"/>
      <c r="G163" s="107"/>
      <c r="H163" s="107"/>
      <c r="I163" s="107"/>
      <c r="J163" s="107"/>
      <c r="K163" s="107"/>
      <c r="L163" s="107"/>
      <c r="M163" s="107"/>
      <c r="N163" s="107"/>
      <c r="O163" s="107"/>
      <c r="P163" s="107"/>
      <c r="Q163" s="107"/>
      <c r="R163" s="107"/>
      <c r="S163" s="107"/>
      <c r="T163" s="107"/>
      <c r="U163" s="107"/>
      <c r="V163" s="107"/>
      <c r="W163" s="107"/>
      <c r="X163" s="107"/>
      <c r="Y163" s="107"/>
      <c r="Z163" s="107"/>
      <c r="AA163" s="23"/>
    </row>
    <row r="164" spans="2:27" x14ac:dyDescent="0.3">
      <c r="B164" s="175"/>
      <c r="C164" s="129" t="s">
        <v>21</v>
      </c>
      <c r="D164" s="24">
        <v>0.27</v>
      </c>
      <c r="E164" s="24">
        <v>0.27</v>
      </c>
      <c r="F164" s="24">
        <v>0.27</v>
      </c>
      <c r="G164" s="24">
        <v>0.27</v>
      </c>
      <c r="H164" s="24">
        <v>0.27</v>
      </c>
      <c r="I164" s="24">
        <v>0.27</v>
      </c>
      <c r="J164" s="24">
        <v>0.27</v>
      </c>
      <c r="K164" s="24">
        <v>0.27</v>
      </c>
      <c r="L164" s="24">
        <v>0.27</v>
      </c>
      <c r="M164" s="24">
        <v>0.27</v>
      </c>
      <c r="N164" s="24">
        <v>0.27</v>
      </c>
      <c r="O164" s="24">
        <v>0.27</v>
      </c>
      <c r="P164" s="24">
        <v>0.27</v>
      </c>
      <c r="Q164" s="24">
        <v>0.27</v>
      </c>
      <c r="R164" s="24">
        <v>0.27</v>
      </c>
      <c r="S164" s="24">
        <v>0.27</v>
      </c>
      <c r="T164" s="24">
        <v>0.27</v>
      </c>
      <c r="U164" s="24">
        <v>0.27</v>
      </c>
      <c r="V164" s="24">
        <v>0.27</v>
      </c>
      <c r="W164" s="24">
        <v>0.27</v>
      </c>
      <c r="X164" s="24">
        <v>0.27</v>
      </c>
      <c r="Y164" s="24">
        <v>0.27</v>
      </c>
      <c r="Z164" s="24">
        <v>0.27</v>
      </c>
      <c r="AA164" s="24">
        <v>0.27</v>
      </c>
    </row>
    <row r="165" spans="2:27" x14ac:dyDescent="0.3">
      <c r="B165" s="175"/>
      <c r="C165" s="129" t="s">
        <v>22</v>
      </c>
      <c r="D165" s="25">
        <v>0.05</v>
      </c>
      <c r="E165" s="26">
        <v>0.05</v>
      </c>
      <c r="F165" s="26">
        <v>0.05</v>
      </c>
      <c r="G165" s="26">
        <v>0.05</v>
      </c>
      <c r="H165" s="26">
        <v>0.05</v>
      </c>
      <c r="I165" s="26">
        <v>0.05</v>
      </c>
      <c r="J165" s="25">
        <v>0.05</v>
      </c>
      <c r="K165" s="26">
        <v>0.05</v>
      </c>
      <c r="L165" s="26">
        <v>0.05</v>
      </c>
      <c r="M165" s="26">
        <v>0.05</v>
      </c>
      <c r="N165" s="26">
        <v>0.05</v>
      </c>
      <c r="O165" s="26">
        <v>0.05</v>
      </c>
      <c r="P165" s="26">
        <v>0.05</v>
      </c>
      <c r="Q165" s="26">
        <v>0.05</v>
      </c>
      <c r="R165" s="26">
        <v>0.05</v>
      </c>
      <c r="S165" s="26">
        <v>0.05</v>
      </c>
      <c r="T165" s="26">
        <v>0.05</v>
      </c>
      <c r="U165" s="26">
        <v>0.05</v>
      </c>
      <c r="V165" s="26">
        <v>0.05</v>
      </c>
      <c r="W165" s="26">
        <v>0.05</v>
      </c>
      <c r="X165" s="26">
        <v>0.05</v>
      </c>
      <c r="Y165" s="26">
        <v>0.05</v>
      </c>
      <c r="Z165" s="26">
        <v>0.05</v>
      </c>
      <c r="AA165" s="26">
        <v>0.05</v>
      </c>
    </row>
    <row r="166" spans="2:27" x14ac:dyDescent="0.3">
      <c r="B166" s="175"/>
      <c r="C166" s="107"/>
      <c r="D166" s="107"/>
      <c r="E166" s="107"/>
      <c r="F166" s="107"/>
      <c r="G166" s="107"/>
      <c r="H166" s="107"/>
      <c r="I166" s="107"/>
      <c r="J166" s="107"/>
      <c r="K166" s="107"/>
      <c r="L166" s="107"/>
      <c r="M166" s="107"/>
      <c r="N166" s="107"/>
      <c r="O166" s="107"/>
      <c r="P166" s="107"/>
      <c r="Q166" s="107"/>
      <c r="R166" s="107"/>
      <c r="S166" s="107"/>
      <c r="T166" s="107"/>
      <c r="U166" s="107"/>
      <c r="V166" s="107"/>
      <c r="W166" s="107"/>
      <c r="X166" s="107"/>
      <c r="Y166" s="107"/>
      <c r="Z166" s="107"/>
      <c r="AA166" s="23"/>
    </row>
    <row r="167" spans="2:27" x14ac:dyDescent="0.3">
      <c r="B167" s="175"/>
      <c r="C167" s="131" t="s">
        <v>23</v>
      </c>
      <c r="D167" s="27">
        <f>IF(D156="Azul",D145*D157*(1-D153),0)</f>
        <v>0</v>
      </c>
      <c r="E167" s="28">
        <f t="shared" ref="E167:O167" si="95">IF(E156="Azul",E145*E157*(1-E153),0)</f>
        <v>0</v>
      </c>
      <c r="F167" s="28">
        <f t="shared" si="95"/>
        <v>0</v>
      </c>
      <c r="G167" s="28">
        <f t="shared" si="95"/>
        <v>0</v>
      </c>
      <c r="H167" s="28">
        <f t="shared" si="95"/>
        <v>0</v>
      </c>
      <c r="I167" s="28">
        <f t="shared" si="95"/>
        <v>0</v>
      </c>
      <c r="J167" s="27">
        <f t="shared" si="95"/>
        <v>0</v>
      </c>
      <c r="K167" s="28">
        <f t="shared" si="95"/>
        <v>0</v>
      </c>
      <c r="L167" s="28">
        <f t="shared" si="95"/>
        <v>0</v>
      </c>
      <c r="M167" s="28">
        <f t="shared" si="95"/>
        <v>0</v>
      </c>
      <c r="N167" s="28">
        <f t="shared" si="95"/>
        <v>0</v>
      </c>
      <c r="O167" s="28">
        <f t="shared" si="95"/>
        <v>0</v>
      </c>
      <c r="P167" s="27">
        <f>IF(P156="Azul",P145*P157*(1-P153),0)</f>
        <v>0</v>
      </c>
      <c r="Q167" s="28">
        <f t="shared" ref="Q167:AA167" si="96">IF(Q156="Azul",Q145*Q157*(1-Q153),0)</f>
        <v>0</v>
      </c>
      <c r="R167" s="28">
        <f t="shared" si="96"/>
        <v>0</v>
      </c>
      <c r="S167" s="28">
        <f t="shared" si="96"/>
        <v>0</v>
      </c>
      <c r="T167" s="28">
        <f t="shared" si="96"/>
        <v>0</v>
      </c>
      <c r="U167" s="28">
        <f t="shared" si="96"/>
        <v>0</v>
      </c>
      <c r="V167" s="28">
        <f t="shared" si="96"/>
        <v>0</v>
      </c>
      <c r="W167" s="28">
        <f t="shared" si="96"/>
        <v>0</v>
      </c>
      <c r="X167" s="28">
        <f t="shared" si="96"/>
        <v>0</v>
      </c>
      <c r="Y167" s="28">
        <f t="shared" si="96"/>
        <v>0</v>
      </c>
      <c r="Z167" s="28">
        <f t="shared" si="96"/>
        <v>0</v>
      </c>
      <c r="AA167" s="28">
        <f t="shared" si="96"/>
        <v>0</v>
      </c>
    </row>
    <row r="168" spans="2:27" x14ac:dyDescent="0.3">
      <c r="B168" s="175"/>
      <c r="C168" s="131" t="s">
        <v>24</v>
      </c>
      <c r="D168" s="29">
        <f>D147*D157*2</f>
        <v>0</v>
      </c>
      <c r="E168" s="30">
        <f t="shared" ref="E168:O168" si="97">E147*E157*2</f>
        <v>0</v>
      </c>
      <c r="F168" s="30">
        <f t="shared" si="97"/>
        <v>0</v>
      </c>
      <c r="G168" s="30">
        <f t="shared" si="97"/>
        <v>0</v>
      </c>
      <c r="H168" s="30">
        <f t="shared" si="97"/>
        <v>0</v>
      </c>
      <c r="I168" s="30">
        <f t="shared" si="97"/>
        <v>0</v>
      </c>
      <c r="J168" s="29">
        <f t="shared" si="97"/>
        <v>0</v>
      </c>
      <c r="K168" s="30">
        <f t="shared" si="97"/>
        <v>0</v>
      </c>
      <c r="L168" s="30">
        <f t="shared" si="97"/>
        <v>0</v>
      </c>
      <c r="M168" s="30">
        <f t="shared" si="97"/>
        <v>0</v>
      </c>
      <c r="N168" s="30">
        <f t="shared" si="97"/>
        <v>0</v>
      </c>
      <c r="O168" s="30">
        <f t="shared" si="97"/>
        <v>0</v>
      </c>
      <c r="P168" s="29">
        <f>P147*P157*2</f>
        <v>0</v>
      </c>
      <c r="Q168" s="30">
        <f t="shared" ref="Q168:AA168" si="98">Q147*Q157*2</f>
        <v>0</v>
      </c>
      <c r="R168" s="30">
        <f t="shared" si="98"/>
        <v>0</v>
      </c>
      <c r="S168" s="30">
        <f t="shared" si="98"/>
        <v>0</v>
      </c>
      <c r="T168" s="30">
        <f t="shared" si="98"/>
        <v>0</v>
      </c>
      <c r="U168" s="30">
        <f t="shared" si="98"/>
        <v>0</v>
      </c>
      <c r="V168" s="30">
        <f t="shared" si="98"/>
        <v>0</v>
      </c>
      <c r="W168" s="30">
        <f t="shared" si="98"/>
        <v>0</v>
      </c>
      <c r="X168" s="30">
        <f t="shared" si="98"/>
        <v>0</v>
      </c>
      <c r="Y168" s="30">
        <f t="shared" si="98"/>
        <v>0</v>
      </c>
      <c r="Z168" s="30">
        <f t="shared" si="98"/>
        <v>0</v>
      </c>
      <c r="AA168" s="30">
        <f t="shared" si="98"/>
        <v>0</v>
      </c>
    </row>
    <row r="169" spans="2:27" x14ac:dyDescent="0.3">
      <c r="B169" s="175"/>
      <c r="C169" s="131" t="s">
        <v>25</v>
      </c>
      <c r="D169" s="31">
        <f>D146*D158*(1-D153)</f>
        <v>0</v>
      </c>
      <c r="E169" s="32">
        <f t="shared" ref="E169:O169" si="99">E146*E158*(1-E153)</f>
        <v>0</v>
      </c>
      <c r="F169" s="32">
        <f t="shared" si="99"/>
        <v>0</v>
      </c>
      <c r="G169" s="32">
        <f t="shared" si="99"/>
        <v>0</v>
      </c>
      <c r="H169" s="32">
        <f t="shared" si="99"/>
        <v>0</v>
      </c>
      <c r="I169" s="32">
        <f t="shared" si="99"/>
        <v>0</v>
      </c>
      <c r="J169" s="31">
        <f t="shared" si="99"/>
        <v>0</v>
      </c>
      <c r="K169" s="32">
        <f t="shared" si="99"/>
        <v>0</v>
      </c>
      <c r="L169" s="32">
        <f t="shared" si="99"/>
        <v>0</v>
      </c>
      <c r="M169" s="32">
        <f t="shared" si="99"/>
        <v>0</v>
      </c>
      <c r="N169" s="32">
        <f t="shared" si="99"/>
        <v>0</v>
      </c>
      <c r="O169" s="32">
        <f t="shared" si="99"/>
        <v>0</v>
      </c>
      <c r="P169" s="31">
        <f>P146*P158*(1-P153)</f>
        <v>0</v>
      </c>
      <c r="Q169" s="32">
        <f t="shared" ref="Q169:AA169" si="100">Q146*Q158*(1-Q153)</f>
        <v>0</v>
      </c>
      <c r="R169" s="32">
        <f t="shared" si="100"/>
        <v>0</v>
      </c>
      <c r="S169" s="32">
        <f t="shared" si="100"/>
        <v>0</v>
      </c>
      <c r="T169" s="32">
        <f t="shared" si="100"/>
        <v>0</v>
      </c>
      <c r="U169" s="32">
        <f t="shared" si="100"/>
        <v>0</v>
      </c>
      <c r="V169" s="32">
        <f t="shared" si="100"/>
        <v>0</v>
      </c>
      <c r="W169" s="32">
        <f t="shared" si="100"/>
        <v>0</v>
      </c>
      <c r="X169" s="32">
        <f t="shared" si="100"/>
        <v>0</v>
      </c>
      <c r="Y169" s="32">
        <f t="shared" si="100"/>
        <v>0</v>
      </c>
      <c r="Z169" s="32">
        <f t="shared" si="100"/>
        <v>0</v>
      </c>
      <c r="AA169" s="32">
        <f t="shared" si="100"/>
        <v>0</v>
      </c>
    </row>
    <row r="170" spans="2:27" x14ac:dyDescent="0.3">
      <c r="B170" s="175"/>
      <c r="C170" s="131" t="s">
        <v>26</v>
      </c>
      <c r="D170" s="29">
        <f>D148*D158*2</f>
        <v>0</v>
      </c>
      <c r="E170" s="30">
        <f t="shared" ref="E170:O170" si="101">E148*E158*2</f>
        <v>1964.5200000000002</v>
      </c>
      <c r="F170" s="30">
        <f t="shared" si="101"/>
        <v>1479.1679999999992</v>
      </c>
      <c r="G170" s="30">
        <f t="shared" si="101"/>
        <v>1479.1679999999992</v>
      </c>
      <c r="H170" s="30">
        <f t="shared" si="101"/>
        <v>1640.9520000000009</v>
      </c>
      <c r="I170" s="30">
        <f t="shared" si="101"/>
        <v>0</v>
      </c>
      <c r="J170" s="29">
        <f t="shared" si="101"/>
        <v>0</v>
      </c>
      <c r="K170" s="30">
        <f t="shared" si="101"/>
        <v>0</v>
      </c>
      <c r="L170" s="30">
        <f t="shared" si="101"/>
        <v>3582.36</v>
      </c>
      <c r="M170" s="30">
        <f t="shared" si="101"/>
        <v>8112.3120000000017</v>
      </c>
      <c r="N170" s="30">
        <f t="shared" si="101"/>
        <v>2611.6559999999986</v>
      </c>
      <c r="O170" s="30">
        <f t="shared" si="101"/>
        <v>5038.4159999999983</v>
      </c>
      <c r="P170" s="29">
        <f>P148*P158*2</f>
        <v>4553.0640000000021</v>
      </c>
      <c r="Q170" s="30">
        <f t="shared" ref="Q170:AA170" si="102">Q148*Q158*2</f>
        <v>2935.224000000002</v>
      </c>
      <c r="R170" s="30">
        <f t="shared" si="102"/>
        <v>3582.36</v>
      </c>
      <c r="S170" s="30">
        <f t="shared" si="102"/>
        <v>5523.7679999999991</v>
      </c>
      <c r="T170" s="30">
        <f t="shared" si="102"/>
        <v>2126.3040000000019</v>
      </c>
      <c r="U170" s="30">
        <f t="shared" si="102"/>
        <v>0</v>
      </c>
      <c r="V170" s="30">
        <f t="shared" si="102"/>
        <v>0</v>
      </c>
      <c r="W170" s="30">
        <f t="shared" si="102"/>
        <v>0</v>
      </c>
      <c r="X170" s="30">
        <f t="shared" si="102"/>
        <v>5361.9840000000022</v>
      </c>
      <c r="Y170" s="30">
        <f t="shared" si="102"/>
        <v>6818.0400000000009</v>
      </c>
      <c r="Z170" s="30">
        <f t="shared" si="102"/>
        <v>4876.6320000000014</v>
      </c>
      <c r="AA170" s="30">
        <f t="shared" si="102"/>
        <v>3258.7920000000013</v>
      </c>
    </row>
    <row r="171" spans="2:27" x14ac:dyDescent="0.3">
      <c r="B171" s="175"/>
      <c r="C171" s="131" t="s">
        <v>27</v>
      </c>
      <c r="D171" s="31">
        <f>IF(D156="Azul",D149*D160,D149*((D159-D160)*(1-D153)+D160))</f>
        <v>1295.8806</v>
      </c>
      <c r="E171" s="32">
        <f t="shared" ref="E171:O171" si="103">IF(E156="Azul",E149*E160,E149*((E159-E160)*(1-E153)+E160))</f>
        <v>1470.9996000000001</v>
      </c>
      <c r="F171" s="32">
        <f t="shared" si="103"/>
        <v>1681.1424</v>
      </c>
      <c r="G171" s="32">
        <f t="shared" si="103"/>
        <v>1856.2614000000001</v>
      </c>
      <c r="H171" s="32">
        <f t="shared" si="103"/>
        <v>1856.2614000000001</v>
      </c>
      <c r="I171" s="32">
        <f t="shared" si="103"/>
        <v>1330.9044000000001</v>
      </c>
      <c r="J171" s="31">
        <f t="shared" si="103"/>
        <v>1611.0948000000001</v>
      </c>
      <c r="K171" s="32">
        <f t="shared" si="103"/>
        <v>1576.0709999999999</v>
      </c>
      <c r="L171" s="32">
        <f t="shared" si="103"/>
        <v>1786.2138000000002</v>
      </c>
      <c r="M171" s="32">
        <f t="shared" si="103"/>
        <v>2556.7374</v>
      </c>
      <c r="N171" s="32">
        <f t="shared" si="103"/>
        <v>1716.1661999999999</v>
      </c>
      <c r="O171" s="32">
        <f t="shared" si="103"/>
        <v>2171.4755999999998</v>
      </c>
      <c r="P171" s="31">
        <f>IF(P156="Azul",P149*P160,P149*((P159-P160)*(1-P153)+P160))</f>
        <v>1470.9996000000001</v>
      </c>
      <c r="Q171" s="32">
        <f t="shared" ref="Q171:AA171" si="104">IF(Q156="Azul",Q149*Q160,Q149*((Q159-Q160)*(1-Q153)+Q160))</f>
        <v>980.66639999999995</v>
      </c>
      <c r="R171" s="32">
        <f t="shared" si="104"/>
        <v>1891.2852</v>
      </c>
      <c r="S171" s="32">
        <f t="shared" si="104"/>
        <v>2626.7849999999999</v>
      </c>
      <c r="T171" s="32">
        <f t="shared" si="104"/>
        <v>1891.2852</v>
      </c>
      <c r="U171" s="32">
        <f t="shared" si="104"/>
        <v>1961.3327999999999</v>
      </c>
      <c r="V171" s="32">
        <f t="shared" si="104"/>
        <v>1926.3090000000002</v>
      </c>
      <c r="W171" s="32">
        <f t="shared" si="104"/>
        <v>2066.4041999999999</v>
      </c>
      <c r="X171" s="32">
        <f t="shared" si="104"/>
        <v>2206.4994000000002</v>
      </c>
      <c r="Y171" s="32">
        <f t="shared" si="104"/>
        <v>1716.1661999999999</v>
      </c>
      <c r="Z171" s="32">
        <f t="shared" si="104"/>
        <v>2451.6659999999997</v>
      </c>
      <c r="AA171" s="32">
        <f t="shared" si="104"/>
        <v>1961.3327999999999</v>
      </c>
    </row>
    <row r="172" spans="2:27" x14ac:dyDescent="0.3">
      <c r="B172" s="175"/>
      <c r="C172" s="132" t="s">
        <v>28</v>
      </c>
      <c r="D172" s="33">
        <f>D150*D160</f>
        <v>10717.282800000001</v>
      </c>
      <c r="E172" s="34">
        <f t="shared" ref="E172:O172" si="105">E150*E160</f>
        <v>12678.615599999999</v>
      </c>
      <c r="F172" s="34">
        <f t="shared" si="105"/>
        <v>12748.663199999999</v>
      </c>
      <c r="G172" s="34">
        <f t="shared" si="105"/>
        <v>13764.3534</v>
      </c>
      <c r="H172" s="34">
        <f t="shared" si="105"/>
        <v>13379.0916</v>
      </c>
      <c r="I172" s="34">
        <f t="shared" si="105"/>
        <v>10191.925799999999</v>
      </c>
      <c r="J172" s="33">
        <f t="shared" si="105"/>
        <v>10507.14</v>
      </c>
      <c r="K172" s="34">
        <f t="shared" si="105"/>
        <v>10717.282800000001</v>
      </c>
      <c r="L172" s="34">
        <f t="shared" si="105"/>
        <v>11803.0206</v>
      </c>
      <c r="M172" s="34">
        <f t="shared" si="105"/>
        <v>16531.2336</v>
      </c>
      <c r="N172" s="34">
        <f t="shared" si="105"/>
        <v>14044.543799999999</v>
      </c>
      <c r="O172" s="34">
        <f t="shared" si="105"/>
        <v>15375.448199999999</v>
      </c>
      <c r="P172" s="33">
        <f>P150*P160</f>
        <v>12153.258600000001</v>
      </c>
      <c r="Q172" s="34">
        <f t="shared" ref="Q172:AA172" si="106">Q150*Q160</f>
        <v>10367.0448</v>
      </c>
      <c r="R172" s="34">
        <f t="shared" si="106"/>
        <v>13659.282000000001</v>
      </c>
      <c r="S172" s="34">
        <f t="shared" si="106"/>
        <v>16986.542999999998</v>
      </c>
      <c r="T172" s="34">
        <f t="shared" si="106"/>
        <v>14709.996000000001</v>
      </c>
      <c r="U172" s="34">
        <f t="shared" si="106"/>
        <v>12678.615599999999</v>
      </c>
      <c r="V172" s="34">
        <f t="shared" si="106"/>
        <v>11978.139599999999</v>
      </c>
      <c r="W172" s="34">
        <f t="shared" si="106"/>
        <v>11838.044400000001</v>
      </c>
      <c r="X172" s="34">
        <f t="shared" si="106"/>
        <v>15130.2816</v>
      </c>
      <c r="Y172" s="34">
        <f t="shared" si="106"/>
        <v>13414.115400000001</v>
      </c>
      <c r="Z172" s="34">
        <f t="shared" si="106"/>
        <v>16461.186000000002</v>
      </c>
      <c r="AA172" s="34">
        <f t="shared" si="106"/>
        <v>14289.710400000002</v>
      </c>
    </row>
    <row r="173" spans="2:27" x14ac:dyDescent="0.3">
      <c r="B173" s="175"/>
      <c r="C173" s="131" t="s">
        <v>29</v>
      </c>
      <c r="D173" s="27">
        <f>SUM(D167:D172)</f>
        <v>12013.163400000001</v>
      </c>
      <c r="E173" s="28">
        <f>SUM(E167:E172)</f>
        <v>16114.135200000001</v>
      </c>
      <c r="F173" s="28">
        <f>SUM(F167:F172)</f>
        <v>15908.973599999998</v>
      </c>
      <c r="G173" s="28">
        <f t="shared" ref="G173:O173" si="107">SUM(G167:G172)</f>
        <v>17099.782800000001</v>
      </c>
      <c r="H173" s="28">
        <f t="shared" si="107"/>
        <v>16876.305</v>
      </c>
      <c r="I173" s="28">
        <f t="shared" si="107"/>
        <v>11522.830199999999</v>
      </c>
      <c r="J173" s="27">
        <f t="shared" si="107"/>
        <v>12118.2348</v>
      </c>
      <c r="K173" s="28">
        <f t="shared" si="107"/>
        <v>12293.353800000001</v>
      </c>
      <c r="L173" s="28">
        <f t="shared" si="107"/>
        <v>17171.594400000002</v>
      </c>
      <c r="M173" s="28">
        <f t="shared" si="107"/>
        <v>27200.283000000003</v>
      </c>
      <c r="N173" s="28">
        <f t="shared" si="107"/>
        <v>18372.365999999998</v>
      </c>
      <c r="O173" s="28">
        <f t="shared" si="107"/>
        <v>22585.339799999998</v>
      </c>
      <c r="P173" s="27">
        <f>SUM(P167:P172)</f>
        <v>18177.322200000002</v>
      </c>
      <c r="Q173" s="28">
        <f t="shared" ref="Q173:AA173" si="108">SUM(Q167:Q172)</f>
        <v>14282.935200000002</v>
      </c>
      <c r="R173" s="28">
        <f t="shared" si="108"/>
        <v>19132.927200000002</v>
      </c>
      <c r="S173" s="28">
        <f t="shared" si="108"/>
        <v>25137.095999999998</v>
      </c>
      <c r="T173" s="28">
        <f t="shared" si="108"/>
        <v>18727.585200000001</v>
      </c>
      <c r="U173" s="28">
        <f t="shared" si="108"/>
        <v>14639.948399999999</v>
      </c>
      <c r="V173" s="28">
        <f t="shared" si="108"/>
        <v>13904.4486</v>
      </c>
      <c r="W173" s="28">
        <f t="shared" si="108"/>
        <v>13904.4486</v>
      </c>
      <c r="X173" s="28">
        <f t="shared" si="108"/>
        <v>22698.765000000003</v>
      </c>
      <c r="Y173" s="28">
        <f t="shared" si="108"/>
        <v>21948.321600000003</v>
      </c>
      <c r="Z173" s="28">
        <f t="shared" si="108"/>
        <v>23789.484000000004</v>
      </c>
      <c r="AA173" s="28">
        <f t="shared" si="108"/>
        <v>19509.835200000001</v>
      </c>
    </row>
    <row r="174" spans="2:27" x14ac:dyDescent="0.3">
      <c r="B174" s="175"/>
      <c r="C174" s="131" t="s">
        <v>30</v>
      </c>
      <c r="D174" s="35">
        <f>D173/(1-SUM(D164:D165))*SUM(D164:D165)+((D178+D176+D177)/(1-SUM(D164:D165))*SUM(D164:D165))</f>
        <v>20888.555858823533</v>
      </c>
      <c r="E174" s="36">
        <f t="shared" ref="E174:AA174" si="109">E173/(1-SUM(E164:E165))*SUM(E164:E165)+((E178+E176+E177)/(1-SUM(E164:E165))*SUM(E164:E165))</f>
        <v>24013.764705882357</v>
      </c>
      <c r="F174" s="36">
        <f t="shared" si="109"/>
        <v>25351.625788235298</v>
      </c>
      <c r="G174" s="36">
        <f t="shared" si="109"/>
        <v>27107.346352941182</v>
      </c>
      <c r="H174" s="36">
        <f t="shared" si="109"/>
        <v>27002.180329411771</v>
      </c>
      <c r="I174" s="36">
        <f t="shared" si="109"/>
        <v>20896.878776470592</v>
      </c>
      <c r="J174" s="35">
        <f t="shared" si="109"/>
        <v>23089.612800000003</v>
      </c>
      <c r="K174" s="36">
        <f t="shared" si="109"/>
        <v>22932.953788235296</v>
      </c>
      <c r="L174" s="36">
        <f t="shared" si="109"/>
        <v>26663.004141176476</v>
      </c>
      <c r="M174" s="36">
        <f t="shared" si="109"/>
        <v>36641.881976470599</v>
      </c>
      <c r="N174" s="36">
        <f t="shared" si="109"/>
        <v>26749.937223529414</v>
      </c>
      <c r="O174" s="36">
        <f t="shared" si="109"/>
        <v>31840.396517647067</v>
      </c>
      <c r="P174" s="35">
        <f t="shared" si="109"/>
        <v>24984.676235294122</v>
      </c>
      <c r="Q174" s="36">
        <f t="shared" si="109"/>
        <v>19805.072188235295</v>
      </c>
      <c r="R174" s="36">
        <f t="shared" si="109"/>
        <v>28303.188141176477</v>
      </c>
      <c r="S174" s="36">
        <f t="shared" si="109"/>
        <v>36149.106352941177</v>
      </c>
      <c r="T174" s="36">
        <f t="shared" si="109"/>
        <v>28112.438964705885</v>
      </c>
      <c r="U174" s="36">
        <f t="shared" si="109"/>
        <v>26666.981082352941</v>
      </c>
      <c r="V174" s="36">
        <f t="shared" si="109"/>
        <v>26081.795576470591</v>
      </c>
      <c r="W174" s="36">
        <f t="shared" si="109"/>
        <v>27038.0673882353</v>
      </c>
      <c r="X174" s="36">
        <f t="shared" si="109"/>
        <v>32132.841035294125</v>
      </c>
      <c r="Y174" s="36">
        <f t="shared" si="109"/>
        <v>28432.73985882353</v>
      </c>
      <c r="Z174" s="36">
        <f t="shared" si="109"/>
        <v>34319.596235294121</v>
      </c>
      <c r="AA174" s="36">
        <f t="shared" si="109"/>
        <v>28958.692517647061</v>
      </c>
    </row>
    <row r="175" spans="2:27" x14ac:dyDescent="0.3">
      <c r="B175" s="175"/>
      <c r="C175" s="107"/>
      <c r="D175" s="107"/>
      <c r="E175" s="107"/>
      <c r="F175" s="107"/>
      <c r="G175" s="107"/>
      <c r="H175" s="107"/>
      <c r="I175" s="107"/>
      <c r="J175" s="107"/>
      <c r="K175" s="107"/>
      <c r="L175" s="107"/>
      <c r="M175" s="107"/>
      <c r="N175" s="107"/>
      <c r="O175" s="107"/>
      <c r="P175" s="107"/>
      <c r="Q175" s="107"/>
      <c r="R175" s="107"/>
      <c r="S175" s="107"/>
      <c r="T175" s="107"/>
      <c r="U175" s="107"/>
      <c r="V175" s="107"/>
      <c r="W175" s="107"/>
      <c r="X175" s="107"/>
      <c r="Y175" s="107"/>
      <c r="Z175" s="107"/>
      <c r="AA175" s="37"/>
    </row>
    <row r="176" spans="2:27" x14ac:dyDescent="0.3">
      <c r="B176" s="175"/>
      <c r="C176" s="131" t="s">
        <v>31</v>
      </c>
      <c r="D176" s="9">
        <f>IF(D156="Azul",D145*D157*(D153),0)</f>
        <v>0</v>
      </c>
      <c r="E176" s="10">
        <f t="shared" ref="E176:O176" si="110">IF(E156="Azul",E145*E157*(E153),0)</f>
        <v>0</v>
      </c>
      <c r="F176" s="10">
        <f t="shared" si="110"/>
        <v>0</v>
      </c>
      <c r="G176" s="10">
        <f t="shared" si="110"/>
        <v>0</v>
      </c>
      <c r="H176" s="10">
        <f t="shared" si="110"/>
        <v>0</v>
      </c>
      <c r="I176" s="10">
        <f t="shared" si="110"/>
        <v>0</v>
      </c>
      <c r="J176" s="9">
        <f t="shared" si="110"/>
        <v>0</v>
      </c>
      <c r="K176" s="10">
        <f t="shared" si="110"/>
        <v>0</v>
      </c>
      <c r="L176" s="10">
        <f t="shared" si="110"/>
        <v>0</v>
      </c>
      <c r="M176" s="10">
        <f t="shared" si="110"/>
        <v>0</v>
      </c>
      <c r="N176" s="10">
        <f t="shared" si="110"/>
        <v>0</v>
      </c>
      <c r="O176" s="10">
        <f t="shared" si="110"/>
        <v>0</v>
      </c>
      <c r="P176" s="10">
        <f>IF(P156="Azul",P145*P157*(P153),0)</f>
        <v>0</v>
      </c>
      <c r="Q176" s="10">
        <f t="shared" ref="Q176:AA176" si="111">IF(Q156="Azul",Q145*Q157*(Q153),0)</f>
        <v>0</v>
      </c>
      <c r="R176" s="10">
        <f t="shared" si="111"/>
        <v>0</v>
      </c>
      <c r="S176" s="10">
        <f t="shared" si="111"/>
        <v>0</v>
      </c>
      <c r="T176" s="10">
        <f t="shared" si="111"/>
        <v>0</v>
      </c>
      <c r="U176" s="10">
        <f t="shared" si="111"/>
        <v>0</v>
      </c>
      <c r="V176" s="10">
        <f t="shared" si="111"/>
        <v>0</v>
      </c>
      <c r="W176" s="10">
        <f t="shared" si="111"/>
        <v>0</v>
      </c>
      <c r="X176" s="10">
        <f t="shared" si="111"/>
        <v>0</v>
      </c>
      <c r="Y176" s="10">
        <f t="shared" si="111"/>
        <v>0</v>
      </c>
      <c r="Z176" s="10">
        <f t="shared" si="111"/>
        <v>0</v>
      </c>
      <c r="AA176" s="10">
        <f t="shared" si="111"/>
        <v>0</v>
      </c>
    </row>
    <row r="177" spans="2:29" x14ac:dyDescent="0.3">
      <c r="B177" s="175"/>
      <c r="C177" s="131" t="s">
        <v>32</v>
      </c>
      <c r="D177" s="11">
        <f>D146*D158*(D153)</f>
        <v>13578.300000000001</v>
      </c>
      <c r="E177" s="12">
        <f t="shared" ref="E177:O177" si="112">E146*E158*(E153)</f>
        <v>13578.300000000001</v>
      </c>
      <c r="F177" s="12">
        <f t="shared" si="112"/>
        <v>13578.300000000001</v>
      </c>
      <c r="G177" s="12">
        <f t="shared" si="112"/>
        <v>13578.300000000001</v>
      </c>
      <c r="H177" s="12">
        <f t="shared" si="112"/>
        <v>13578.300000000001</v>
      </c>
      <c r="I177" s="12">
        <f t="shared" si="112"/>
        <v>13578.300000000001</v>
      </c>
      <c r="J177" s="11">
        <f t="shared" si="112"/>
        <v>13578.300000000001</v>
      </c>
      <c r="K177" s="12">
        <f t="shared" si="112"/>
        <v>13578.300000000001</v>
      </c>
      <c r="L177" s="12">
        <f t="shared" si="112"/>
        <v>13578.300000000001</v>
      </c>
      <c r="M177" s="12">
        <f t="shared" si="112"/>
        <v>13578.300000000001</v>
      </c>
      <c r="N177" s="12">
        <f t="shared" si="112"/>
        <v>13578.300000000001</v>
      </c>
      <c r="O177" s="12">
        <f t="shared" si="112"/>
        <v>13578.300000000001</v>
      </c>
      <c r="P177" s="12">
        <f>P146*P158*(P153)</f>
        <v>13578.300000000001</v>
      </c>
      <c r="Q177" s="12">
        <f t="shared" ref="Q177:AA177" si="113">Q146*Q158*(Q153)</f>
        <v>13578.300000000001</v>
      </c>
      <c r="R177" s="12">
        <f t="shared" si="113"/>
        <v>13578.300000000001</v>
      </c>
      <c r="S177" s="12">
        <f t="shared" si="113"/>
        <v>13578.300000000001</v>
      </c>
      <c r="T177" s="12">
        <f t="shared" si="113"/>
        <v>13578.300000000001</v>
      </c>
      <c r="U177" s="12">
        <f t="shared" si="113"/>
        <v>13578.300000000001</v>
      </c>
      <c r="V177" s="12">
        <f t="shared" si="113"/>
        <v>13578.300000000001</v>
      </c>
      <c r="W177" s="12">
        <f t="shared" si="113"/>
        <v>13578.300000000001</v>
      </c>
      <c r="X177" s="12">
        <f t="shared" si="113"/>
        <v>13578.300000000001</v>
      </c>
      <c r="Y177" s="12">
        <f t="shared" si="113"/>
        <v>13578.300000000001</v>
      </c>
      <c r="Z177" s="12">
        <f t="shared" si="113"/>
        <v>13578.300000000001</v>
      </c>
      <c r="AA177" s="12">
        <f t="shared" si="113"/>
        <v>13578.300000000001</v>
      </c>
    </row>
    <row r="178" spans="2:29" x14ac:dyDescent="0.3">
      <c r="B178" s="175"/>
      <c r="C178" s="129" t="s">
        <v>33</v>
      </c>
      <c r="D178" s="19">
        <f>IF(D156="Verde",D149*(D159-D160)*(D153),0)</f>
        <v>18796.717799999999</v>
      </c>
      <c r="E178" s="20">
        <f t="shared" ref="E178:AA178" si="114">IF(E156="Verde",E149*(E159-E160)*(E153),0)</f>
        <v>21336.8148</v>
      </c>
      <c r="F178" s="20">
        <f t="shared" si="114"/>
        <v>24384.931199999999</v>
      </c>
      <c r="G178" s="20">
        <f t="shared" si="114"/>
        <v>26925.028200000001</v>
      </c>
      <c r="H178" s="20">
        <f t="shared" si="114"/>
        <v>26925.028200000001</v>
      </c>
      <c r="I178" s="20">
        <f t="shared" si="114"/>
        <v>19304.7372</v>
      </c>
      <c r="J178" s="19">
        <f t="shared" si="114"/>
        <v>23368.892400000001</v>
      </c>
      <c r="K178" s="20">
        <f t="shared" si="114"/>
        <v>22860.872999999996</v>
      </c>
      <c r="L178" s="20">
        <f t="shared" si="114"/>
        <v>25908.989400000002</v>
      </c>
      <c r="M178" s="20">
        <f t="shared" si="114"/>
        <v>37085.4162</v>
      </c>
      <c r="N178" s="20">
        <f t="shared" si="114"/>
        <v>24892.950599999996</v>
      </c>
      <c r="O178" s="20">
        <f t="shared" si="114"/>
        <v>31497.202799999999</v>
      </c>
      <c r="P178" s="20">
        <f t="shared" si="114"/>
        <v>21336.8148</v>
      </c>
      <c r="Q178" s="20">
        <f t="shared" si="114"/>
        <v>14224.543199999998</v>
      </c>
      <c r="R178" s="20">
        <f t="shared" si="114"/>
        <v>27433.047599999998</v>
      </c>
      <c r="S178" s="20">
        <f t="shared" si="114"/>
        <v>38101.454999999994</v>
      </c>
      <c r="T178" s="20">
        <f t="shared" si="114"/>
        <v>27433.047599999998</v>
      </c>
      <c r="U178" s="20">
        <f t="shared" si="114"/>
        <v>28449.086399999997</v>
      </c>
      <c r="V178" s="20">
        <f t="shared" si="114"/>
        <v>27941.066999999999</v>
      </c>
      <c r="W178" s="20">
        <f t="shared" si="114"/>
        <v>29973.1446</v>
      </c>
      <c r="X178" s="20">
        <f t="shared" si="114"/>
        <v>32005.2222</v>
      </c>
      <c r="Y178" s="20">
        <f t="shared" si="114"/>
        <v>24892.950599999996</v>
      </c>
      <c r="Z178" s="20">
        <f t="shared" si="114"/>
        <v>35561.357999999993</v>
      </c>
      <c r="AA178" s="20">
        <f t="shared" si="114"/>
        <v>28449.086399999997</v>
      </c>
      <c r="AC178" s="92"/>
    </row>
    <row r="179" spans="2:29" x14ac:dyDescent="0.3">
      <c r="B179" s="175"/>
      <c r="C179" s="109"/>
      <c r="D179" s="109"/>
      <c r="E179" s="109"/>
      <c r="F179" s="109"/>
      <c r="G179" s="109"/>
      <c r="H179" s="109"/>
      <c r="I179" s="109"/>
      <c r="J179" s="109"/>
      <c r="K179" s="109"/>
      <c r="L179" s="109"/>
      <c r="M179" s="109"/>
      <c r="N179" s="109"/>
      <c r="O179" s="109"/>
      <c r="P179" s="109"/>
      <c r="Q179" s="109"/>
      <c r="R179" s="109"/>
      <c r="S179" s="109"/>
      <c r="T179" s="109"/>
      <c r="U179" s="109"/>
      <c r="V179" s="109"/>
      <c r="W179" s="109"/>
      <c r="X179" s="109"/>
      <c r="Y179" s="109"/>
      <c r="Z179" s="109"/>
      <c r="AA179" s="38"/>
    </row>
    <row r="180" spans="2:29" x14ac:dyDescent="0.3">
      <c r="B180" s="175"/>
      <c r="C180" s="129" t="s">
        <v>34</v>
      </c>
      <c r="D180" s="98">
        <f>SUM(D149:D150)/D141</f>
        <v>0.19362903225806452</v>
      </c>
      <c r="E180" s="98">
        <f t="shared" ref="E180:O180" si="115">SUM(E149:E150)/E141</f>
        <v>0.24379310344827587</v>
      </c>
      <c r="F180" s="98">
        <f t="shared" si="115"/>
        <v>0.23258064516129032</v>
      </c>
      <c r="G180" s="98">
        <f t="shared" si="115"/>
        <v>0.26016666666666666</v>
      </c>
      <c r="H180" s="98">
        <f t="shared" si="115"/>
        <v>0.24556451612903224</v>
      </c>
      <c r="I180" s="98">
        <f t="shared" si="115"/>
        <v>0.19191666666666668</v>
      </c>
      <c r="J180" s="98">
        <f t="shared" si="115"/>
        <v>0.19532258064516128</v>
      </c>
      <c r="K180" s="98">
        <f t="shared" si="115"/>
        <v>0.19814516129032261</v>
      </c>
      <c r="L180" s="98">
        <f t="shared" si="115"/>
        <v>0.2263333333333333</v>
      </c>
      <c r="M180" s="98">
        <f t="shared" si="115"/>
        <v>0.30766129032258066</v>
      </c>
      <c r="N180" s="98">
        <f t="shared" si="115"/>
        <v>0.26250000000000001</v>
      </c>
      <c r="O180" s="98">
        <f t="shared" si="115"/>
        <v>0.28282258064516125</v>
      </c>
      <c r="P180" s="98">
        <f>SUM(P149:P150)/P141</f>
        <v>0.21959677419354839</v>
      </c>
      <c r="Q180" s="98">
        <f t="shared" ref="Q180:AA180" si="116">SUM(Q149:Q150)/Q141</f>
        <v>0.20249999999999999</v>
      </c>
      <c r="R180" s="98">
        <f t="shared" si="116"/>
        <v>0.2506451612903226</v>
      </c>
      <c r="S180" s="98">
        <f t="shared" si="116"/>
        <v>0.32666666666666666</v>
      </c>
      <c r="T180" s="98">
        <f t="shared" si="116"/>
        <v>0.26758064516129032</v>
      </c>
      <c r="U180" s="98">
        <f t="shared" si="116"/>
        <v>0.24383333333333335</v>
      </c>
      <c r="V180" s="98">
        <f t="shared" si="116"/>
        <v>0.22411290322580643</v>
      </c>
      <c r="W180" s="98">
        <f t="shared" si="116"/>
        <v>0.22411290322580646</v>
      </c>
      <c r="X180" s="98">
        <f t="shared" si="116"/>
        <v>0.28875000000000001</v>
      </c>
      <c r="Y180" s="98">
        <f t="shared" si="116"/>
        <v>0.24387096774193548</v>
      </c>
      <c r="Z180" s="98">
        <f t="shared" si="116"/>
        <v>0.315</v>
      </c>
      <c r="AA180" s="98">
        <f t="shared" si="116"/>
        <v>0.26193548387096777</v>
      </c>
    </row>
    <row r="181" spans="2:29" x14ac:dyDescent="0.3">
      <c r="B181" s="175"/>
      <c r="C181" s="133" t="s">
        <v>35</v>
      </c>
      <c r="D181" s="97">
        <f t="shared" ref="D181:T181" si="117">D180*D141</f>
        <v>144.06</v>
      </c>
      <c r="E181" s="97">
        <f t="shared" si="117"/>
        <v>169.68</v>
      </c>
      <c r="F181" s="97">
        <f t="shared" si="117"/>
        <v>173.04</v>
      </c>
      <c r="G181" s="97">
        <f t="shared" si="117"/>
        <v>187.32</v>
      </c>
      <c r="H181" s="97">
        <f t="shared" si="117"/>
        <v>182.7</v>
      </c>
      <c r="I181" s="97">
        <f t="shared" si="117"/>
        <v>138.18</v>
      </c>
      <c r="J181" s="97">
        <f t="shared" si="117"/>
        <v>145.32</v>
      </c>
      <c r="K181" s="97">
        <f t="shared" si="117"/>
        <v>147.42000000000002</v>
      </c>
      <c r="L181" s="97">
        <f t="shared" si="117"/>
        <v>162.95999999999998</v>
      </c>
      <c r="M181" s="97">
        <f t="shared" si="117"/>
        <v>228.9</v>
      </c>
      <c r="N181" s="97">
        <f t="shared" si="117"/>
        <v>189</v>
      </c>
      <c r="O181" s="97">
        <f t="shared" si="117"/>
        <v>210.41999999999996</v>
      </c>
      <c r="P181" s="97">
        <f t="shared" si="117"/>
        <v>163.38</v>
      </c>
      <c r="Q181" s="97">
        <f t="shared" si="117"/>
        <v>136.07999999999998</v>
      </c>
      <c r="R181" s="97">
        <f t="shared" si="117"/>
        <v>186.48000000000002</v>
      </c>
      <c r="S181" s="97">
        <f t="shared" si="117"/>
        <v>235.2</v>
      </c>
      <c r="T181" s="97">
        <f t="shared" si="117"/>
        <v>199.07999999999998</v>
      </c>
      <c r="U181" s="97">
        <f>U180*U141</f>
        <v>175.56</v>
      </c>
      <c r="V181" s="97">
        <f t="shared" ref="V181:AA181" si="118">V180*V141</f>
        <v>166.73999999999998</v>
      </c>
      <c r="W181" s="97">
        <f t="shared" si="118"/>
        <v>166.74</v>
      </c>
      <c r="X181" s="97">
        <f t="shared" si="118"/>
        <v>207.9</v>
      </c>
      <c r="Y181" s="97">
        <f t="shared" si="118"/>
        <v>181.44</v>
      </c>
      <c r="Z181" s="97">
        <f t="shared" si="118"/>
        <v>226.8</v>
      </c>
      <c r="AA181" s="97">
        <f t="shared" si="118"/>
        <v>194.88000000000002</v>
      </c>
    </row>
    <row r="182" spans="2:29" x14ac:dyDescent="0.3">
      <c r="B182" s="175"/>
      <c r="C182" s="129" t="s">
        <v>36</v>
      </c>
      <c r="D182" s="39">
        <f t="shared" ref="D182:AA182" si="119">D181*1.1</f>
        <v>158.46600000000001</v>
      </c>
      <c r="E182" s="39">
        <f t="shared" si="119"/>
        <v>186.64800000000002</v>
      </c>
      <c r="F182" s="39">
        <f t="shared" si="119"/>
        <v>190.34399999999999</v>
      </c>
      <c r="G182" s="39">
        <f t="shared" si="119"/>
        <v>206.05200000000002</v>
      </c>
      <c r="H182" s="39">
        <f t="shared" si="119"/>
        <v>200.97</v>
      </c>
      <c r="I182" s="39">
        <f t="shared" si="119"/>
        <v>151.99800000000002</v>
      </c>
      <c r="J182" s="39">
        <f t="shared" si="119"/>
        <v>159.852</v>
      </c>
      <c r="K182" s="39">
        <f t="shared" si="119"/>
        <v>162.16200000000003</v>
      </c>
      <c r="L182" s="39">
        <f t="shared" si="119"/>
        <v>179.256</v>
      </c>
      <c r="M182" s="39">
        <f t="shared" si="119"/>
        <v>251.79000000000002</v>
      </c>
      <c r="N182" s="39">
        <f t="shared" si="119"/>
        <v>207.9</v>
      </c>
      <c r="O182" s="39">
        <f t="shared" si="119"/>
        <v>231.46199999999996</v>
      </c>
      <c r="P182" s="39">
        <f t="shared" si="119"/>
        <v>179.71800000000002</v>
      </c>
      <c r="Q182" s="39">
        <f t="shared" si="119"/>
        <v>149.68799999999999</v>
      </c>
      <c r="R182" s="39">
        <f t="shared" si="119"/>
        <v>205.12800000000004</v>
      </c>
      <c r="S182" s="39">
        <f t="shared" si="119"/>
        <v>258.72000000000003</v>
      </c>
      <c r="T182" s="39">
        <f t="shared" si="119"/>
        <v>218.988</v>
      </c>
      <c r="U182" s="39">
        <f t="shared" si="119"/>
        <v>193.11600000000001</v>
      </c>
      <c r="V182" s="39">
        <f t="shared" si="119"/>
        <v>183.41399999999999</v>
      </c>
      <c r="W182" s="39">
        <f t="shared" si="119"/>
        <v>183.41400000000002</v>
      </c>
      <c r="X182" s="39">
        <f t="shared" si="119"/>
        <v>228.69000000000003</v>
      </c>
      <c r="Y182" s="39">
        <f t="shared" si="119"/>
        <v>199.584</v>
      </c>
      <c r="Z182" s="39">
        <f t="shared" si="119"/>
        <v>249.48000000000005</v>
      </c>
      <c r="AA182" s="39">
        <f t="shared" si="119"/>
        <v>214.36800000000005</v>
      </c>
    </row>
    <row r="183" spans="2:29" x14ac:dyDescent="0.3">
      <c r="B183" s="175"/>
      <c r="C183" s="129" t="s">
        <v>37</v>
      </c>
      <c r="D183" s="40">
        <f t="shared" ref="D183:AA183" si="120">D181*0.9</f>
        <v>129.654</v>
      </c>
      <c r="E183" s="40">
        <f t="shared" si="120"/>
        <v>152.71200000000002</v>
      </c>
      <c r="F183" s="40">
        <f t="shared" si="120"/>
        <v>155.73599999999999</v>
      </c>
      <c r="G183" s="40">
        <f t="shared" si="120"/>
        <v>168.58799999999999</v>
      </c>
      <c r="H183" s="40">
        <f t="shared" si="120"/>
        <v>164.43</v>
      </c>
      <c r="I183" s="40">
        <f t="shared" si="120"/>
        <v>124.36200000000001</v>
      </c>
      <c r="J183" s="40">
        <f t="shared" si="120"/>
        <v>130.78800000000001</v>
      </c>
      <c r="K183" s="40">
        <f t="shared" si="120"/>
        <v>132.67800000000003</v>
      </c>
      <c r="L183" s="40">
        <f t="shared" si="120"/>
        <v>146.66399999999999</v>
      </c>
      <c r="M183" s="40">
        <f t="shared" si="120"/>
        <v>206.01000000000002</v>
      </c>
      <c r="N183" s="40">
        <f t="shared" si="120"/>
        <v>170.1</v>
      </c>
      <c r="O183" s="40">
        <f t="shared" si="120"/>
        <v>189.37799999999996</v>
      </c>
      <c r="P183" s="40">
        <f t="shared" si="120"/>
        <v>147.042</v>
      </c>
      <c r="Q183" s="40">
        <f t="shared" si="120"/>
        <v>122.47199999999999</v>
      </c>
      <c r="R183" s="40">
        <f t="shared" si="120"/>
        <v>167.83200000000002</v>
      </c>
      <c r="S183" s="40">
        <f t="shared" si="120"/>
        <v>211.68</v>
      </c>
      <c r="T183" s="40">
        <f t="shared" si="120"/>
        <v>179.172</v>
      </c>
      <c r="U183" s="40">
        <f t="shared" si="120"/>
        <v>158.00400000000002</v>
      </c>
      <c r="V183" s="40">
        <f t="shared" si="120"/>
        <v>150.06599999999997</v>
      </c>
      <c r="W183" s="40">
        <f t="shared" si="120"/>
        <v>150.066</v>
      </c>
      <c r="X183" s="40">
        <f t="shared" si="120"/>
        <v>187.11</v>
      </c>
      <c r="Y183" s="40">
        <f t="shared" si="120"/>
        <v>163.29599999999999</v>
      </c>
      <c r="Z183" s="40">
        <f t="shared" si="120"/>
        <v>204.12</v>
      </c>
      <c r="AA183" s="40">
        <f t="shared" si="120"/>
        <v>175.39200000000002</v>
      </c>
    </row>
    <row r="184" spans="2:29" x14ac:dyDescent="0.3">
      <c r="B184" s="175"/>
      <c r="C184" s="101"/>
      <c r="D184" s="101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  <c r="Z184" s="101"/>
      <c r="AA184" s="41"/>
    </row>
    <row r="185" spans="2:29" x14ac:dyDescent="0.3">
      <c r="B185" s="175"/>
      <c r="C185" s="129" t="s">
        <v>38</v>
      </c>
      <c r="D185" s="43">
        <f t="shared" ref="D185:O185" si="121">D181</f>
        <v>144.06</v>
      </c>
      <c r="E185" s="43">
        <f t="shared" si="121"/>
        <v>169.68</v>
      </c>
      <c r="F185" s="43">
        <f t="shared" si="121"/>
        <v>173.04</v>
      </c>
      <c r="G185" s="43">
        <f t="shared" si="121"/>
        <v>187.32</v>
      </c>
      <c r="H185" s="43">
        <f t="shared" si="121"/>
        <v>182.7</v>
      </c>
      <c r="I185" s="43">
        <f t="shared" si="121"/>
        <v>138.18</v>
      </c>
      <c r="J185" s="43">
        <f t="shared" si="121"/>
        <v>145.32</v>
      </c>
      <c r="K185" s="43">
        <f t="shared" si="121"/>
        <v>147.42000000000002</v>
      </c>
      <c r="L185" s="43">
        <f t="shared" si="121"/>
        <v>162.95999999999998</v>
      </c>
      <c r="M185" s="43">
        <f t="shared" si="121"/>
        <v>228.9</v>
      </c>
      <c r="N185" s="43">
        <f t="shared" si="121"/>
        <v>189</v>
      </c>
      <c r="O185" s="43">
        <f t="shared" si="121"/>
        <v>210.41999999999996</v>
      </c>
      <c r="P185" s="43">
        <f>P181</f>
        <v>163.38</v>
      </c>
      <c r="Q185" s="43">
        <f t="shared" ref="Q185:AA185" si="122">Q181</f>
        <v>136.07999999999998</v>
      </c>
      <c r="R185" s="43">
        <f t="shared" si="122"/>
        <v>186.48000000000002</v>
      </c>
      <c r="S185" s="43">
        <f t="shared" si="122"/>
        <v>235.2</v>
      </c>
      <c r="T185" s="43">
        <f t="shared" si="122"/>
        <v>199.07999999999998</v>
      </c>
      <c r="U185" s="43">
        <f t="shared" si="122"/>
        <v>175.56</v>
      </c>
      <c r="V185" s="43">
        <f t="shared" si="122"/>
        <v>166.73999999999998</v>
      </c>
      <c r="W185" s="43">
        <f t="shared" si="122"/>
        <v>166.74</v>
      </c>
      <c r="X185" s="43">
        <f t="shared" si="122"/>
        <v>207.9</v>
      </c>
      <c r="Y185" s="43">
        <f t="shared" si="122"/>
        <v>181.44</v>
      </c>
      <c r="Z185" s="43">
        <f t="shared" si="122"/>
        <v>226.8</v>
      </c>
      <c r="AA185" s="43">
        <f t="shared" si="122"/>
        <v>194.88000000000002</v>
      </c>
    </row>
    <row r="186" spans="2:29" x14ac:dyDescent="0.3">
      <c r="B186" s="175"/>
      <c r="C186" s="129" t="s">
        <v>39</v>
      </c>
      <c r="D186" s="127">
        <f>'SIMULAÇÃO CENÁRIOS'!$E$8</f>
        <v>310</v>
      </c>
      <c r="E186" s="127">
        <f>'SIMULAÇÃO CENÁRIOS'!$E$8</f>
        <v>310</v>
      </c>
      <c r="F186" s="127">
        <f>'SIMULAÇÃO CENÁRIOS'!$E$8</f>
        <v>310</v>
      </c>
      <c r="G186" s="127">
        <f>'SIMULAÇÃO CENÁRIOS'!$E$8</f>
        <v>310</v>
      </c>
      <c r="H186" s="127">
        <f>'SIMULAÇÃO CENÁRIOS'!$E$8</f>
        <v>310</v>
      </c>
      <c r="I186" s="127">
        <f>'SIMULAÇÃO CENÁRIOS'!$E$8</f>
        <v>310</v>
      </c>
      <c r="J186" s="127">
        <f>'SIMULAÇÃO CENÁRIOS'!$E$8</f>
        <v>310</v>
      </c>
      <c r="K186" s="127">
        <f>'SIMULAÇÃO CENÁRIOS'!$E$8</f>
        <v>310</v>
      </c>
      <c r="L186" s="127">
        <f>'SIMULAÇÃO CENÁRIOS'!$E$8</f>
        <v>310</v>
      </c>
      <c r="M186" s="127">
        <f>'SIMULAÇÃO CENÁRIOS'!$E$8</f>
        <v>310</v>
      </c>
      <c r="N186" s="127">
        <f>'SIMULAÇÃO CENÁRIOS'!$E$8</f>
        <v>310</v>
      </c>
      <c r="O186" s="127">
        <f>'SIMULAÇÃO CENÁRIOS'!$E$8</f>
        <v>310</v>
      </c>
      <c r="P186" s="127">
        <f>'SIMULAÇÃO CENÁRIOS'!$E$8</f>
        <v>310</v>
      </c>
      <c r="Q186" s="127">
        <f>'SIMULAÇÃO CENÁRIOS'!$E$8</f>
        <v>310</v>
      </c>
      <c r="R186" s="127">
        <f>'SIMULAÇÃO CENÁRIOS'!$E$8</f>
        <v>310</v>
      </c>
      <c r="S186" s="127">
        <f>'SIMULAÇÃO CENÁRIOS'!$E$8</f>
        <v>310</v>
      </c>
      <c r="T186" s="127">
        <f>'SIMULAÇÃO CENÁRIOS'!$E$8</f>
        <v>310</v>
      </c>
      <c r="U186" s="127">
        <f>'SIMULAÇÃO CENÁRIOS'!$E$8</f>
        <v>310</v>
      </c>
      <c r="V186" s="127">
        <f>'SIMULAÇÃO CENÁRIOS'!$E$8</f>
        <v>310</v>
      </c>
      <c r="W186" s="127">
        <f>'SIMULAÇÃO CENÁRIOS'!$E$8</f>
        <v>310</v>
      </c>
      <c r="X186" s="127">
        <f>'SIMULAÇÃO CENÁRIOS'!$E$8</f>
        <v>310</v>
      </c>
      <c r="Y186" s="127">
        <f>'SIMULAÇÃO CENÁRIOS'!$E$8</f>
        <v>310</v>
      </c>
      <c r="Z186" s="127">
        <f>'SIMULAÇÃO CENÁRIOS'!$E$8</f>
        <v>310</v>
      </c>
      <c r="AA186" s="127">
        <f>'SIMULAÇÃO CENÁRIOS'!$E$8</f>
        <v>310</v>
      </c>
    </row>
    <row r="187" spans="2:29" x14ac:dyDescent="0.3">
      <c r="B187" s="175"/>
      <c r="C187" s="129" t="s">
        <v>40</v>
      </c>
      <c r="D187" s="44">
        <f t="shared" ref="D187:O187" si="123">D185*D186/(1-$P$27)</f>
        <v>61176.164383561641</v>
      </c>
      <c r="E187" s="44">
        <f t="shared" si="123"/>
        <v>72055.890410958906</v>
      </c>
      <c r="F187" s="44">
        <f t="shared" si="123"/>
        <v>73482.739726027386</v>
      </c>
      <c r="G187" s="44">
        <f t="shared" si="123"/>
        <v>79546.849315068495</v>
      </c>
      <c r="H187" s="44">
        <f t="shared" si="123"/>
        <v>77584.931506849316</v>
      </c>
      <c r="I187" s="44">
        <f t="shared" si="123"/>
        <v>58679.178082191786</v>
      </c>
      <c r="J187" s="44">
        <f t="shared" si="123"/>
        <v>61711.232876712325</v>
      </c>
      <c r="K187" s="44">
        <f t="shared" si="123"/>
        <v>62603.013698630144</v>
      </c>
      <c r="L187" s="44">
        <f t="shared" si="123"/>
        <v>69202.1917808219</v>
      </c>
      <c r="M187" s="44">
        <f t="shared" si="123"/>
        <v>97204.109589041094</v>
      </c>
      <c r="N187" s="44">
        <f t="shared" si="123"/>
        <v>80260.273972602736</v>
      </c>
      <c r="O187" s="44">
        <f t="shared" si="123"/>
        <v>89356.438356164377</v>
      </c>
      <c r="P187" s="44">
        <f>P185*P186/(1-$P$27)</f>
        <v>69380.547945205471</v>
      </c>
      <c r="Q187" s="44">
        <f t="shared" ref="Q187:AA187" si="124">Q185*Q186/(1-$P$27)</f>
        <v>57787.397260273967</v>
      </c>
      <c r="R187" s="44">
        <f t="shared" si="124"/>
        <v>79190.136986301382</v>
      </c>
      <c r="S187" s="44">
        <f t="shared" si="124"/>
        <v>99879.452054794529</v>
      </c>
      <c r="T187" s="44">
        <f t="shared" si="124"/>
        <v>84540.821917808222</v>
      </c>
      <c r="U187" s="44">
        <f t="shared" si="124"/>
        <v>74552.876712328769</v>
      </c>
      <c r="V187" s="44">
        <f t="shared" si="124"/>
        <v>70807.397260273967</v>
      </c>
      <c r="W187" s="44">
        <f t="shared" si="124"/>
        <v>70807.397260273981</v>
      </c>
      <c r="X187" s="44">
        <f t="shared" si="124"/>
        <v>88286.301369863009</v>
      </c>
      <c r="Y187" s="44">
        <f t="shared" si="124"/>
        <v>77049.863013698632</v>
      </c>
      <c r="Z187" s="44">
        <f t="shared" si="124"/>
        <v>96312.328767123283</v>
      </c>
      <c r="AA187" s="44">
        <f t="shared" si="124"/>
        <v>82757.260273972614</v>
      </c>
    </row>
    <row r="188" spans="2:29" ht="17.25" thickBot="1" x14ac:dyDescent="0.35">
      <c r="B188" s="175"/>
      <c r="C188" s="101"/>
      <c r="D188" s="101"/>
      <c r="E188" s="101"/>
      <c r="F188" s="101"/>
      <c r="G188" s="101"/>
      <c r="H188" s="101"/>
      <c r="I188" s="101"/>
      <c r="J188" s="101"/>
      <c r="K188" s="101"/>
      <c r="L188" s="101"/>
      <c r="M188" s="101"/>
      <c r="N188" s="101"/>
      <c r="O188" s="101"/>
      <c r="P188" s="101"/>
      <c r="Q188" s="101"/>
      <c r="R188" s="101"/>
      <c r="S188" s="101"/>
      <c r="T188" s="101"/>
      <c r="U188" s="101"/>
      <c r="V188" s="101"/>
      <c r="W188" s="101"/>
      <c r="X188" s="101"/>
      <c r="Y188" s="101"/>
      <c r="Z188" s="101"/>
      <c r="AA188" s="45"/>
    </row>
    <row r="189" spans="2:29" ht="17.25" thickBot="1" x14ac:dyDescent="0.35">
      <c r="B189" s="175"/>
      <c r="C189" s="134" t="s">
        <v>98</v>
      </c>
      <c r="D189" s="46">
        <f t="shared" ref="D189:O189" si="125">+D187+D174+D173</f>
        <v>94077.883642385175</v>
      </c>
      <c r="E189" s="46">
        <f t="shared" si="125"/>
        <v>112183.79031684126</v>
      </c>
      <c r="F189" s="46">
        <f t="shared" si="125"/>
        <v>114743.33911426268</v>
      </c>
      <c r="G189" s="46">
        <f t="shared" si="125"/>
        <v>123753.97846800968</v>
      </c>
      <c r="H189" s="46">
        <f t="shared" si="125"/>
        <v>121463.41683626108</v>
      </c>
      <c r="I189" s="46">
        <f t="shared" si="125"/>
        <v>91098.887058662367</v>
      </c>
      <c r="J189" s="46">
        <f t="shared" si="125"/>
        <v>96919.080476712334</v>
      </c>
      <c r="K189" s="46">
        <f t="shared" si="125"/>
        <v>97829.321286865437</v>
      </c>
      <c r="L189" s="46">
        <f t="shared" si="125"/>
        <v>113036.79032199839</v>
      </c>
      <c r="M189" s="46">
        <f t="shared" si="125"/>
        <v>161046.27456551167</v>
      </c>
      <c r="N189" s="46">
        <f t="shared" si="125"/>
        <v>125382.57719613214</v>
      </c>
      <c r="O189" s="46">
        <f t="shared" si="125"/>
        <v>143782.17467381145</v>
      </c>
      <c r="P189" s="46">
        <f>+P187+P174+P173</f>
        <v>112542.54638049958</v>
      </c>
      <c r="Q189" s="46">
        <f t="shared" ref="Q189:AA189" si="126">+Q187+Q174+Q173</f>
        <v>91875.404648509269</v>
      </c>
      <c r="R189" s="46">
        <f t="shared" si="126"/>
        <v>126626.25232747787</v>
      </c>
      <c r="S189" s="46">
        <f t="shared" si="126"/>
        <v>161165.65440773571</v>
      </c>
      <c r="T189" s="46">
        <f t="shared" si="126"/>
        <v>131380.84608251409</v>
      </c>
      <c r="U189" s="46">
        <f t="shared" si="126"/>
        <v>115859.8061946817</v>
      </c>
      <c r="V189" s="46">
        <f t="shared" si="126"/>
        <v>110793.64143674457</v>
      </c>
      <c r="W189" s="46">
        <f t="shared" si="126"/>
        <v>111749.91324850929</v>
      </c>
      <c r="X189" s="46">
        <f t="shared" si="126"/>
        <v>143117.90740515714</v>
      </c>
      <c r="Y189" s="46">
        <f t="shared" si="126"/>
        <v>127430.92447252217</v>
      </c>
      <c r="Z189" s="46">
        <f t="shared" si="126"/>
        <v>154421.40900241741</v>
      </c>
      <c r="AA189" s="46">
        <f t="shared" si="126"/>
        <v>131225.78799161967</v>
      </c>
      <c r="AC189" s="47">
        <f>SUM(D189:AA189)</f>
        <v>2913507.6075558416</v>
      </c>
    </row>
    <row r="190" spans="2:29" x14ac:dyDescent="0.3">
      <c r="B190" s="175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100"/>
    </row>
    <row r="191" spans="2:29" ht="45.75" x14ac:dyDescent="0.3">
      <c r="B191" s="175"/>
      <c r="C191" s="172" t="s">
        <v>99</v>
      </c>
      <c r="D191" s="172"/>
      <c r="E191" s="172"/>
      <c r="F191" s="172"/>
      <c r="G191" s="172"/>
      <c r="H191" s="172"/>
      <c r="I191" s="172"/>
      <c r="J191" s="172"/>
      <c r="K191" s="172"/>
      <c r="L191" s="172"/>
      <c r="M191" s="172"/>
      <c r="N191" s="172"/>
      <c r="O191" s="172"/>
      <c r="P191" s="172"/>
      <c r="Q191" s="172"/>
      <c r="R191" s="172"/>
      <c r="S191" s="172"/>
      <c r="T191" s="172"/>
      <c r="U191" s="172"/>
      <c r="V191" s="172"/>
      <c r="W191" s="172"/>
      <c r="X191" s="172"/>
      <c r="Y191" s="172"/>
      <c r="Z191" s="172"/>
      <c r="AA191" s="173"/>
    </row>
    <row r="192" spans="2:29" x14ac:dyDescent="0.3">
      <c r="B192" s="175"/>
      <c r="C192" s="129" t="s">
        <v>101</v>
      </c>
      <c r="D192" s="42">
        <v>0</v>
      </c>
      <c r="E192" s="42">
        <v>0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3">
        <v>0</v>
      </c>
      <c r="R192" s="43">
        <v>0</v>
      </c>
      <c r="S192" s="43">
        <v>0</v>
      </c>
      <c r="T192" s="43">
        <v>0</v>
      </c>
      <c r="U192" s="43">
        <v>0</v>
      </c>
      <c r="V192" s="43">
        <v>0</v>
      </c>
      <c r="W192" s="43">
        <v>0</v>
      </c>
      <c r="X192" s="43">
        <v>0</v>
      </c>
      <c r="Y192" s="43">
        <v>0</v>
      </c>
      <c r="Z192" s="43">
        <v>0</v>
      </c>
      <c r="AA192" s="43">
        <v>0</v>
      </c>
    </row>
    <row r="193" spans="2:29" x14ac:dyDescent="0.3">
      <c r="B193" s="175"/>
      <c r="C193" s="129" t="s">
        <v>102</v>
      </c>
      <c r="D193" s="17">
        <f>D146*D158+D148*D158*2</f>
        <v>13578.300000000001</v>
      </c>
      <c r="E193" s="17">
        <f t="shared" ref="D193:O193" si="127">E146*E158+E148*E158*2</f>
        <v>15542.820000000002</v>
      </c>
      <c r="F193" s="17">
        <f t="shared" si="127"/>
        <v>15057.468000000001</v>
      </c>
      <c r="G193" s="17">
        <f t="shared" si="127"/>
        <v>15057.468000000001</v>
      </c>
      <c r="H193" s="17">
        <f t="shared" si="127"/>
        <v>15219.252000000002</v>
      </c>
      <c r="I193" s="17">
        <f t="shared" si="127"/>
        <v>13578.300000000001</v>
      </c>
      <c r="J193" s="17">
        <f t="shared" si="127"/>
        <v>13578.300000000001</v>
      </c>
      <c r="K193" s="17">
        <f t="shared" si="127"/>
        <v>13578.300000000001</v>
      </c>
      <c r="L193" s="17">
        <f t="shared" si="127"/>
        <v>17160.66</v>
      </c>
      <c r="M193" s="17">
        <f t="shared" si="127"/>
        <v>21690.612000000001</v>
      </c>
      <c r="N193" s="17">
        <f t="shared" si="127"/>
        <v>16189.956</v>
      </c>
      <c r="O193" s="17">
        <f t="shared" si="127"/>
        <v>18616.716</v>
      </c>
      <c r="P193" s="17">
        <f>P146*P158+P148*P158*2</f>
        <v>18131.364000000001</v>
      </c>
      <c r="Q193" s="18">
        <f t="shared" ref="Q193:AA193" si="128">Q146*Q158+Q148*Q158*2</f>
        <v>16513.524000000005</v>
      </c>
      <c r="R193" s="18">
        <f t="shared" si="128"/>
        <v>17160.66</v>
      </c>
      <c r="S193" s="18">
        <f t="shared" si="128"/>
        <v>19102.067999999999</v>
      </c>
      <c r="T193" s="18">
        <f t="shared" si="128"/>
        <v>15704.604000000003</v>
      </c>
      <c r="U193" s="18">
        <f t="shared" si="128"/>
        <v>13578.300000000001</v>
      </c>
      <c r="V193" s="18">
        <f t="shared" si="128"/>
        <v>13578.300000000001</v>
      </c>
      <c r="W193" s="18">
        <f t="shared" si="128"/>
        <v>13578.300000000001</v>
      </c>
      <c r="X193" s="18">
        <f t="shared" si="128"/>
        <v>18940.284000000003</v>
      </c>
      <c r="Y193" s="18">
        <f t="shared" si="128"/>
        <v>20396.340000000004</v>
      </c>
      <c r="Z193" s="18">
        <f t="shared" si="128"/>
        <v>18454.932000000001</v>
      </c>
      <c r="AA193" s="18">
        <f t="shared" si="128"/>
        <v>16837.092000000004</v>
      </c>
    </row>
    <row r="194" spans="2:29" x14ac:dyDescent="0.3">
      <c r="B194" s="175"/>
      <c r="C194" s="129" t="s">
        <v>103</v>
      </c>
      <c r="D194" s="102">
        <f>D149*D159</f>
        <v>20092.598399999999</v>
      </c>
      <c r="E194" s="102">
        <f t="shared" ref="D194:O194" si="129">E149*E159</f>
        <v>22807.814400000003</v>
      </c>
      <c r="F194" s="102">
        <f t="shared" si="129"/>
        <v>26066.0736</v>
      </c>
      <c r="G194" s="102">
        <f t="shared" si="129"/>
        <v>28781.289600000004</v>
      </c>
      <c r="H194" s="102">
        <f t="shared" si="129"/>
        <v>28781.289600000004</v>
      </c>
      <c r="I194" s="102">
        <f t="shared" si="129"/>
        <v>20635.641600000003</v>
      </c>
      <c r="J194" s="102">
        <f t="shared" si="129"/>
        <v>24979.9872</v>
      </c>
      <c r="K194" s="102">
        <f t="shared" si="129"/>
        <v>24436.944</v>
      </c>
      <c r="L194" s="102">
        <f t="shared" si="129"/>
        <v>27695.203200000004</v>
      </c>
      <c r="M194" s="102">
        <f t="shared" si="129"/>
        <v>39642.153599999998</v>
      </c>
      <c r="N194" s="102">
        <f t="shared" si="129"/>
        <v>26609.1168</v>
      </c>
      <c r="O194" s="102">
        <f t="shared" si="129"/>
        <v>33668.678399999997</v>
      </c>
      <c r="P194" s="102">
        <f>P149*P159</f>
        <v>22807.814400000003</v>
      </c>
      <c r="Q194" s="103">
        <f t="shared" ref="Q194:AA194" si="130">Q149*Q159</f>
        <v>15205.2096</v>
      </c>
      <c r="R194" s="103">
        <f t="shared" si="130"/>
        <v>29324.3328</v>
      </c>
      <c r="S194" s="103">
        <f t="shared" si="130"/>
        <v>40728.239999999998</v>
      </c>
      <c r="T194" s="103">
        <f t="shared" si="130"/>
        <v>29324.3328</v>
      </c>
      <c r="U194" s="103">
        <f t="shared" si="130"/>
        <v>30410.4192</v>
      </c>
      <c r="V194" s="103">
        <f t="shared" si="130"/>
        <v>29867.376000000004</v>
      </c>
      <c r="W194" s="103">
        <f t="shared" si="130"/>
        <v>32039.548800000004</v>
      </c>
      <c r="X194" s="103">
        <f t="shared" si="130"/>
        <v>34211.721600000004</v>
      </c>
      <c r="Y194" s="103">
        <f t="shared" si="130"/>
        <v>26609.1168</v>
      </c>
      <c r="Z194" s="103">
        <f t="shared" si="130"/>
        <v>38013.023999999998</v>
      </c>
      <c r="AA194" s="103">
        <f t="shared" si="130"/>
        <v>30410.4192</v>
      </c>
    </row>
    <row r="195" spans="2:29" x14ac:dyDescent="0.3">
      <c r="B195" s="175"/>
      <c r="C195" s="129" t="s">
        <v>104</v>
      </c>
      <c r="D195" s="17">
        <f>D150*D160</f>
        <v>10717.282800000001</v>
      </c>
      <c r="E195" s="17">
        <f t="shared" ref="D195:O195" si="131">E150*E160</f>
        <v>12678.615599999999</v>
      </c>
      <c r="F195" s="17">
        <f t="shared" si="131"/>
        <v>12748.663199999999</v>
      </c>
      <c r="G195" s="17">
        <f t="shared" si="131"/>
        <v>13764.3534</v>
      </c>
      <c r="H195" s="17">
        <f t="shared" si="131"/>
        <v>13379.0916</v>
      </c>
      <c r="I195" s="17">
        <f t="shared" si="131"/>
        <v>10191.925799999999</v>
      </c>
      <c r="J195" s="17">
        <f t="shared" si="131"/>
        <v>10507.14</v>
      </c>
      <c r="K195" s="17">
        <f t="shared" si="131"/>
        <v>10717.282800000001</v>
      </c>
      <c r="L195" s="17">
        <f t="shared" si="131"/>
        <v>11803.0206</v>
      </c>
      <c r="M195" s="17">
        <f t="shared" si="131"/>
        <v>16531.2336</v>
      </c>
      <c r="N195" s="17">
        <f t="shared" si="131"/>
        <v>14044.543799999999</v>
      </c>
      <c r="O195" s="17">
        <f t="shared" si="131"/>
        <v>15375.448199999999</v>
      </c>
      <c r="P195" s="17">
        <f>P150*P160</f>
        <v>12153.258600000001</v>
      </c>
      <c r="Q195" s="18">
        <f t="shared" ref="Q195:AA195" si="132">Q150*Q160</f>
        <v>10367.0448</v>
      </c>
      <c r="R195" s="18">
        <f t="shared" si="132"/>
        <v>13659.282000000001</v>
      </c>
      <c r="S195" s="18">
        <f t="shared" si="132"/>
        <v>16986.542999999998</v>
      </c>
      <c r="T195" s="18">
        <f t="shared" si="132"/>
        <v>14709.996000000001</v>
      </c>
      <c r="U195" s="18">
        <f t="shared" si="132"/>
        <v>12678.615599999999</v>
      </c>
      <c r="V195" s="18">
        <f t="shared" si="132"/>
        <v>11978.139599999999</v>
      </c>
      <c r="W195" s="18">
        <f t="shared" si="132"/>
        <v>11838.044400000001</v>
      </c>
      <c r="X195" s="18">
        <f t="shared" si="132"/>
        <v>15130.2816</v>
      </c>
      <c r="Y195" s="18">
        <f t="shared" si="132"/>
        <v>13414.115400000001</v>
      </c>
      <c r="Z195" s="18">
        <f t="shared" si="132"/>
        <v>16461.186000000002</v>
      </c>
      <c r="AA195" s="18">
        <f t="shared" si="132"/>
        <v>14289.710400000002</v>
      </c>
    </row>
    <row r="196" spans="2:29" x14ac:dyDescent="0.3">
      <c r="B196" s="175"/>
      <c r="C196" s="129" t="s">
        <v>105</v>
      </c>
      <c r="D196" s="102">
        <f>D149*D161</f>
        <v>6537.3671999999997</v>
      </c>
      <c r="E196" s="102">
        <f t="shared" ref="D196:O196" si="133">E149*E161</f>
        <v>7420.7952000000005</v>
      </c>
      <c r="F196" s="102">
        <f t="shared" si="133"/>
        <v>8480.9088000000011</v>
      </c>
      <c r="G196" s="102">
        <f t="shared" si="133"/>
        <v>9364.3368000000009</v>
      </c>
      <c r="H196" s="102">
        <f t="shared" si="133"/>
        <v>9364.3368000000009</v>
      </c>
      <c r="I196" s="102">
        <f t="shared" si="133"/>
        <v>6714.0528000000004</v>
      </c>
      <c r="J196" s="102">
        <f t="shared" si="133"/>
        <v>8127.5376000000006</v>
      </c>
      <c r="K196" s="102">
        <f t="shared" si="133"/>
        <v>7950.8519999999999</v>
      </c>
      <c r="L196" s="102">
        <f t="shared" si="133"/>
        <v>9010.9656000000014</v>
      </c>
      <c r="M196" s="102">
        <f t="shared" si="133"/>
        <v>12898.0488</v>
      </c>
      <c r="N196" s="102">
        <f t="shared" si="133"/>
        <v>8657.5944</v>
      </c>
      <c r="O196" s="102">
        <f t="shared" si="133"/>
        <v>10954.5072</v>
      </c>
      <c r="P196" s="102">
        <f>P149*P161</f>
        <v>7420.7952000000005</v>
      </c>
      <c r="Q196" s="103">
        <f t="shared" ref="Q196:AA196" si="134">Q149*Q161</f>
        <v>4947.1967999999997</v>
      </c>
      <c r="R196" s="103">
        <f t="shared" si="134"/>
        <v>9541.0223999999998</v>
      </c>
      <c r="S196" s="103">
        <f t="shared" si="134"/>
        <v>13251.42</v>
      </c>
      <c r="T196" s="103">
        <f t="shared" si="134"/>
        <v>9541.0223999999998</v>
      </c>
      <c r="U196" s="103">
        <f t="shared" si="134"/>
        <v>9894.3935999999994</v>
      </c>
      <c r="V196" s="103">
        <f t="shared" si="134"/>
        <v>9717.7080000000005</v>
      </c>
      <c r="W196" s="103">
        <f t="shared" si="134"/>
        <v>10424.450400000002</v>
      </c>
      <c r="X196" s="103">
        <f t="shared" si="134"/>
        <v>11131.192800000001</v>
      </c>
      <c r="Y196" s="103">
        <f t="shared" si="134"/>
        <v>8657.5944</v>
      </c>
      <c r="Z196" s="103">
        <f t="shared" si="134"/>
        <v>12367.992</v>
      </c>
      <c r="AA196" s="103">
        <f t="shared" si="134"/>
        <v>9894.3935999999994</v>
      </c>
    </row>
    <row r="197" spans="2:29" x14ac:dyDescent="0.3">
      <c r="B197" s="175"/>
      <c r="C197" s="129" t="s">
        <v>106</v>
      </c>
      <c r="D197" s="17">
        <f>D150*D162</f>
        <v>32315.068800000001</v>
      </c>
      <c r="E197" s="17">
        <f t="shared" ref="D197:O197" si="135">E150*E162</f>
        <v>38228.937599999997</v>
      </c>
      <c r="F197" s="17">
        <f t="shared" si="135"/>
        <v>38440.147199999999</v>
      </c>
      <c r="G197" s="17">
        <f t="shared" si="135"/>
        <v>41502.686399999999</v>
      </c>
      <c r="H197" s="17">
        <f t="shared" si="135"/>
        <v>40341.033600000002</v>
      </c>
      <c r="I197" s="17">
        <f t="shared" si="135"/>
        <v>30730.996800000001</v>
      </c>
      <c r="J197" s="17">
        <f t="shared" si="135"/>
        <v>31681.439999999999</v>
      </c>
      <c r="K197" s="17">
        <f t="shared" si="135"/>
        <v>32315.068800000001</v>
      </c>
      <c r="L197" s="17">
        <f t="shared" si="135"/>
        <v>35588.817599999995</v>
      </c>
      <c r="M197" s="17">
        <f t="shared" si="135"/>
        <v>49845.465600000003</v>
      </c>
      <c r="N197" s="17">
        <f t="shared" si="135"/>
        <v>42347.524799999999</v>
      </c>
      <c r="O197" s="17">
        <f t="shared" si="135"/>
        <v>46360.5072</v>
      </c>
      <c r="P197" s="17">
        <f>P150*P162</f>
        <v>36644.865600000005</v>
      </c>
      <c r="Q197" s="18">
        <f t="shared" ref="Q197:AA197" si="136">Q150*Q162</f>
        <v>31259.020799999998</v>
      </c>
      <c r="R197" s="18">
        <f t="shared" si="136"/>
        <v>41185.872000000003</v>
      </c>
      <c r="S197" s="18">
        <f t="shared" si="136"/>
        <v>51218.327999999994</v>
      </c>
      <c r="T197" s="18">
        <f t="shared" si="136"/>
        <v>44354.016000000003</v>
      </c>
      <c r="U197" s="18">
        <f t="shared" si="136"/>
        <v>38228.937599999997</v>
      </c>
      <c r="V197" s="18">
        <f t="shared" si="136"/>
        <v>36116.8416</v>
      </c>
      <c r="W197" s="18">
        <f t="shared" si="136"/>
        <v>35694.422400000003</v>
      </c>
      <c r="X197" s="18">
        <f t="shared" si="136"/>
        <v>45621.2736</v>
      </c>
      <c r="Y197" s="18">
        <f t="shared" si="136"/>
        <v>40446.638400000003</v>
      </c>
      <c r="Z197" s="18">
        <f t="shared" si="136"/>
        <v>49634.256000000001</v>
      </c>
      <c r="AA197" s="18">
        <f t="shared" si="136"/>
        <v>43086.758400000006</v>
      </c>
    </row>
    <row r="198" spans="2:29" x14ac:dyDescent="0.3">
      <c r="B198" s="175"/>
      <c r="C198" s="130" t="s">
        <v>107</v>
      </c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3"/>
      <c r="R198" s="103"/>
      <c r="S198" s="103"/>
      <c r="T198" s="103"/>
      <c r="U198" s="103"/>
      <c r="V198" s="103"/>
      <c r="W198" s="103"/>
      <c r="X198" s="103"/>
      <c r="Y198" s="103"/>
      <c r="Z198" s="103"/>
      <c r="AA198" s="103"/>
    </row>
    <row r="199" spans="2:29" x14ac:dyDescent="0.3">
      <c r="B199" s="175"/>
      <c r="C199" s="130" t="s">
        <v>110</v>
      </c>
      <c r="D199" s="21">
        <f t="shared" ref="D199:O199" si="137">SUM(D192:D198)/(1-SUM(D164:D165))*SUM(D164:D165)</f>
        <v>39172.055152941182</v>
      </c>
      <c r="E199" s="21">
        <f t="shared" si="137"/>
        <v>45495.991905882358</v>
      </c>
      <c r="F199" s="21">
        <f t="shared" si="137"/>
        <v>47432.122729411771</v>
      </c>
      <c r="G199" s="21">
        <f t="shared" si="137"/>
        <v>51044.769035294121</v>
      </c>
      <c r="H199" s="21">
        <f t="shared" si="137"/>
        <v>50392.942870588238</v>
      </c>
      <c r="I199" s="21">
        <f t="shared" si="137"/>
        <v>38518.078588235301</v>
      </c>
      <c r="J199" s="21">
        <f t="shared" si="137"/>
        <v>41823.249317647067</v>
      </c>
      <c r="K199" s="21">
        <f t="shared" si="137"/>
        <v>41881.6224</v>
      </c>
      <c r="L199" s="21">
        <f t="shared" si="137"/>
        <v>47651.137411764714</v>
      </c>
      <c r="M199" s="21">
        <f t="shared" si="137"/>
        <v>66168.241694117649</v>
      </c>
      <c r="N199" s="21">
        <f t="shared" si="137"/>
        <v>50752.346258823527</v>
      </c>
      <c r="O199" s="21">
        <f t="shared" si="137"/>
        <v>58812.167999999998</v>
      </c>
      <c r="P199" s="21">
        <f>SUM(P192:P198)/(1-SUM(P164:P165))*SUM(P164:P165)</f>
        <v>45721.457788235304</v>
      </c>
      <c r="Q199" s="22">
        <f t="shared" ref="Q199:AA199" si="138">SUM(Q192:Q198)/(1-SUM(Q164:Q165))*SUM(Q164:Q165)</f>
        <v>36843.292235294131</v>
      </c>
      <c r="R199" s="22">
        <f t="shared" si="138"/>
        <v>52174.667858823537</v>
      </c>
      <c r="S199" s="22">
        <f t="shared" si="138"/>
        <v>66487.811294117651</v>
      </c>
      <c r="T199" s="22">
        <f t="shared" si="138"/>
        <v>53474.809976470591</v>
      </c>
      <c r="U199" s="22">
        <f t="shared" si="138"/>
        <v>49313.254588235301</v>
      </c>
      <c r="V199" s="22">
        <f t="shared" si="138"/>
        <v>47650.9953882353</v>
      </c>
      <c r="W199" s="22">
        <f t="shared" si="138"/>
        <v>48741.066352941183</v>
      </c>
      <c r="X199" s="22">
        <f t="shared" si="138"/>
        <v>58839.884047058833</v>
      </c>
      <c r="Y199" s="22">
        <f t="shared" si="138"/>
        <v>51540.614117647063</v>
      </c>
      <c r="Z199" s="22">
        <f t="shared" si="138"/>
        <v>63497.12470588235</v>
      </c>
      <c r="AA199" s="22">
        <f t="shared" si="138"/>
        <v>53890.999341176488</v>
      </c>
    </row>
    <row r="200" spans="2:29" ht="17.25" thickBot="1" x14ac:dyDescent="0.35">
      <c r="B200" s="175"/>
      <c r="C200" s="101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01"/>
      <c r="S200" s="101"/>
      <c r="T200" s="101"/>
      <c r="U200" s="101"/>
      <c r="V200" s="101"/>
      <c r="W200" s="101"/>
      <c r="X200" s="101"/>
      <c r="Y200" s="101"/>
      <c r="Z200" s="101"/>
      <c r="AA200" s="45"/>
    </row>
    <row r="201" spans="2:29" ht="17.25" thickBot="1" x14ac:dyDescent="0.35">
      <c r="B201" s="175"/>
      <c r="C201" s="134" t="s">
        <v>109</v>
      </c>
      <c r="D201" s="46">
        <f t="shared" ref="D201:O201" si="139">+SUM(D192:D199)</f>
        <v>122412.67235294118</v>
      </c>
      <c r="E201" s="46">
        <f t="shared" si="139"/>
        <v>142174.97470588237</v>
      </c>
      <c r="F201" s="46">
        <f t="shared" si="139"/>
        <v>148225.38352941175</v>
      </c>
      <c r="G201" s="46">
        <f t="shared" si="139"/>
        <v>159514.90323529413</v>
      </c>
      <c r="H201" s="46">
        <f t="shared" si="139"/>
        <v>157477.94647058824</v>
      </c>
      <c r="I201" s="46">
        <f t="shared" si="139"/>
        <v>120368.9955882353</v>
      </c>
      <c r="J201" s="46">
        <f t="shared" si="139"/>
        <v>130697.65411764706</v>
      </c>
      <c r="K201" s="46">
        <f t="shared" si="139"/>
        <v>130880.07</v>
      </c>
      <c r="L201" s="46">
        <f t="shared" si="139"/>
        <v>148909.80441176472</v>
      </c>
      <c r="M201" s="46">
        <f t="shared" si="139"/>
        <v>206775.75529411767</v>
      </c>
      <c r="N201" s="46">
        <f t="shared" si="139"/>
        <v>158601.08205882352</v>
      </c>
      <c r="O201" s="46">
        <f t="shared" si="139"/>
        <v>183788.02499999999</v>
      </c>
      <c r="P201" s="46">
        <f>+SUM(P192:P199)</f>
        <v>142879.55558823532</v>
      </c>
      <c r="Q201" s="46">
        <f t="shared" ref="Q201:AA201" si="140">+SUM(Q192:Q199)</f>
        <v>115135.28823529414</v>
      </c>
      <c r="R201" s="46">
        <f t="shared" si="140"/>
        <v>163045.83705882356</v>
      </c>
      <c r="S201" s="46">
        <f t="shared" si="140"/>
        <v>207774.41029411764</v>
      </c>
      <c r="T201" s="46">
        <f t="shared" si="140"/>
        <v>167108.7811764706</v>
      </c>
      <c r="U201" s="46">
        <f t="shared" si="140"/>
        <v>154103.92058823531</v>
      </c>
      <c r="V201" s="46">
        <f t="shared" si="140"/>
        <v>148909.36058823531</v>
      </c>
      <c r="W201" s="46">
        <f t="shared" si="140"/>
        <v>152315.83235294119</v>
      </c>
      <c r="X201" s="46">
        <f t="shared" si="140"/>
        <v>183874.63764705884</v>
      </c>
      <c r="Y201" s="46">
        <f t="shared" si="140"/>
        <v>161064.41911764705</v>
      </c>
      <c r="Z201" s="46">
        <f t="shared" si="140"/>
        <v>198428.51470588235</v>
      </c>
      <c r="AA201" s="46">
        <f t="shared" si="140"/>
        <v>168409.37294117652</v>
      </c>
      <c r="AC201" s="47">
        <f>SUM(D201:AA201)</f>
        <v>3772877.1970588244</v>
      </c>
    </row>
    <row r="202" spans="2:29" ht="17.25" thickBot="1" x14ac:dyDescent="0.35">
      <c r="B202" s="175"/>
      <c r="C202" s="101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1"/>
      <c r="X202" s="101"/>
      <c r="Y202" s="101"/>
      <c r="Z202" s="101"/>
      <c r="AA202" s="41"/>
    </row>
    <row r="203" spans="2:29" ht="17.25" thickBot="1" x14ac:dyDescent="0.35">
      <c r="B203" s="175"/>
      <c r="C203" s="134" t="s">
        <v>111</v>
      </c>
      <c r="D203" s="46">
        <f t="shared" ref="D203:O203" si="141">D201-D189</f>
        <v>28334.788710556008</v>
      </c>
      <c r="E203" s="46">
        <f t="shared" si="141"/>
        <v>29991.184389041111</v>
      </c>
      <c r="F203" s="46">
        <f t="shared" si="141"/>
        <v>33482.044415149066</v>
      </c>
      <c r="G203" s="46">
        <f t="shared" si="141"/>
        <v>35760.92476728445</v>
      </c>
      <c r="H203" s="46">
        <f t="shared" si="141"/>
        <v>36014.529634327162</v>
      </c>
      <c r="I203" s="46">
        <f t="shared" si="141"/>
        <v>29270.108529572928</v>
      </c>
      <c r="J203" s="46">
        <f t="shared" si="141"/>
        <v>33778.57364093473</v>
      </c>
      <c r="K203" s="46">
        <f t="shared" si="141"/>
        <v>33050.74871313457</v>
      </c>
      <c r="L203" s="46">
        <f t="shared" si="141"/>
        <v>35873.014089766337</v>
      </c>
      <c r="M203" s="46">
        <f t="shared" si="141"/>
        <v>45729.480728605995</v>
      </c>
      <c r="N203" s="46">
        <f t="shared" si="141"/>
        <v>33218.504862691378</v>
      </c>
      <c r="O203" s="46">
        <f t="shared" si="141"/>
        <v>40005.850326188549</v>
      </c>
      <c r="P203" s="46">
        <f>P201-P189</f>
        <v>30337.00920773574</v>
      </c>
      <c r="Q203" s="46">
        <f t="shared" ref="Q203:AA203" si="142">Q201-Q189</f>
        <v>23259.883586784868</v>
      </c>
      <c r="R203" s="46">
        <f t="shared" si="142"/>
        <v>36419.584731345691</v>
      </c>
      <c r="S203" s="46">
        <f t="shared" si="142"/>
        <v>46608.755886381929</v>
      </c>
      <c r="T203" s="46">
        <f t="shared" si="142"/>
        <v>35727.935093956505</v>
      </c>
      <c r="U203" s="46">
        <f t="shared" si="142"/>
        <v>38244.114393553609</v>
      </c>
      <c r="V203" s="46">
        <f t="shared" si="142"/>
        <v>38115.719151490746</v>
      </c>
      <c r="W203" s="46">
        <f t="shared" si="142"/>
        <v>40565.919104431901</v>
      </c>
      <c r="X203" s="46">
        <f t="shared" si="142"/>
        <v>40756.730241901707</v>
      </c>
      <c r="Y203" s="46">
        <f t="shared" si="142"/>
        <v>33633.494645124883</v>
      </c>
      <c r="Z203" s="46">
        <f t="shared" si="142"/>
        <v>44007.105703464942</v>
      </c>
      <c r="AA203" s="46">
        <f t="shared" si="142"/>
        <v>37183.584949556855</v>
      </c>
      <c r="AC203" s="47">
        <f>AC201-AC189</f>
        <v>859369.5895029828</v>
      </c>
    </row>
    <row r="204" spans="2:29" ht="17.25" thickBot="1" x14ac:dyDescent="0.35">
      <c r="B204" s="176"/>
      <c r="C204" s="134" t="s">
        <v>112</v>
      </c>
      <c r="D204" s="105">
        <f t="shared" ref="D204:O204" si="143">D203/D201</f>
        <v>0.23146940725924944</v>
      </c>
      <c r="E204" s="105">
        <f t="shared" si="143"/>
        <v>0.21094559328098303</v>
      </c>
      <c r="F204" s="105">
        <f t="shared" si="143"/>
        <v>0.22588603664166174</v>
      </c>
      <c r="G204" s="105">
        <f t="shared" si="143"/>
        <v>0.22418547760728616</v>
      </c>
      <c r="H204" s="105">
        <f t="shared" si="143"/>
        <v>0.22869570274116766</v>
      </c>
      <c r="I204" s="105">
        <f t="shared" si="143"/>
        <v>0.2431698327840309</v>
      </c>
      <c r="J204" s="105">
        <f t="shared" si="143"/>
        <v>0.25844820145378478</v>
      </c>
      <c r="K204" s="105">
        <f t="shared" si="143"/>
        <v>0.25252697918892136</v>
      </c>
      <c r="L204" s="105">
        <f t="shared" si="143"/>
        <v>0.24090431272457011</v>
      </c>
      <c r="M204" s="105">
        <f t="shared" si="143"/>
        <v>0.22115494470597105</v>
      </c>
      <c r="N204" s="105">
        <f t="shared" si="143"/>
        <v>0.20944689929902857</v>
      </c>
      <c r="O204" s="105">
        <f t="shared" si="143"/>
        <v>0.21767386817606071</v>
      </c>
      <c r="P204" s="105">
        <f>P203/P201</f>
        <v>0.21232575285413111</v>
      </c>
      <c r="Q204" s="105">
        <f>Q203/Q201</f>
        <v>0.20202219444007671</v>
      </c>
      <c r="R204" s="105">
        <f t="shared" ref="R204:AA204" si="144">R203/R201</f>
        <v>0.22337022145622926</v>
      </c>
      <c r="S204" s="105">
        <f t="shared" si="144"/>
        <v>0.22432385114415354</v>
      </c>
      <c r="T204" s="105">
        <f t="shared" si="144"/>
        <v>0.21380046483749415</v>
      </c>
      <c r="U204" s="105">
        <f t="shared" si="144"/>
        <v>0.24817093716740432</v>
      </c>
      <c r="V204" s="105">
        <f t="shared" si="144"/>
        <v>0.25596590436573335</v>
      </c>
      <c r="W204" s="105">
        <f t="shared" si="144"/>
        <v>0.2663276592969922</v>
      </c>
      <c r="X204" s="105">
        <f t="shared" si="144"/>
        <v>0.22165498604616082</v>
      </c>
      <c r="Y204" s="105">
        <f t="shared" si="144"/>
        <v>0.20882014059578119</v>
      </c>
      <c r="Z204" s="105">
        <f t="shared" si="144"/>
        <v>0.2217781338972063</v>
      </c>
      <c r="AA204" s="105">
        <f t="shared" si="144"/>
        <v>0.22079284721607897</v>
      </c>
      <c r="AC204" s="106">
        <f>AC203/AC201</f>
        <v>0.22777565889844256</v>
      </c>
    </row>
    <row r="205" spans="2:29" x14ac:dyDescent="0.3"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"/>
    </row>
    <row r="206" spans="2:29" x14ac:dyDescent="0.3"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"/>
    </row>
    <row r="207" spans="2:29" x14ac:dyDescent="0.3"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"/>
    </row>
    <row r="208" spans="2:29" x14ac:dyDescent="0.3"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"/>
    </row>
    <row r="209" spans="2:27" x14ac:dyDescent="0.3"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"/>
    </row>
    <row r="210" spans="2:27" x14ac:dyDescent="0.3"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"/>
    </row>
    <row r="211" spans="2:27" x14ac:dyDescent="0.3"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"/>
    </row>
    <row r="212" spans="2:27" x14ac:dyDescent="0.3"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"/>
    </row>
    <row r="213" spans="2:27" x14ac:dyDescent="0.3"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"/>
    </row>
    <row r="214" spans="2:27" x14ac:dyDescent="0.3"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"/>
    </row>
    <row r="215" spans="2:27" x14ac:dyDescent="0.3"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"/>
    </row>
    <row r="216" spans="2:27" x14ac:dyDescent="0.3"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"/>
    </row>
    <row r="217" spans="2:27" x14ac:dyDescent="0.3"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"/>
    </row>
    <row r="218" spans="2:27" x14ac:dyDescent="0.3"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"/>
    </row>
    <row r="219" spans="2:27" x14ac:dyDescent="0.3"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"/>
    </row>
    <row r="220" spans="2:27" x14ac:dyDescent="0.3"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"/>
    </row>
    <row r="221" spans="2:27" x14ac:dyDescent="0.3"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"/>
    </row>
    <row r="222" spans="2:27" x14ac:dyDescent="0.3"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"/>
    </row>
    <row r="223" spans="2:27" x14ac:dyDescent="0.3"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"/>
    </row>
    <row r="224" spans="2:27" x14ac:dyDescent="0.3"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"/>
    </row>
    <row r="225" spans="2:27" x14ac:dyDescent="0.3"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"/>
    </row>
    <row r="226" spans="2:27" x14ac:dyDescent="0.3"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"/>
    </row>
    <row r="227" spans="2:27" x14ac:dyDescent="0.3"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"/>
    </row>
    <row r="228" spans="2:27" x14ac:dyDescent="0.3"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"/>
    </row>
    <row r="229" spans="2:27" x14ac:dyDescent="0.3"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"/>
    </row>
    <row r="230" spans="2:27" x14ac:dyDescent="0.3"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"/>
    </row>
    <row r="231" spans="2:27" x14ac:dyDescent="0.3"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"/>
    </row>
    <row r="232" spans="2:27" x14ac:dyDescent="0.3"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"/>
    </row>
    <row r="233" spans="2:27" x14ac:dyDescent="0.3"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"/>
    </row>
    <row r="234" spans="2:27" x14ac:dyDescent="0.3"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"/>
    </row>
    <row r="235" spans="2:27" x14ac:dyDescent="0.3"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"/>
    </row>
    <row r="236" spans="2:27" x14ac:dyDescent="0.3"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"/>
    </row>
    <row r="237" spans="2:27" x14ac:dyDescent="0.3"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"/>
    </row>
    <row r="238" spans="2:27" x14ac:dyDescent="0.3"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"/>
    </row>
    <row r="239" spans="2:27" x14ac:dyDescent="0.3"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"/>
    </row>
    <row r="240" spans="2:27" x14ac:dyDescent="0.3"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"/>
    </row>
    <row r="241" spans="2:27" x14ac:dyDescent="0.3"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"/>
    </row>
    <row r="242" spans="2:27" x14ac:dyDescent="0.3"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"/>
    </row>
    <row r="243" spans="2:27" x14ac:dyDescent="0.3"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"/>
    </row>
    <row r="244" spans="2:27" x14ac:dyDescent="0.3"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"/>
    </row>
    <row r="245" spans="2:27" x14ac:dyDescent="0.3"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"/>
    </row>
    <row r="246" spans="2:27" x14ac:dyDescent="0.3"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"/>
    </row>
    <row r="247" spans="2:27" x14ac:dyDescent="0.3"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"/>
    </row>
    <row r="248" spans="2:27" x14ac:dyDescent="0.3"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"/>
    </row>
    <row r="249" spans="2:27" x14ac:dyDescent="0.3"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"/>
    </row>
    <row r="250" spans="2:27" x14ac:dyDescent="0.3"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"/>
    </row>
    <row r="251" spans="2:27" x14ac:dyDescent="0.3"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"/>
    </row>
    <row r="252" spans="2:27" x14ac:dyDescent="0.3"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"/>
    </row>
    <row r="253" spans="2:27" x14ac:dyDescent="0.3"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"/>
    </row>
    <row r="254" spans="2:27" x14ac:dyDescent="0.3"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"/>
    </row>
    <row r="255" spans="2:27" x14ac:dyDescent="0.3"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"/>
    </row>
    <row r="256" spans="2:27" x14ac:dyDescent="0.3"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"/>
    </row>
    <row r="257" spans="2:27" x14ac:dyDescent="0.3"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"/>
    </row>
    <row r="258" spans="2:27" x14ac:dyDescent="0.3"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"/>
    </row>
    <row r="259" spans="2:27" x14ac:dyDescent="0.3"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"/>
    </row>
    <row r="260" spans="2:27" x14ac:dyDescent="0.3"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"/>
    </row>
    <row r="261" spans="2:27" x14ac:dyDescent="0.3"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"/>
    </row>
    <row r="262" spans="2:27" x14ac:dyDescent="0.3"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"/>
    </row>
    <row r="263" spans="2:27" x14ac:dyDescent="0.3"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"/>
    </row>
    <row r="264" spans="2:27" x14ac:dyDescent="0.3"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"/>
    </row>
    <row r="265" spans="2:27" x14ac:dyDescent="0.3"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"/>
    </row>
    <row r="266" spans="2:27" x14ac:dyDescent="0.3"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"/>
    </row>
    <row r="267" spans="2:27" x14ac:dyDescent="0.3"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"/>
    </row>
    <row r="268" spans="2:27" x14ac:dyDescent="0.3"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"/>
    </row>
    <row r="269" spans="2:27" x14ac:dyDescent="0.3"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"/>
    </row>
    <row r="270" spans="2:27" x14ac:dyDescent="0.3"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"/>
    </row>
    <row r="271" spans="2:27" x14ac:dyDescent="0.3"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"/>
    </row>
    <row r="272" spans="2:27" x14ac:dyDescent="0.3"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"/>
    </row>
    <row r="273" spans="2:27" x14ac:dyDescent="0.3"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"/>
    </row>
    <row r="274" spans="2:27" x14ac:dyDescent="0.3"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"/>
    </row>
    <row r="275" spans="2:27" x14ac:dyDescent="0.3"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"/>
    </row>
    <row r="276" spans="2:27" x14ac:dyDescent="0.3"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"/>
    </row>
    <row r="277" spans="2:27" x14ac:dyDescent="0.3"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"/>
    </row>
    <row r="278" spans="2:27" x14ac:dyDescent="0.3"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"/>
    </row>
    <row r="279" spans="2:27" x14ac:dyDescent="0.3"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"/>
    </row>
    <row r="280" spans="2:27" x14ac:dyDescent="0.3"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"/>
    </row>
    <row r="281" spans="2:27" x14ac:dyDescent="0.3"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"/>
    </row>
    <row r="282" spans="2:27" x14ac:dyDescent="0.3"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"/>
    </row>
    <row r="283" spans="2:27" x14ac:dyDescent="0.3"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"/>
    </row>
    <row r="284" spans="2:27" x14ac:dyDescent="0.3"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"/>
    </row>
    <row r="285" spans="2:27" x14ac:dyDescent="0.3"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"/>
    </row>
    <row r="286" spans="2:27" x14ac:dyDescent="0.3"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"/>
    </row>
    <row r="287" spans="2:27" x14ac:dyDescent="0.3"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"/>
    </row>
    <row r="288" spans="2:27" x14ac:dyDescent="0.3"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"/>
    </row>
    <row r="289" spans="2:27" x14ac:dyDescent="0.3"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"/>
    </row>
    <row r="290" spans="2:27" x14ac:dyDescent="0.3"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"/>
    </row>
    <row r="291" spans="2:27" x14ac:dyDescent="0.3"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"/>
    </row>
    <row r="292" spans="2:27" x14ac:dyDescent="0.3"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"/>
    </row>
    <row r="293" spans="2:27" x14ac:dyDescent="0.3"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"/>
    </row>
    <row r="294" spans="2:27" x14ac:dyDescent="0.3"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"/>
    </row>
    <row r="295" spans="2:27" x14ac:dyDescent="0.3"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"/>
    </row>
    <row r="296" spans="2:27" x14ac:dyDescent="0.3"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"/>
    </row>
    <row r="297" spans="2:27" x14ac:dyDescent="0.3"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"/>
    </row>
    <row r="298" spans="2:27" x14ac:dyDescent="0.3"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"/>
    </row>
    <row r="299" spans="2:27" x14ac:dyDescent="0.3"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"/>
    </row>
    <row r="300" spans="2:27" x14ac:dyDescent="0.3"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"/>
    </row>
    <row r="301" spans="2:27" x14ac:dyDescent="0.3"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"/>
    </row>
    <row r="302" spans="2:27" x14ac:dyDescent="0.3"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"/>
    </row>
    <row r="303" spans="2:27" x14ac:dyDescent="0.3"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"/>
    </row>
    <row r="304" spans="2:27" x14ac:dyDescent="0.3"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"/>
    </row>
    <row r="305" spans="2:27" x14ac:dyDescent="0.3"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"/>
    </row>
    <row r="306" spans="2:27" x14ac:dyDescent="0.3"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"/>
    </row>
    <row r="307" spans="2:27" x14ac:dyDescent="0.3"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"/>
    </row>
    <row r="308" spans="2:27" x14ac:dyDescent="0.3"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"/>
    </row>
    <row r="309" spans="2:27" x14ac:dyDescent="0.3"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"/>
    </row>
    <row r="310" spans="2:27" x14ac:dyDescent="0.3"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"/>
    </row>
    <row r="311" spans="2:27" x14ac:dyDescent="0.3"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"/>
    </row>
    <row r="312" spans="2:27" x14ac:dyDescent="0.3"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"/>
    </row>
    <row r="313" spans="2:27" x14ac:dyDescent="0.3"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"/>
    </row>
    <row r="314" spans="2:27" x14ac:dyDescent="0.3"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"/>
    </row>
    <row r="315" spans="2:27" x14ac:dyDescent="0.3"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"/>
    </row>
    <row r="316" spans="2:27" x14ac:dyDescent="0.3"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"/>
    </row>
    <row r="317" spans="2:27" x14ac:dyDescent="0.3"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"/>
    </row>
    <row r="318" spans="2:27" x14ac:dyDescent="0.3"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"/>
    </row>
    <row r="319" spans="2:27" x14ac:dyDescent="0.3"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"/>
    </row>
    <row r="320" spans="2:27" x14ac:dyDescent="0.3"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"/>
    </row>
    <row r="321" spans="2:27" x14ac:dyDescent="0.3"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"/>
    </row>
    <row r="322" spans="2:27" x14ac:dyDescent="0.3"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"/>
    </row>
    <row r="323" spans="2:27" x14ac:dyDescent="0.3"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"/>
    </row>
    <row r="324" spans="2:27" x14ac:dyDescent="0.3"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"/>
    </row>
    <row r="325" spans="2:27" x14ac:dyDescent="0.3"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"/>
    </row>
    <row r="326" spans="2:27" x14ac:dyDescent="0.3"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"/>
    </row>
    <row r="327" spans="2:27" x14ac:dyDescent="0.3"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"/>
    </row>
    <row r="328" spans="2:27" x14ac:dyDescent="0.3"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"/>
    </row>
    <row r="329" spans="2:27" x14ac:dyDescent="0.3"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"/>
    </row>
    <row r="330" spans="2:27" x14ac:dyDescent="0.3"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"/>
    </row>
    <row r="331" spans="2:27" x14ac:dyDescent="0.3"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"/>
    </row>
    <row r="332" spans="2:27" x14ac:dyDescent="0.3"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"/>
    </row>
    <row r="333" spans="2:27" x14ac:dyDescent="0.3"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"/>
    </row>
    <row r="334" spans="2:27" x14ac:dyDescent="0.3"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"/>
    </row>
    <row r="335" spans="2:27" x14ac:dyDescent="0.3"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"/>
    </row>
    <row r="336" spans="2:27" x14ac:dyDescent="0.3"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"/>
    </row>
    <row r="337" spans="2:27" x14ac:dyDescent="0.3"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"/>
    </row>
    <row r="338" spans="2:27" x14ac:dyDescent="0.3"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"/>
    </row>
    <row r="339" spans="2:27" x14ac:dyDescent="0.3"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"/>
    </row>
    <row r="340" spans="2:27" x14ac:dyDescent="0.3"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"/>
    </row>
    <row r="341" spans="2:27" x14ac:dyDescent="0.3"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"/>
    </row>
    <row r="342" spans="2:27" x14ac:dyDescent="0.3"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"/>
    </row>
    <row r="343" spans="2:27" x14ac:dyDescent="0.3"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"/>
    </row>
    <row r="344" spans="2:27" x14ac:dyDescent="0.3"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"/>
    </row>
    <row r="345" spans="2:27" x14ac:dyDescent="0.3"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"/>
    </row>
    <row r="346" spans="2:27" x14ac:dyDescent="0.3"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"/>
    </row>
    <row r="347" spans="2:27" x14ac:dyDescent="0.3"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"/>
    </row>
    <row r="348" spans="2:27" x14ac:dyDescent="0.3"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"/>
    </row>
    <row r="349" spans="2:27" x14ac:dyDescent="0.3"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"/>
    </row>
    <row r="350" spans="2:27" x14ac:dyDescent="0.3"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"/>
    </row>
    <row r="351" spans="2:27" x14ac:dyDescent="0.3"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"/>
    </row>
    <row r="352" spans="2:27" x14ac:dyDescent="0.3"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"/>
    </row>
    <row r="353" spans="2:27" x14ac:dyDescent="0.3"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"/>
    </row>
    <row r="354" spans="2:27" x14ac:dyDescent="0.3"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"/>
    </row>
    <row r="355" spans="2:27" x14ac:dyDescent="0.3"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"/>
    </row>
    <row r="356" spans="2:27" x14ac:dyDescent="0.3"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"/>
    </row>
    <row r="357" spans="2:27" x14ac:dyDescent="0.3"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"/>
    </row>
    <row r="358" spans="2:27" x14ac:dyDescent="0.3"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"/>
    </row>
    <row r="359" spans="2:27" x14ac:dyDescent="0.3"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"/>
    </row>
    <row r="360" spans="2:27" x14ac:dyDescent="0.3"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"/>
    </row>
    <row r="361" spans="2:27" x14ac:dyDescent="0.3"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"/>
    </row>
    <row r="362" spans="2:27" x14ac:dyDescent="0.3"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"/>
    </row>
    <row r="363" spans="2:27" x14ac:dyDescent="0.3"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"/>
    </row>
    <row r="364" spans="2:27" x14ac:dyDescent="0.3"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"/>
    </row>
    <row r="365" spans="2:27" x14ac:dyDescent="0.3"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"/>
    </row>
    <row r="366" spans="2:27" x14ac:dyDescent="0.3"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"/>
    </row>
    <row r="367" spans="2:27" x14ac:dyDescent="0.3"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"/>
    </row>
    <row r="368" spans="2:27" x14ac:dyDescent="0.3"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"/>
    </row>
    <row r="369" spans="2:27" x14ac:dyDescent="0.3"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"/>
    </row>
    <row r="370" spans="2:27" x14ac:dyDescent="0.3"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"/>
    </row>
    <row r="371" spans="2:27" x14ac:dyDescent="0.3"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"/>
    </row>
    <row r="372" spans="2:27" x14ac:dyDescent="0.3"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"/>
    </row>
    <row r="373" spans="2:27" x14ac:dyDescent="0.3"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"/>
    </row>
    <row r="374" spans="2:27" x14ac:dyDescent="0.3"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"/>
    </row>
    <row r="375" spans="2:27" x14ac:dyDescent="0.3"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"/>
    </row>
    <row r="376" spans="2:27" x14ac:dyDescent="0.3"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"/>
    </row>
    <row r="377" spans="2:27" x14ac:dyDescent="0.3"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"/>
    </row>
    <row r="378" spans="2:27" x14ac:dyDescent="0.3"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"/>
    </row>
    <row r="379" spans="2:27" x14ac:dyDescent="0.3"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"/>
    </row>
    <row r="380" spans="2:27" x14ac:dyDescent="0.3"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"/>
    </row>
    <row r="381" spans="2:27" x14ac:dyDescent="0.3"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"/>
    </row>
    <row r="382" spans="2:27" x14ac:dyDescent="0.3"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"/>
    </row>
    <row r="383" spans="2:27" x14ac:dyDescent="0.3"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"/>
    </row>
    <row r="384" spans="2:27" x14ac:dyDescent="0.3"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"/>
    </row>
    <row r="385" spans="2:27" x14ac:dyDescent="0.3"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"/>
    </row>
    <row r="386" spans="2:27" x14ac:dyDescent="0.3"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"/>
    </row>
    <row r="387" spans="2:27" x14ac:dyDescent="0.3"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"/>
    </row>
    <row r="388" spans="2:27" x14ac:dyDescent="0.3"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"/>
    </row>
    <row r="389" spans="2:27" x14ac:dyDescent="0.3"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"/>
    </row>
    <row r="390" spans="2:27" x14ac:dyDescent="0.3"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"/>
    </row>
    <row r="391" spans="2:27" x14ac:dyDescent="0.3"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"/>
    </row>
    <row r="392" spans="2:27" x14ac:dyDescent="0.3"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"/>
    </row>
    <row r="393" spans="2:27" x14ac:dyDescent="0.3"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"/>
    </row>
    <row r="394" spans="2:27" x14ac:dyDescent="0.3"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"/>
    </row>
    <row r="395" spans="2:27" x14ac:dyDescent="0.3"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"/>
    </row>
    <row r="396" spans="2:27" x14ac:dyDescent="0.3"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"/>
    </row>
    <row r="397" spans="2:27" x14ac:dyDescent="0.3"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"/>
    </row>
    <row r="398" spans="2:27" x14ac:dyDescent="0.3"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"/>
    </row>
    <row r="399" spans="2:27" x14ac:dyDescent="0.3"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"/>
    </row>
    <row r="400" spans="2:27" x14ac:dyDescent="0.3"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"/>
    </row>
    <row r="401" spans="2:27" x14ac:dyDescent="0.3"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"/>
    </row>
    <row r="402" spans="2:27" x14ac:dyDescent="0.3"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"/>
    </row>
    <row r="403" spans="2:27" x14ac:dyDescent="0.3"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"/>
    </row>
    <row r="404" spans="2:27" x14ac:dyDescent="0.3"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"/>
    </row>
    <row r="405" spans="2:27" x14ac:dyDescent="0.3"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"/>
    </row>
    <row r="406" spans="2:27" x14ac:dyDescent="0.3"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"/>
    </row>
    <row r="407" spans="2:27" x14ac:dyDescent="0.3"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"/>
    </row>
    <row r="408" spans="2:27" x14ac:dyDescent="0.3"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"/>
    </row>
    <row r="409" spans="2:27" x14ac:dyDescent="0.3"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"/>
    </row>
    <row r="410" spans="2:27" x14ac:dyDescent="0.3"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"/>
    </row>
    <row r="411" spans="2:27" x14ac:dyDescent="0.3"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"/>
    </row>
    <row r="412" spans="2:27" x14ac:dyDescent="0.3"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"/>
    </row>
    <row r="413" spans="2:27" x14ac:dyDescent="0.3"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"/>
    </row>
    <row r="414" spans="2:27" x14ac:dyDescent="0.3"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"/>
    </row>
    <row r="415" spans="2:27" x14ac:dyDescent="0.3"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"/>
    </row>
    <row r="416" spans="2:27" x14ac:dyDescent="0.3"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"/>
    </row>
    <row r="417" spans="2:27" x14ac:dyDescent="0.3"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"/>
    </row>
    <row r="418" spans="2:27" x14ac:dyDescent="0.3"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"/>
    </row>
    <row r="419" spans="2:27" x14ac:dyDescent="0.3"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"/>
    </row>
    <row r="420" spans="2:27" x14ac:dyDescent="0.3"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"/>
    </row>
    <row r="421" spans="2:27" x14ac:dyDescent="0.3"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"/>
    </row>
    <row r="422" spans="2:27" x14ac:dyDescent="0.3"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"/>
    </row>
    <row r="423" spans="2:27" x14ac:dyDescent="0.3"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"/>
    </row>
    <row r="424" spans="2:27" x14ac:dyDescent="0.3"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"/>
    </row>
    <row r="425" spans="2:27" x14ac:dyDescent="0.3"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"/>
    </row>
    <row r="426" spans="2:27" x14ac:dyDescent="0.3"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"/>
    </row>
    <row r="427" spans="2:27" x14ac:dyDescent="0.3"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"/>
    </row>
    <row r="428" spans="2:27" x14ac:dyDescent="0.3"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"/>
    </row>
    <row r="429" spans="2:27" x14ac:dyDescent="0.3"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"/>
    </row>
    <row r="430" spans="2:27" x14ac:dyDescent="0.3"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"/>
    </row>
    <row r="431" spans="2:27" x14ac:dyDescent="0.3"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"/>
    </row>
    <row r="432" spans="2:27" x14ac:dyDescent="0.3"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"/>
    </row>
    <row r="433" spans="2:27" x14ac:dyDescent="0.3"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"/>
    </row>
    <row r="434" spans="2:27" x14ac:dyDescent="0.3"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"/>
    </row>
    <row r="435" spans="2:27" x14ac:dyDescent="0.3"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"/>
    </row>
    <row r="436" spans="2:27" x14ac:dyDescent="0.3"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"/>
    </row>
    <row r="437" spans="2:27" x14ac:dyDescent="0.3"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"/>
    </row>
    <row r="438" spans="2:27" x14ac:dyDescent="0.3"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"/>
    </row>
    <row r="439" spans="2:27" x14ac:dyDescent="0.3"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"/>
    </row>
    <row r="440" spans="2:27" x14ac:dyDescent="0.3"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"/>
    </row>
    <row r="441" spans="2:27" x14ac:dyDescent="0.3"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"/>
    </row>
    <row r="442" spans="2:27" x14ac:dyDescent="0.3"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"/>
    </row>
    <row r="443" spans="2:27" x14ac:dyDescent="0.3"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"/>
    </row>
    <row r="444" spans="2:27" x14ac:dyDescent="0.3"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"/>
    </row>
    <row r="445" spans="2:27" x14ac:dyDescent="0.3"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"/>
    </row>
    <row r="446" spans="2:27" x14ac:dyDescent="0.3"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"/>
    </row>
    <row r="447" spans="2:27" x14ac:dyDescent="0.3"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"/>
    </row>
    <row r="448" spans="2:27" x14ac:dyDescent="0.3"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"/>
    </row>
    <row r="449" spans="2:27" x14ac:dyDescent="0.3"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"/>
    </row>
    <row r="450" spans="2:27" x14ac:dyDescent="0.3"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"/>
    </row>
    <row r="451" spans="2:27" x14ac:dyDescent="0.3"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"/>
    </row>
    <row r="452" spans="2:27" x14ac:dyDescent="0.3"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"/>
    </row>
    <row r="453" spans="2:27" x14ac:dyDescent="0.3"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"/>
    </row>
    <row r="454" spans="2:27" x14ac:dyDescent="0.3"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"/>
    </row>
    <row r="455" spans="2:27" x14ac:dyDescent="0.3"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"/>
    </row>
    <row r="456" spans="2:27" x14ac:dyDescent="0.3"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"/>
    </row>
    <row r="457" spans="2:27" x14ac:dyDescent="0.3"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"/>
    </row>
    <row r="458" spans="2:27" x14ac:dyDescent="0.3"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"/>
    </row>
    <row r="459" spans="2:27" x14ac:dyDescent="0.3"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"/>
    </row>
    <row r="460" spans="2:27" x14ac:dyDescent="0.3"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"/>
    </row>
    <row r="461" spans="2:27" x14ac:dyDescent="0.3"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"/>
    </row>
    <row r="462" spans="2:27" x14ac:dyDescent="0.3"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"/>
    </row>
    <row r="463" spans="2:27" x14ac:dyDescent="0.3"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"/>
    </row>
    <row r="464" spans="2:27" x14ac:dyDescent="0.3"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"/>
    </row>
    <row r="465" spans="2:27" x14ac:dyDescent="0.3"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"/>
    </row>
    <row r="466" spans="2:27" x14ac:dyDescent="0.3"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"/>
    </row>
    <row r="467" spans="2:27" x14ac:dyDescent="0.3"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"/>
    </row>
    <row r="468" spans="2:27" x14ac:dyDescent="0.3"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"/>
    </row>
    <row r="469" spans="2:27" x14ac:dyDescent="0.3"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"/>
    </row>
    <row r="470" spans="2:27" x14ac:dyDescent="0.3"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"/>
    </row>
    <row r="471" spans="2:27" x14ac:dyDescent="0.3"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"/>
    </row>
    <row r="472" spans="2:27" x14ac:dyDescent="0.3"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"/>
    </row>
    <row r="473" spans="2:27" x14ac:dyDescent="0.3"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"/>
    </row>
    <row r="474" spans="2:27" x14ac:dyDescent="0.3"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"/>
    </row>
    <row r="475" spans="2:27" x14ac:dyDescent="0.3"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"/>
    </row>
    <row r="476" spans="2:27" x14ac:dyDescent="0.3"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"/>
    </row>
    <row r="477" spans="2:27" x14ac:dyDescent="0.3"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"/>
    </row>
    <row r="478" spans="2:27" x14ac:dyDescent="0.3"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"/>
    </row>
    <row r="479" spans="2:27" x14ac:dyDescent="0.3"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"/>
    </row>
    <row r="480" spans="2:27" x14ac:dyDescent="0.3"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"/>
    </row>
    <row r="481" spans="2:27" x14ac:dyDescent="0.3"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"/>
    </row>
    <row r="482" spans="2:27" x14ac:dyDescent="0.3"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"/>
    </row>
    <row r="483" spans="2:27" x14ac:dyDescent="0.3"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"/>
    </row>
    <row r="484" spans="2:27" x14ac:dyDescent="0.3"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"/>
    </row>
    <row r="485" spans="2:27" x14ac:dyDescent="0.3"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"/>
    </row>
    <row r="486" spans="2:27" x14ac:dyDescent="0.3"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"/>
    </row>
    <row r="487" spans="2:27" x14ac:dyDescent="0.3"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"/>
    </row>
    <row r="488" spans="2:27" x14ac:dyDescent="0.3"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"/>
    </row>
    <row r="489" spans="2:27" x14ac:dyDescent="0.3"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"/>
    </row>
    <row r="490" spans="2:27" x14ac:dyDescent="0.3"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"/>
    </row>
    <row r="491" spans="2:27" x14ac:dyDescent="0.3"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"/>
    </row>
    <row r="492" spans="2:27" x14ac:dyDescent="0.3"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"/>
    </row>
    <row r="493" spans="2:27" x14ac:dyDescent="0.3"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"/>
    </row>
    <row r="494" spans="2:27" x14ac:dyDescent="0.3"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"/>
    </row>
    <row r="495" spans="2:27" x14ac:dyDescent="0.3"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"/>
    </row>
    <row r="496" spans="2:27" x14ac:dyDescent="0.3"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"/>
    </row>
    <row r="497" spans="2:27" x14ac:dyDescent="0.3"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"/>
    </row>
    <row r="498" spans="2:27" x14ac:dyDescent="0.3"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"/>
    </row>
    <row r="499" spans="2:27" x14ac:dyDescent="0.3"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"/>
    </row>
    <row r="500" spans="2:27" x14ac:dyDescent="0.3"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"/>
    </row>
    <row r="501" spans="2:27" x14ac:dyDescent="0.3"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"/>
    </row>
    <row r="502" spans="2:27" x14ac:dyDescent="0.3"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"/>
    </row>
    <row r="503" spans="2:27" x14ac:dyDescent="0.3"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"/>
    </row>
    <row r="504" spans="2:27" x14ac:dyDescent="0.3"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"/>
    </row>
    <row r="505" spans="2:27" x14ac:dyDescent="0.3"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"/>
    </row>
    <row r="506" spans="2:27" x14ac:dyDescent="0.3"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"/>
    </row>
    <row r="507" spans="2:27" x14ac:dyDescent="0.3"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"/>
    </row>
    <row r="508" spans="2:27" x14ac:dyDescent="0.3"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"/>
    </row>
    <row r="509" spans="2:27" x14ac:dyDescent="0.3"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"/>
    </row>
    <row r="510" spans="2:27" x14ac:dyDescent="0.3"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"/>
    </row>
    <row r="511" spans="2:27" x14ac:dyDescent="0.3"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"/>
    </row>
    <row r="512" spans="2:27" x14ac:dyDescent="0.3"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"/>
    </row>
    <row r="513" spans="2:27" x14ac:dyDescent="0.3"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"/>
    </row>
    <row r="514" spans="2:27" x14ac:dyDescent="0.3"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"/>
    </row>
    <row r="515" spans="2:27" x14ac:dyDescent="0.3"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"/>
    </row>
    <row r="516" spans="2:27" x14ac:dyDescent="0.3"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"/>
    </row>
    <row r="517" spans="2:27" x14ac:dyDescent="0.3"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"/>
    </row>
    <row r="518" spans="2:27" x14ac:dyDescent="0.3"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"/>
    </row>
    <row r="519" spans="2:27" x14ac:dyDescent="0.3"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"/>
    </row>
    <row r="520" spans="2:27" x14ac:dyDescent="0.3"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"/>
    </row>
    <row r="521" spans="2:27" x14ac:dyDescent="0.3"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"/>
    </row>
    <row r="522" spans="2:27" x14ac:dyDescent="0.3"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"/>
    </row>
    <row r="523" spans="2:27" x14ac:dyDescent="0.3"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"/>
    </row>
    <row r="524" spans="2:27" x14ac:dyDescent="0.3"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"/>
    </row>
    <row r="525" spans="2:27" x14ac:dyDescent="0.3"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"/>
    </row>
    <row r="526" spans="2:27" x14ac:dyDescent="0.3"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"/>
    </row>
    <row r="527" spans="2:27" x14ac:dyDescent="0.3"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"/>
    </row>
    <row r="528" spans="2:27" x14ac:dyDescent="0.3"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"/>
    </row>
    <row r="529" spans="2:27" x14ac:dyDescent="0.3"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"/>
    </row>
    <row r="530" spans="2:27" x14ac:dyDescent="0.3"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"/>
    </row>
    <row r="531" spans="2:27" x14ac:dyDescent="0.3"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"/>
    </row>
    <row r="532" spans="2:27" x14ac:dyDescent="0.3"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"/>
    </row>
    <row r="533" spans="2:27" x14ac:dyDescent="0.3"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"/>
    </row>
    <row r="534" spans="2:27" x14ac:dyDescent="0.3"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"/>
    </row>
    <row r="535" spans="2:27" x14ac:dyDescent="0.3"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"/>
    </row>
    <row r="536" spans="2:27" x14ac:dyDescent="0.3"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"/>
    </row>
    <row r="537" spans="2:27" x14ac:dyDescent="0.3"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"/>
    </row>
    <row r="538" spans="2:27" x14ac:dyDescent="0.3"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"/>
    </row>
    <row r="539" spans="2:27" x14ac:dyDescent="0.3"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"/>
    </row>
    <row r="540" spans="2:27" x14ac:dyDescent="0.3"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"/>
    </row>
    <row r="541" spans="2:27" x14ac:dyDescent="0.3"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"/>
    </row>
    <row r="542" spans="2:27" x14ac:dyDescent="0.3"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"/>
    </row>
    <row r="543" spans="2:27" x14ac:dyDescent="0.3"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"/>
    </row>
    <row r="544" spans="2:27" x14ac:dyDescent="0.3"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"/>
    </row>
    <row r="545" spans="2:27" x14ac:dyDescent="0.3"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"/>
    </row>
    <row r="546" spans="2:27" x14ac:dyDescent="0.3"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"/>
    </row>
    <row r="547" spans="2:27" x14ac:dyDescent="0.3"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"/>
    </row>
    <row r="548" spans="2:27" x14ac:dyDescent="0.3"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"/>
    </row>
    <row r="549" spans="2:27" x14ac:dyDescent="0.3"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"/>
    </row>
    <row r="550" spans="2:27" x14ac:dyDescent="0.3"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"/>
    </row>
    <row r="551" spans="2:27" x14ac:dyDescent="0.3"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"/>
    </row>
    <row r="552" spans="2:27" x14ac:dyDescent="0.3"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"/>
    </row>
    <row r="553" spans="2:27" x14ac:dyDescent="0.3"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"/>
    </row>
    <row r="554" spans="2:27" x14ac:dyDescent="0.3"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"/>
    </row>
    <row r="555" spans="2:27" x14ac:dyDescent="0.3"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"/>
    </row>
    <row r="556" spans="2:27" x14ac:dyDescent="0.3"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"/>
    </row>
    <row r="557" spans="2:27" x14ac:dyDescent="0.3"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"/>
    </row>
    <row r="558" spans="2:27" x14ac:dyDescent="0.3"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"/>
    </row>
    <row r="559" spans="2:27" x14ac:dyDescent="0.3"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"/>
    </row>
    <row r="560" spans="2:27" x14ac:dyDescent="0.3"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"/>
    </row>
    <row r="561" spans="2:27" x14ac:dyDescent="0.3"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"/>
    </row>
    <row r="562" spans="2:27" x14ac:dyDescent="0.3"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"/>
    </row>
    <row r="563" spans="2:27" x14ac:dyDescent="0.3"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"/>
    </row>
    <row r="564" spans="2:27" x14ac:dyDescent="0.3"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"/>
    </row>
    <row r="565" spans="2:27" x14ac:dyDescent="0.3"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"/>
    </row>
    <row r="566" spans="2:27" x14ac:dyDescent="0.3"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"/>
    </row>
    <row r="567" spans="2:27" x14ac:dyDescent="0.3"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"/>
    </row>
    <row r="568" spans="2:27" x14ac:dyDescent="0.3"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"/>
    </row>
    <row r="569" spans="2:27" x14ac:dyDescent="0.3"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"/>
    </row>
    <row r="570" spans="2:27" x14ac:dyDescent="0.3"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"/>
    </row>
    <row r="571" spans="2:27" x14ac:dyDescent="0.3"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"/>
    </row>
    <row r="572" spans="2:27" x14ac:dyDescent="0.3"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"/>
    </row>
    <row r="672" spans="2:27" x14ac:dyDescent="0.3"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"/>
    </row>
    <row r="673" spans="2:27" x14ac:dyDescent="0.3"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"/>
    </row>
    <row r="674" spans="2:27" x14ac:dyDescent="0.3"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"/>
    </row>
    <row r="675" spans="2:27" x14ac:dyDescent="0.3"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"/>
    </row>
    <row r="676" spans="2:27" x14ac:dyDescent="0.3"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"/>
    </row>
    <row r="677" spans="2:27" x14ac:dyDescent="0.3"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"/>
    </row>
    <row r="678" spans="2:27" x14ac:dyDescent="0.3"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"/>
    </row>
    <row r="679" spans="2:27" x14ac:dyDescent="0.3"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"/>
    </row>
    <row r="680" spans="2:27" x14ac:dyDescent="0.3"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"/>
    </row>
    <row r="681" spans="2:27" x14ac:dyDescent="0.3"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"/>
    </row>
    <row r="682" spans="2:27" x14ac:dyDescent="0.3"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"/>
    </row>
    <row r="683" spans="2:27" x14ac:dyDescent="0.3"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"/>
    </row>
    <row r="684" spans="2:27" x14ac:dyDescent="0.3"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"/>
    </row>
    <row r="685" spans="2:27" x14ac:dyDescent="0.3"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"/>
    </row>
    <row r="686" spans="2:27" x14ac:dyDescent="0.3"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"/>
    </row>
    <row r="687" spans="2:27" x14ac:dyDescent="0.3"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"/>
    </row>
    <row r="688" spans="2:27" x14ac:dyDescent="0.3"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"/>
    </row>
    <row r="689" spans="2:27" x14ac:dyDescent="0.3"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"/>
    </row>
    <row r="690" spans="2:27" x14ac:dyDescent="0.3"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"/>
    </row>
    <row r="691" spans="2:27" x14ac:dyDescent="0.3"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"/>
    </row>
    <row r="692" spans="2:27" x14ac:dyDescent="0.3"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"/>
    </row>
    <row r="693" spans="2:27" x14ac:dyDescent="0.3"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"/>
    </row>
    <row r="694" spans="2:27" x14ac:dyDescent="0.3"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"/>
    </row>
    <row r="695" spans="2:27" x14ac:dyDescent="0.3"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"/>
    </row>
    <row r="696" spans="2:27" x14ac:dyDescent="0.3"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"/>
    </row>
    <row r="697" spans="2:27" x14ac:dyDescent="0.3"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"/>
    </row>
    <row r="698" spans="2:27" x14ac:dyDescent="0.3"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"/>
    </row>
    <row r="699" spans="2:27" x14ac:dyDescent="0.3"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"/>
    </row>
    <row r="700" spans="2:27" x14ac:dyDescent="0.3"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"/>
    </row>
    <row r="701" spans="2:27" x14ac:dyDescent="0.3"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"/>
    </row>
    <row r="702" spans="2:27" x14ac:dyDescent="0.3"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"/>
    </row>
    <row r="703" spans="2:27" x14ac:dyDescent="0.3"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"/>
    </row>
    <row r="704" spans="2:27" x14ac:dyDescent="0.3"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"/>
    </row>
    <row r="705" spans="2:27" x14ac:dyDescent="0.3"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"/>
    </row>
    <row r="706" spans="2:27" x14ac:dyDescent="0.3"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"/>
    </row>
    <row r="707" spans="2:27" x14ac:dyDescent="0.3"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"/>
    </row>
    <row r="708" spans="2:27" x14ac:dyDescent="0.3"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"/>
    </row>
    <row r="709" spans="2:27" x14ac:dyDescent="0.3"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"/>
    </row>
    <row r="710" spans="2:27" x14ac:dyDescent="0.3"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"/>
    </row>
    <row r="711" spans="2:27" x14ac:dyDescent="0.3"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"/>
    </row>
    <row r="712" spans="2:27" x14ac:dyDescent="0.3"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"/>
    </row>
    <row r="713" spans="2:27" x14ac:dyDescent="0.3"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"/>
    </row>
    <row r="714" spans="2:27" x14ac:dyDescent="0.3"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"/>
    </row>
    <row r="715" spans="2:27" x14ac:dyDescent="0.3"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"/>
    </row>
    <row r="716" spans="2:27" x14ac:dyDescent="0.3"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"/>
    </row>
    <row r="717" spans="2:27" x14ac:dyDescent="0.3"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"/>
    </row>
    <row r="718" spans="2:27" x14ac:dyDescent="0.3"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"/>
    </row>
    <row r="719" spans="2:27" x14ac:dyDescent="0.3"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"/>
    </row>
    <row r="720" spans="2:27" x14ac:dyDescent="0.3"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"/>
    </row>
    <row r="721" spans="2:27" x14ac:dyDescent="0.3"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"/>
    </row>
    <row r="722" spans="2:27" x14ac:dyDescent="0.3"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"/>
    </row>
    <row r="723" spans="2:27" x14ac:dyDescent="0.3"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"/>
    </row>
    <row r="724" spans="2:27" x14ac:dyDescent="0.3"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"/>
    </row>
    <row r="725" spans="2:27" x14ac:dyDescent="0.3"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"/>
    </row>
    <row r="726" spans="2:27" x14ac:dyDescent="0.3"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"/>
    </row>
    <row r="727" spans="2:27" x14ac:dyDescent="0.3"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"/>
    </row>
    <row r="728" spans="2:27" x14ac:dyDescent="0.3"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"/>
    </row>
    <row r="729" spans="2:27" x14ac:dyDescent="0.3"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"/>
    </row>
    <row r="730" spans="2:27" x14ac:dyDescent="0.3"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"/>
    </row>
    <row r="731" spans="2:27" x14ac:dyDescent="0.3"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"/>
    </row>
    <row r="732" spans="2:27" x14ac:dyDescent="0.3"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"/>
    </row>
    <row r="733" spans="2:27" x14ac:dyDescent="0.3"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"/>
    </row>
    <row r="734" spans="2:27" x14ac:dyDescent="0.3"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"/>
    </row>
    <row r="735" spans="2:27" x14ac:dyDescent="0.3"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"/>
    </row>
    <row r="736" spans="2:27" x14ac:dyDescent="0.3"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"/>
    </row>
    <row r="737" spans="2:27" x14ac:dyDescent="0.3"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"/>
    </row>
    <row r="738" spans="2:27" x14ac:dyDescent="0.3"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"/>
    </row>
    <row r="739" spans="2:27" x14ac:dyDescent="0.3"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"/>
    </row>
    <row r="740" spans="2:27" x14ac:dyDescent="0.3"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"/>
    </row>
    <row r="741" spans="2:27" x14ac:dyDescent="0.3"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"/>
    </row>
    <row r="742" spans="2:27" x14ac:dyDescent="0.3">
      <c r="AA742" s="4"/>
    </row>
    <row r="743" spans="2:27" x14ac:dyDescent="0.3">
      <c r="AA743" s="4"/>
    </row>
    <row r="744" spans="2:27" x14ac:dyDescent="0.3">
      <c r="AA744" s="4"/>
    </row>
    <row r="745" spans="2:27" x14ac:dyDescent="0.3">
      <c r="AA745" s="4"/>
    </row>
    <row r="746" spans="2:27" x14ac:dyDescent="0.3">
      <c r="AA746" s="4"/>
    </row>
    <row r="747" spans="2:27" x14ac:dyDescent="0.3">
      <c r="AA747" s="4"/>
    </row>
    <row r="748" spans="2:27" x14ac:dyDescent="0.3">
      <c r="AA748" s="4"/>
    </row>
    <row r="749" spans="2:27" x14ac:dyDescent="0.3">
      <c r="AA749" s="4"/>
    </row>
    <row r="750" spans="2:27" x14ac:dyDescent="0.3">
      <c r="AA750" s="4"/>
    </row>
    <row r="751" spans="2:27" x14ac:dyDescent="0.3">
      <c r="AA751" s="4"/>
    </row>
    <row r="752" spans="2:27" x14ac:dyDescent="0.3">
      <c r="AA752" s="4"/>
    </row>
    <row r="753" spans="27:27" x14ac:dyDescent="0.3">
      <c r="AA753" s="4"/>
    </row>
    <row r="754" spans="27:27" x14ac:dyDescent="0.3">
      <c r="AA754" s="4"/>
    </row>
    <row r="755" spans="27:27" x14ac:dyDescent="0.3">
      <c r="AA755" s="4"/>
    </row>
    <row r="756" spans="27:27" x14ac:dyDescent="0.3">
      <c r="AA756" s="4"/>
    </row>
    <row r="757" spans="27:27" x14ac:dyDescent="0.3">
      <c r="AA757" s="4"/>
    </row>
    <row r="758" spans="27:27" x14ac:dyDescent="0.3">
      <c r="AA758" s="4"/>
    </row>
    <row r="759" spans="27:27" x14ac:dyDescent="0.3">
      <c r="AA759" s="4"/>
    </row>
    <row r="760" spans="27:27" x14ac:dyDescent="0.3">
      <c r="AA760" s="4"/>
    </row>
    <row r="761" spans="27:27" x14ac:dyDescent="0.3">
      <c r="AA761" s="4"/>
    </row>
    <row r="762" spans="27:27" x14ac:dyDescent="0.3">
      <c r="AA762" s="4"/>
    </row>
    <row r="763" spans="27:27" x14ac:dyDescent="0.3">
      <c r="AA763" s="4"/>
    </row>
    <row r="764" spans="27:27" x14ac:dyDescent="0.3">
      <c r="AA764" s="4"/>
    </row>
    <row r="765" spans="27:27" x14ac:dyDescent="0.3">
      <c r="AA765" s="4"/>
    </row>
    <row r="766" spans="27:27" x14ac:dyDescent="0.3">
      <c r="AA766" s="4"/>
    </row>
    <row r="767" spans="27:27" x14ac:dyDescent="0.3">
      <c r="AA767" s="4"/>
    </row>
    <row r="768" spans="27:27" x14ac:dyDescent="0.3">
      <c r="AA768" s="4"/>
    </row>
    <row r="769" spans="27:27" x14ac:dyDescent="0.3">
      <c r="AA769" s="4"/>
    </row>
    <row r="770" spans="27:27" x14ac:dyDescent="0.3">
      <c r="AA770" s="4"/>
    </row>
    <row r="771" spans="27:27" x14ac:dyDescent="0.3">
      <c r="AA771" s="4"/>
    </row>
    <row r="772" spans="27:27" x14ac:dyDescent="0.3">
      <c r="AA772" s="4"/>
    </row>
    <row r="773" spans="27:27" x14ac:dyDescent="0.3">
      <c r="AA773" s="4"/>
    </row>
    <row r="774" spans="27:27" x14ac:dyDescent="0.3">
      <c r="AA774" s="4"/>
    </row>
    <row r="775" spans="27:27" x14ac:dyDescent="0.3">
      <c r="AA775" s="4"/>
    </row>
    <row r="776" spans="27:27" x14ac:dyDescent="0.3">
      <c r="AA776" s="4"/>
    </row>
    <row r="777" spans="27:27" x14ac:dyDescent="0.3">
      <c r="AA777" s="4"/>
    </row>
    <row r="778" spans="27:27" x14ac:dyDescent="0.3">
      <c r="AA778" s="4"/>
    </row>
    <row r="779" spans="27:27" x14ac:dyDescent="0.3">
      <c r="AA779" s="4"/>
    </row>
    <row r="780" spans="27:27" x14ac:dyDescent="0.3">
      <c r="AA780" s="4"/>
    </row>
    <row r="781" spans="27:27" x14ac:dyDescent="0.3">
      <c r="AA781" s="4"/>
    </row>
    <row r="782" spans="27:27" x14ac:dyDescent="0.3">
      <c r="AA782" s="4"/>
    </row>
    <row r="783" spans="27:27" x14ac:dyDescent="0.3">
      <c r="AA783" s="4"/>
    </row>
    <row r="784" spans="27:27" x14ac:dyDescent="0.3">
      <c r="AA784" s="4"/>
    </row>
    <row r="785" spans="27:27" x14ac:dyDescent="0.3">
      <c r="AA785" s="4"/>
    </row>
    <row r="786" spans="27:27" x14ac:dyDescent="0.3">
      <c r="AA786" s="4"/>
    </row>
    <row r="787" spans="27:27" x14ac:dyDescent="0.3">
      <c r="AA787" s="4"/>
    </row>
    <row r="788" spans="27:27" x14ac:dyDescent="0.3">
      <c r="AA788" s="4"/>
    </row>
    <row r="789" spans="27:27" x14ac:dyDescent="0.3">
      <c r="AA789" s="4"/>
    </row>
    <row r="790" spans="27:27" x14ac:dyDescent="0.3">
      <c r="AA790" s="4"/>
    </row>
    <row r="791" spans="27:27" x14ac:dyDescent="0.3">
      <c r="AA791" s="4"/>
    </row>
    <row r="792" spans="27:27" x14ac:dyDescent="0.3">
      <c r="AA792" s="4"/>
    </row>
    <row r="793" spans="27:27" x14ac:dyDescent="0.3">
      <c r="AA793" s="4"/>
    </row>
    <row r="794" spans="27:27" x14ac:dyDescent="0.3">
      <c r="AA794" s="4"/>
    </row>
    <row r="795" spans="27:27" x14ac:dyDescent="0.3">
      <c r="AA795" s="4"/>
    </row>
    <row r="796" spans="27:27" x14ac:dyDescent="0.3">
      <c r="AA796" s="4"/>
    </row>
    <row r="797" spans="27:27" x14ac:dyDescent="0.3">
      <c r="AA797" s="4"/>
    </row>
    <row r="798" spans="27:27" x14ac:dyDescent="0.3">
      <c r="AA798" s="4"/>
    </row>
    <row r="799" spans="27:27" x14ac:dyDescent="0.3">
      <c r="AA799" s="4"/>
    </row>
    <row r="800" spans="27:27" x14ac:dyDescent="0.3">
      <c r="AA800" s="4"/>
    </row>
    <row r="801" spans="27:27" x14ac:dyDescent="0.3">
      <c r="AA801" s="4"/>
    </row>
    <row r="802" spans="27:27" x14ac:dyDescent="0.3">
      <c r="AA802" s="4"/>
    </row>
    <row r="803" spans="27:27" x14ac:dyDescent="0.3">
      <c r="AA803" s="4"/>
    </row>
    <row r="804" spans="27:27" x14ac:dyDescent="0.3">
      <c r="AA804" s="4"/>
    </row>
    <row r="805" spans="27:27" x14ac:dyDescent="0.3">
      <c r="AA805" s="4"/>
    </row>
    <row r="806" spans="27:27" x14ac:dyDescent="0.3">
      <c r="AA806" s="4"/>
    </row>
    <row r="807" spans="27:27" x14ac:dyDescent="0.3">
      <c r="AA807" s="4"/>
    </row>
    <row r="808" spans="27:27" x14ac:dyDescent="0.3">
      <c r="AA808" s="4"/>
    </row>
    <row r="809" spans="27:27" x14ac:dyDescent="0.3">
      <c r="AA809" s="4"/>
    </row>
    <row r="810" spans="27:27" x14ac:dyDescent="0.3">
      <c r="AA810" s="4"/>
    </row>
    <row r="811" spans="27:27" x14ac:dyDescent="0.3">
      <c r="AA811" s="4"/>
    </row>
    <row r="812" spans="27:27" x14ac:dyDescent="0.3">
      <c r="AA812" s="4"/>
    </row>
    <row r="813" spans="27:27" x14ac:dyDescent="0.3">
      <c r="AA813" s="4"/>
    </row>
    <row r="814" spans="27:27" x14ac:dyDescent="0.3">
      <c r="AA814" s="4"/>
    </row>
    <row r="815" spans="27:27" x14ac:dyDescent="0.3">
      <c r="AA815" s="4"/>
    </row>
    <row r="816" spans="27:27" x14ac:dyDescent="0.3">
      <c r="AA816" s="4"/>
    </row>
    <row r="817" spans="27:27" x14ac:dyDescent="0.3">
      <c r="AA817" s="4"/>
    </row>
    <row r="818" spans="27:27" x14ac:dyDescent="0.3">
      <c r="AA818" s="4"/>
    </row>
    <row r="819" spans="27:27" x14ac:dyDescent="0.3">
      <c r="AA819" s="4"/>
    </row>
    <row r="820" spans="27:27" x14ac:dyDescent="0.3">
      <c r="AA820" s="4"/>
    </row>
    <row r="821" spans="27:27" x14ac:dyDescent="0.3">
      <c r="AA821" s="4"/>
    </row>
    <row r="822" spans="27:27" x14ac:dyDescent="0.3">
      <c r="AA822" s="4"/>
    </row>
    <row r="823" spans="27:27" x14ac:dyDescent="0.3">
      <c r="AA823" s="4"/>
    </row>
    <row r="824" spans="27:27" x14ac:dyDescent="0.3">
      <c r="AA824" s="4"/>
    </row>
    <row r="825" spans="27:27" x14ac:dyDescent="0.3">
      <c r="AA825" s="4"/>
    </row>
    <row r="826" spans="27:27" x14ac:dyDescent="0.3">
      <c r="AA826" s="4"/>
    </row>
    <row r="827" spans="27:27" x14ac:dyDescent="0.3">
      <c r="AA827" s="4"/>
    </row>
    <row r="828" spans="27:27" x14ac:dyDescent="0.3">
      <c r="AA828" s="4"/>
    </row>
    <row r="829" spans="27:27" x14ac:dyDescent="0.3">
      <c r="AA829" s="4"/>
    </row>
    <row r="830" spans="27:27" x14ac:dyDescent="0.3">
      <c r="AA830" s="4"/>
    </row>
    <row r="831" spans="27:27" x14ac:dyDescent="0.3">
      <c r="AA831" s="4"/>
    </row>
    <row r="832" spans="27:27" x14ac:dyDescent="0.3">
      <c r="AA832" s="4"/>
    </row>
    <row r="833" spans="27:27" x14ac:dyDescent="0.3">
      <c r="AA833" s="4"/>
    </row>
    <row r="834" spans="27:27" x14ac:dyDescent="0.3">
      <c r="AA834" s="4"/>
    </row>
    <row r="835" spans="27:27" x14ac:dyDescent="0.3">
      <c r="AA835" s="4"/>
    </row>
    <row r="836" spans="27:27" x14ac:dyDescent="0.3">
      <c r="AA836" s="4"/>
    </row>
    <row r="837" spans="27:27" x14ac:dyDescent="0.3">
      <c r="AA837" s="4"/>
    </row>
    <row r="838" spans="27:27" x14ac:dyDescent="0.3">
      <c r="AA838" s="4"/>
    </row>
    <row r="839" spans="27:27" x14ac:dyDescent="0.3">
      <c r="AA839" s="4"/>
    </row>
    <row r="840" spans="27:27" x14ac:dyDescent="0.3">
      <c r="AA840" s="4"/>
    </row>
    <row r="841" spans="27:27" x14ac:dyDescent="0.3">
      <c r="AA841" s="4"/>
    </row>
    <row r="842" spans="27:27" x14ac:dyDescent="0.3">
      <c r="AA842" s="4"/>
    </row>
    <row r="843" spans="27:27" x14ac:dyDescent="0.3">
      <c r="AA843" s="4"/>
    </row>
    <row r="844" spans="27:27" x14ac:dyDescent="0.3">
      <c r="AA844" s="4"/>
    </row>
    <row r="845" spans="27:27" x14ac:dyDescent="0.3">
      <c r="AA845" s="4"/>
    </row>
    <row r="846" spans="27:27" x14ac:dyDescent="0.3">
      <c r="AA846" s="4"/>
    </row>
    <row r="847" spans="27:27" x14ac:dyDescent="0.3">
      <c r="AA847" s="4"/>
    </row>
    <row r="848" spans="27:27" x14ac:dyDescent="0.3">
      <c r="AA848" s="4"/>
    </row>
    <row r="849" spans="27:27" x14ac:dyDescent="0.3">
      <c r="AA849" s="4"/>
    </row>
    <row r="850" spans="27:27" x14ac:dyDescent="0.3">
      <c r="AA850" s="4"/>
    </row>
    <row r="851" spans="27:27" x14ac:dyDescent="0.3">
      <c r="AA851" s="4"/>
    </row>
    <row r="852" spans="27:27" x14ac:dyDescent="0.3">
      <c r="AA852" s="4"/>
    </row>
    <row r="853" spans="27:27" x14ac:dyDescent="0.3">
      <c r="AA853" s="4"/>
    </row>
    <row r="854" spans="27:27" x14ac:dyDescent="0.3">
      <c r="AA854" s="4"/>
    </row>
    <row r="855" spans="27:27" x14ac:dyDescent="0.3">
      <c r="AA855" s="4"/>
    </row>
    <row r="856" spans="27:27" x14ac:dyDescent="0.3">
      <c r="AA856" s="4"/>
    </row>
    <row r="857" spans="27:27" x14ac:dyDescent="0.3">
      <c r="AA857" s="4"/>
    </row>
    <row r="858" spans="27:27" x14ac:dyDescent="0.3">
      <c r="AA858" s="4"/>
    </row>
    <row r="859" spans="27:27" x14ac:dyDescent="0.3">
      <c r="AA859" s="4"/>
    </row>
    <row r="860" spans="27:27" x14ac:dyDescent="0.3">
      <c r="AA860" s="4"/>
    </row>
    <row r="861" spans="27:27" x14ac:dyDescent="0.3">
      <c r="AA861" s="4"/>
    </row>
    <row r="862" spans="27:27" x14ac:dyDescent="0.3">
      <c r="AA862" s="4"/>
    </row>
    <row r="863" spans="27:27" x14ac:dyDescent="0.3">
      <c r="AA863" s="4"/>
    </row>
    <row r="864" spans="27:27" x14ac:dyDescent="0.3">
      <c r="AA864" s="4"/>
    </row>
    <row r="865" spans="27:27" x14ac:dyDescent="0.3">
      <c r="AA865" s="4"/>
    </row>
    <row r="866" spans="27:27" x14ac:dyDescent="0.3">
      <c r="AA866" s="4"/>
    </row>
    <row r="867" spans="27:27" x14ac:dyDescent="0.3">
      <c r="AA867" s="4"/>
    </row>
    <row r="868" spans="27:27" x14ac:dyDescent="0.3">
      <c r="AA868" s="4"/>
    </row>
    <row r="869" spans="27:27" x14ac:dyDescent="0.3">
      <c r="AA869" s="4"/>
    </row>
    <row r="870" spans="27:27" x14ac:dyDescent="0.3">
      <c r="AA870" s="4"/>
    </row>
    <row r="871" spans="27:27" x14ac:dyDescent="0.3">
      <c r="AA871" s="4"/>
    </row>
    <row r="872" spans="27:27" x14ac:dyDescent="0.3">
      <c r="AA872" s="4"/>
    </row>
    <row r="873" spans="27:27" x14ac:dyDescent="0.3">
      <c r="AA873" s="4"/>
    </row>
    <row r="874" spans="27:27" x14ac:dyDescent="0.3">
      <c r="AA874" s="4"/>
    </row>
    <row r="875" spans="27:27" x14ac:dyDescent="0.3">
      <c r="AA875" s="4"/>
    </row>
    <row r="876" spans="27:27" x14ac:dyDescent="0.3">
      <c r="AA876" s="4"/>
    </row>
    <row r="877" spans="27:27" x14ac:dyDescent="0.3">
      <c r="AA877" s="4"/>
    </row>
    <row r="878" spans="27:27" x14ac:dyDescent="0.3">
      <c r="AA878" s="4"/>
    </row>
    <row r="879" spans="27:27" x14ac:dyDescent="0.3">
      <c r="AA879" s="4"/>
    </row>
    <row r="880" spans="27:27" x14ac:dyDescent="0.3">
      <c r="AA880" s="4"/>
    </row>
    <row r="881" spans="27:27" x14ac:dyDescent="0.3">
      <c r="AA881" s="4"/>
    </row>
    <row r="882" spans="27:27" x14ac:dyDescent="0.3">
      <c r="AA882" s="4"/>
    </row>
    <row r="883" spans="27:27" x14ac:dyDescent="0.3">
      <c r="AA883" s="4"/>
    </row>
    <row r="884" spans="27:27" x14ac:dyDescent="0.3">
      <c r="AA884" s="4"/>
    </row>
    <row r="885" spans="27:27" x14ac:dyDescent="0.3">
      <c r="AA885" s="4"/>
    </row>
    <row r="886" spans="27:27" x14ac:dyDescent="0.3">
      <c r="AA886" s="4"/>
    </row>
    <row r="887" spans="27:27" x14ac:dyDescent="0.3">
      <c r="AA887" s="4"/>
    </row>
    <row r="888" spans="27:27" x14ac:dyDescent="0.3">
      <c r="AA888" s="4"/>
    </row>
    <row r="889" spans="27:27" x14ac:dyDescent="0.3">
      <c r="AA889" s="4"/>
    </row>
    <row r="890" spans="27:27" x14ac:dyDescent="0.3">
      <c r="AA890" s="4"/>
    </row>
    <row r="891" spans="27:27" x14ac:dyDescent="0.3">
      <c r="AA891" s="4"/>
    </row>
    <row r="892" spans="27:27" x14ac:dyDescent="0.3">
      <c r="AA892" s="4"/>
    </row>
    <row r="893" spans="27:27" x14ac:dyDescent="0.3">
      <c r="AA893" s="4"/>
    </row>
    <row r="894" spans="27:27" x14ac:dyDescent="0.3">
      <c r="AA894" s="4"/>
    </row>
    <row r="895" spans="27:27" x14ac:dyDescent="0.3">
      <c r="AA895" s="4"/>
    </row>
    <row r="896" spans="27:27" x14ac:dyDescent="0.3">
      <c r="AA896" s="4"/>
    </row>
    <row r="897" spans="27:27" x14ac:dyDescent="0.3">
      <c r="AA897" s="4"/>
    </row>
    <row r="898" spans="27:27" x14ac:dyDescent="0.3">
      <c r="AA898" s="4"/>
    </row>
    <row r="899" spans="27:27" x14ac:dyDescent="0.3">
      <c r="AA899" s="4"/>
    </row>
    <row r="900" spans="27:27" x14ac:dyDescent="0.3">
      <c r="AA900" s="4"/>
    </row>
    <row r="901" spans="27:27" x14ac:dyDescent="0.3">
      <c r="AA901" s="4"/>
    </row>
    <row r="902" spans="27:27" x14ac:dyDescent="0.3">
      <c r="AA902" s="4"/>
    </row>
    <row r="903" spans="27:27" x14ac:dyDescent="0.3">
      <c r="AA903" s="4"/>
    </row>
    <row r="904" spans="27:27" x14ac:dyDescent="0.3">
      <c r="AA904" s="4"/>
    </row>
    <row r="905" spans="27:27" x14ac:dyDescent="0.3">
      <c r="AA905" s="4"/>
    </row>
    <row r="906" spans="27:27" x14ac:dyDescent="0.3">
      <c r="AA906" s="4"/>
    </row>
    <row r="907" spans="27:27" x14ac:dyDescent="0.3">
      <c r="AA907" s="4"/>
    </row>
    <row r="908" spans="27:27" x14ac:dyDescent="0.3">
      <c r="AA908" s="4"/>
    </row>
    <row r="909" spans="27:27" x14ac:dyDescent="0.3">
      <c r="AA909" s="4"/>
    </row>
    <row r="910" spans="27:27" x14ac:dyDescent="0.3">
      <c r="AA910" s="4"/>
    </row>
    <row r="911" spans="27:27" x14ac:dyDescent="0.3">
      <c r="AA911" s="4"/>
    </row>
    <row r="912" spans="27:27" x14ac:dyDescent="0.3">
      <c r="AA912" s="4"/>
    </row>
    <row r="913" spans="27:27" x14ac:dyDescent="0.3">
      <c r="AA913" s="4"/>
    </row>
    <row r="914" spans="27:27" x14ac:dyDescent="0.3">
      <c r="AA914" s="4"/>
    </row>
    <row r="915" spans="27:27" x14ac:dyDescent="0.3">
      <c r="AA915" s="4"/>
    </row>
    <row r="916" spans="27:27" x14ac:dyDescent="0.3">
      <c r="AA916" s="4"/>
    </row>
    <row r="917" spans="27:27" x14ac:dyDescent="0.3">
      <c r="AA917" s="4"/>
    </row>
    <row r="918" spans="27:27" x14ac:dyDescent="0.3">
      <c r="AA918" s="4"/>
    </row>
    <row r="919" spans="27:27" x14ac:dyDescent="0.3">
      <c r="AA919" s="4"/>
    </row>
    <row r="920" spans="27:27" x14ac:dyDescent="0.3">
      <c r="AA920" s="4"/>
    </row>
    <row r="921" spans="27:27" x14ac:dyDescent="0.3">
      <c r="AA921" s="4"/>
    </row>
    <row r="922" spans="27:27" x14ac:dyDescent="0.3">
      <c r="AA922" s="4"/>
    </row>
    <row r="923" spans="27:27" x14ac:dyDescent="0.3">
      <c r="AA923" s="4"/>
    </row>
    <row r="924" spans="27:27" x14ac:dyDescent="0.3">
      <c r="AA924" s="4"/>
    </row>
    <row r="925" spans="27:27" x14ac:dyDescent="0.3">
      <c r="AA925" s="4"/>
    </row>
    <row r="926" spans="27:27" x14ac:dyDescent="0.3">
      <c r="AA926" s="4"/>
    </row>
    <row r="927" spans="27:27" x14ac:dyDescent="0.3">
      <c r="AA927" s="4"/>
    </row>
    <row r="928" spans="27:27" x14ac:dyDescent="0.3">
      <c r="AA928" s="4"/>
    </row>
    <row r="929" spans="27:27" x14ac:dyDescent="0.3">
      <c r="AA929" s="4"/>
    </row>
    <row r="930" spans="27:27" x14ac:dyDescent="0.3">
      <c r="AA930" s="4"/>
    </row>
    <row r="931" spans="27:27" x14ac:dyDescent="0.3">
      <c r="AA931" s="4"/>
    </row>
    <row r="932" spans="27:27" x14ac:dyDescent="0.3">
      <c r="AA932" s="4"/>
    </row>
    <row r="933" spans="27:27" x14ac:dyDescent="0.3">
      <c r="AA933" s="4"/>
    </row>
    <row r="934" spans="27:27" x14ac:dyDescent="0.3">
      <c r="AA934" s="4"/>
    </row>
    <row r="935" spans="27:27" x14ac:dyDescent="0.3">
      <c r="AA935" s="4"/>
    </row>
    <row r="936" spans="27:27" x14ac:dyDescent="0.3">
      <c r="AA936" s="4"/>
    </row>
    <row r="937" spans="27:27" x14ac:dyDescent="0.3">
      <c r="AA937" s="4"/>
    </row>
    <row r="938" spans="27:27" x14ac:dyDescent="0.3">
      <c r="AA938" s="4"/>
    </row>
    <row r="939" spans="27:27" x14ac:dyDescent="0.3">
      <c r="AA939" s="4"/>
    </row>
    <row r="940" spans="27:27" x14ac:dyDescent="0.3">
      <c r="AA940" s="4"/>
    </row>
    <row r="941" spans="27:27" x14ac:dyDescent="0.3">
      <c r="AA941" s="4"/>
    </row>
    <row r="942" spans="27:27" x14ac:dyDescent="0.3">
      <c r="AA942" s="4"/>
    </row>
    <row r="943" spans="27:27" x14ac:dyDescent="0.3">
      <c r="AA943" s="4"/>
    </row>
    <row r="944" spans="27:27" x14ac:dyDescent="0.3">
      <c r="AA944" s="4"/>
    </row>
    <row r="945" spans="27:27" x14ac:dyDescent="0.3">
      <c r="AA945" s="4"/>
    </row>
    <row r="946" spans="27:27" x14ac:dyDescent="0.3">
      <c r="AA946" s="4"/>
    </row>
    <row r="947" spans="27:27" x14ac:dyDescent="0.3">
      <c r="AA947" s="4"/>
    </row>
    <row r="948" spans="27:27" x14ac:dyDescent="0.3">
      <c r="AA948" s="4"/>
    </row>
    <row r="949" spans="27:27" x14ac:dyDescent="0.3">
      <c r="AA949" s="4"/>
    </row>
    <row r="950" spans="27:27" x14ac:dyDescent="0.3">
      <c r="AA950" s="4"/>
    </row>
    <row r="951" spans="27:27" x14ac:dyDescent="0.3">
      <c r="AA951" s="4"/>
    </row>
    <row r="952" spans="27:27" x14ac:dyDescent="0.3">
      <c r="AA952" s="4"/>
    </row>
    <row r="953" spans="27:27" x14ac:dyDescent="0.3">
      <c r="AA953" s="4"/>
    </row>
    <row r="954" spans="27:27" x14ac:dyDescent="0.3">
      <c r="AA954" s="4"/>
    </row>
    <row r="955" spans="27:27" x14ac:dyDescent="0.3">
      <c r="AA955" s="4"/>
    </row>
    <row r="956" spans="27:27" x14ac:dyDescent="0.3">
      <c r="AA956" s="4"/>
    </row>
    <row r="957" spans="27:27" x14ac:dyDescent="0.3">
      <c r="AA957" s="4"/>
    </row>
    <row r="958" spans="27:27" x14ac:dyDescent="0.3">
      <c r="AA958" s="4"/>
    </row>
    <row r="959" spans="27:27" x14ac:dyDescent="0.3">
      <c r="AA959" s="4"/>
    </row>
    <row r="960" spans="27:27" x14ac:dyDescent="0.3">
      <c r="AA960" s="4"/>
    </row>
    <row r="961" spans="27:27" x14ac:dyDescent="0.3">
      <c r="AA961" s="4"/>
    </row>
    <row r="962" spans="27:27" x14ac:dyDescent="0.3">
      <c r="AA962" s="4"/>
    </row>
    <row r="963" spans="27:27" x14ac:dyDescent="0.3">
      <c r="AA963" s="4"/>
    </row>
    <row r="964" spans="27:27" x14ac:dyDescent="0.3">
      <c r="AA964" s="4"/>
    </row>
    <row r="965" spans="27:27" x14ac:dyDescent="0.3">
      <c r="AA965" s="4"/>
    </row>
    <row r="966" spans="27:27" x14ac:dyDescent="0.3">
      <c r="AA966" s="4"/>
    </row>
    <row r="967" spans="27:27" x14ac:dyDescent="0.3">
      <c r="AA967" s="4"/>
    </row>
    <row r="968" spans="27:27" x14ac:dyDescent="0.3">
      <c r="AA968" s="4"/>
    </row>
    <row r="969" spans="27:27" x14ac:dyDescent="0.3">
      <c r="AA969" s="4"/>
    </row>
    <row r="970" spans="27:27" x14ac:dyDescent="0.3">
      <c r="AA970" s="4"/>
    </row>
    <row r="971" spans="27:27" x14ac:dyDescent="0.3">
      <c r="AA971" s="4"/>
    </row>
    <row r="972" spans="27:27" x14ac:dyDescent="0.3">
      <c r="AA972" s="4"/>
    </row>
    <row r="973" spans="27:27" x14ac:dyDescent="0.3">
      <c r="AA973" s="4"/>
    </row>
    <row r="974" spans="27:27" x14ac:dyDescent="0.3">
      <c r="AA974" s="4"/>
    </row>
    <row r="975" spans="27:27" x14ac:dyDescent="0.3">
      <c r="AA975" s="4"/>
    </row>
    <row r="976" spans="27:27" x14ac:dyDescent="0.3">
      <c r="AA976" s="4"/>
    </row>
    <row r="977" spans="27:27" x14ac:dyDescent="0.3">
      <c r="AA977" s="4"/>
    </row>
    <row r="978" spans="27:27" x14ac:dyDescent="0.3">
      <c r="AA978" s="4"/>
    </row>
    <row r="979" spans="27:27" x14ac:dyDescent="0.3">
      <c r="AA979" s="4"/>
    </row>
    <row r="980" spans="27:27" x14ac:dyDescent="0.3">
      <c r="AA980" s="4"/>
    </row>
    <row r="981" spans="27:27" x14ac:dyDescent="0.3">
      <c r="AA981" s="4"/>
    </row>
    <row r="982" spans="27:27" x14ac:dyDescent="0.3">
      <c r="AA982" s="4"/>
    </row>
    <row r="983" spans="27:27" x14ac:dyDescent="0.3">
      <c r="AA983" s="4"/>
    </row>
    <row r="984" spans="27:27" x14ac:dyDescent="0.3">
      <c r="AA984" s="4"/>
    </row>
    <row r="985" spans="27:27" x14ac:dyDescent="0.3">
      <c r="AA985" s="4"/>
    </row>
    <row r="986" spans="27:27" x14ac:dyDescent="0.3">
      <c r="AA986" s="4"/>
    </row>
    <row r="987" spans="27:27" x14ac:dyDescent="0.3">
      <c r="AA987" s="4"/>
    </row>
    <row r="988" spans="27:27" x14ac:dyDescent="0.3">
      <c r="AA988" s="4"/>
    </row>
    <row r="989" spans="27:27" x14ac:dyDescent="0.3">
      <c r="AA989" s="4"/>
    </row>
    <row r="990" spans="27:27" x14ac:dyDescent="0.3">
      <c r="AA990" s="4"/>
    </row>
    <row r="991" spans="27:27" x14ac:dyDescent="0.3">
      <c r="AA991" s="4"/>
    </row>
    <row r="992" spans="27:27" x14ac:dyDescent="0.3">
      <c r="AA992" s="4"/>
    </row>
    <row r="993" spans="27:27" x14ac:dyDescent="0.3">
      <c r="AA993" s="4"/>
    </row>
    <row r="994" spans="27:27" x14ac:dyDescent="0.3">
      <c r="AA994" s="4"/>
    </row>
    <row r="995" spans="27:27" x14ac:dyDescent="0.3">
      <c r="AA995" s="4"/>
    </row>
    <row r="996" spans="27:27" x14ac:dyDescent="0.3">
      <c r="AA996" s="4"/>
    </row>
    <row r="997" spans="27:27" x14ac:dyDescent="0.3">
      <c r="AA997" s="4"/>
    </row>
    <row r="998" spans="27:27" x14ac:dyDescent="0.3">
      <c r="AA998" s="4"/>
    </row>
    <row r="999" spans="27:27" x14ac:dyDescent="0.3">
      <c r="AA999" s="4"/>
    </row>
    <row r="1000" spans="27:27" x14ac:dyDescent="0.3">
      <c r="AA1000" s="4"/>
    </row>
    <row r="1001" spans="27:27" x14ac:dyDescent="0.3">
      <c r="AA1001" s="4"/>
    </row>
    <row r="1002" spans="27:27" x14ac:dyDescent="0.3">
      <c r="AA1002" s="4"/>
    </row>
    <row r="1003" spans="27:27" x14ac:dyDescent="0.3">
      <c r="AA1003" s="4"/>
    </row>
    <row r="1004" spans="27:27" x14ac:dyDescent="0.3">
      <c r="AA1004" s="4"/>
    </row>
    <row r="1005" spans="27:27" x14ac:dyDescent="0.3">
      <c r="AA1005" s="4"/>
    </row>
    <row r="1006" spans="27:27" x14ac:dyDescent="0.3">
      <c r="AA1006" s="4"/>
    </row>
    <row r="1007" spans="27:27" x14ac:dyDescent="0.3">
      <c r="AA1007" s="4"/>
    </row>
    <row r="1008" spans="27:27" x14ac:dyDescent="0.3">
      <c r="AA1008" s="4"/>
    </row>
    <row r="1009" spans="27:27" x14ac:dyDescent="0.3">
      <c r="AA1009" s="4"/>
    </row>
    <row r="1010" spans="27:27" x14ac:dyDescent="0.3">
      <c r="AA1010" s="4"/>
    </row>
    <row r="1011" spans="27:27" x14ac:dyDescent="0.3">
      <c r="AA1011" s="4"/>
    </row>
  </sheetData>
  <mergeCells count="9">
    <mergeCell ref="C191:AA191"/>
    <mergeCell ref="B2:B67"/>
    <mergeCell ref="B70:B135"/>
    <mergeCell ref="B139:B204"/>
    <mergeCell ref="C2:AA2"/>
    <mergeCell ref="C54:AA54"/>
    <mergeCell ref="C70:AA70"/>
    <mergeCell ref="C122:AA122"/>
    <mergeCell ref="C139:AA139"/>
  </mergeCells>
  <pageMargins left="0.51181102362204722" right="0.51181102362204722" top="0.78740157480314965" bottom="0.78740157480314965" header="0.31496062992125984" footer="0.31496062992125984"/>
  <pageSetup paperSize="9" scale="23" orientation="landscape" horizontalDpi="4294967295" verticalDpi="4294967295" r:id="rId1"/>
  <colBreaks count="5" manualBreakCount="5">
    <brk id="28" max="47" man="1"/>
    <brk id="34" max="47" man="1"/>
    <brk id="51" max="47" man="1"/>
    <brk id="103" max="47" man="1"/>
    <brk id="144" max="47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  <pageSetUpPr fitToPage="1"/>
  </sheetPr>
  <dimension ref="B1:XCN1009"/>
  <sheetViews>
    <sheetView showGridLines="0" zoomScale="55" zoomScaleNormal="55" zoomScaleSheetLayoutView="85" workbookViewId="0">
      <selection activeCell="D173" sqref="D173"/>
    </sheetView>
  </sheetViews>
  <sheetFormatPr defaultRowHeight="16.5" outlineLevelRow="1" x14ac:dyDescent="0.3"/>
  <cols>
    <col min="1" max="1" width="9" style="1"/>
    <col min="2" max="2" width="10.5" style="1" customWidth="1"/>
    <col min="3" max="3" width="39.25" style="1" bestFit="1" customWidth="1"/>
    <col min="4" max="27" width="13.25" style="1" customWidth="1"/>
    <col min="28" max="28" width="6.625" style="1" customWidth="1"/>
    <col min="29" max="29" width="18.75" style="1" bestFit="1" customWidth="1"/>
    <col min="30" max="31" width="11.25" style="1" customWidth="1"/>
    <col min="32" max="32" width="25.375" style="1" bestFit="1" customWidth="1"/>
    <col min="33" max="35" width="9" style="1"/>
    <col min="36" max="36" width="43.25" style="1" bestFit="1" customWidth="1"/>
    <col min="37" max="37" width="13.5" style="1" customWidth="1"/>
    <col min="38" max="16384" width="9" style="1"/>
  </cols>
  <sheetData>
    <row r="1" spans="2:37 16314:16316" ht="21" customHeight="1" thickBot="1" x14ac:dyDescent="0.35">
      <c r="D1" s="2" t="str">
        <f>$D$2&amp;D3</f>
        <v>43101</v>
      </c>
      <c r="E1" s="2" t="str">
        <f t="shared" ref="E1:I1" si="0">$D$2&amp;E3</f>
        <v>43133</v>
      </c>
      <c r="F1" s="2" t="str">
        <f t="shared" si="0"/>
        <v>43165</v>
      </c>
      <c r="G1" s="2" t="str">
        <f t="shared" si="0"/>
        <v>43197</v>
      </c>
      <c r="H1" s="2" t="str">
        <f t="shared" si="0"/>
        <v>43229</v>
      </c>
      <c r="I1" s="2" t="str">
        <f t="shared" si="0"/>
        <v>43261</v>
      </c>
      <c r="AA1" s="3">
        <v>4</v>
      </c>
      <c r="AE1" s="4">
        <f>IF(SUM(D12:D13)&gt;D45,D45,IF(SUM(D12:D13)&lt;D46,D46,SUM(D12:D13)))</f>
        <v>94.919999999999987</v>
      </c>
      <c r="AF1" s="1" t="s">
        <v>2</v>
      </c>
    </row>
    <row r="2" spans="2:37 16314:16316" ht="62.25" customHeight="1" x14ac:dyDescent="0.3">
      <c r="B2" s="177" t="s">
        <v>130</v>
      </c>
      <c r="C2" s="170" t="s">
        <v>100</v>
      </c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1"/>
      <c r="AC2" s="5"/>
    </row>
    <row r="3" spans="2:37 16314:16316" ht="25.5" customHeight="1" x14ac:dyDescent="0.3">
      <c r="B3" s="178"/>
      <c r="C3" s="128" t="s">
        <v>3</v>
      </c>
      <c r="D3" s="7">
        <v>43101</v>
      </c>
      <c r="E3" s="7">
        <v>43133</v>
      </c>
      <c r="F3" s="7">
        <v>43165</v>
      </c>
      <c r="G3" s="7">
        <v>43197</v>
      </c>
      <c r="H3" s="7">
        <v>43229</v>
      </c>
      <c r="I3" s="7">
        <v>43261</v>
      </c>
      <c r="J3" s="7">
        <v>43293</v>
      </c>
      <c r="K3" s="7">
        <v>43325</v>
      </c>
      <c r="L3" s="7">
        <v>43357</v>
      </c>
      <c r="M3" s="7">
        <v>43389</v>
      </c>
      <c r="N3" s="7">
        <v>43421</v>
      </c>
      <c r="O3" s="7">
        <v>43453</v>
      </c>
      <c r="P3" s="7">
        <v>43485</v>
      </c>
      <c r="Q3" s="7">
        <v>43517</v>
      </c>
      <c r="R3" s="7">
        <v>43549</v>
      </c>
      <c r="S3" s="7">
        <v>43581</v>
      </c>
      <c r="T3" s="7">
        <v>43613</v>
      </c>
      <c r="U3" s="7">
        <v>43645</v>
      </c>
      <c r="V3" s="7">
        <v>43677</v>
      </c>
      <c r="W3" s="7">
        <v>43709</v>
      </c>
      <c r="X3" s="7">
        <v>43741</v>
      </c>
      <c r="Y3" s="7">
        <v>43773</v>
      </c>
      <c r="Z3" s="7">
        <v>43805</v>
      </c>
      <c r="AA3" s="7">
        <v>43806</v>
      </c>
      <c r="XCL3" s="4">
        <v>2</v>
      </c>
      <c r="XCM3" s="4">
        <v>672</v>
      </c>
      <c r="XCN3" s="4">
        <f t="shared" ref="XCN3:XCN16" si="1">XCM3/24</f>
        <v>28</v>
      </c>
    </row>
    <row r="4" spans="2:37 16314:16316" ht="25.5" customHeight="1" x14ac:dyDescent="0.3">
      <c r="B4" s="178"/>
      <c r="C4" s="128" t="s">
        <v>4</v>
      </c>
      <c r="D4" s="6">
        <v>744</v>
      </c>
      <c r="E4" s="6">
        <v>696</v>
      </c>
      <c r="F4" s="6">
        <v>744</v>
      </c>
      <c r="G4" s="6">
        <v>720</v>
      </c>
      <c r="H4" s="6">
        <v>744</v>
      </c>
      <c r="I4" s="6">
        <v>720</v>
      </c>
      <c r="J4" s="6">
        <v>744</v>
      </c>
      <c r="K4" s="6">
        <v>744</v>
      </c>
      <c r="L4" s="6">
        <v>720</v>
      </c>
      <c r="M4" s="6">
        <v>744</v>
      </c>
      <c r="N4" s="6">
        <v>720</v>
      </c>
      <c r="O4" s="6">
        <v>744</v>
      </c>
      <c r="P4" s="6">
        <v>744</v>
      </c>
      <c r="Q4" s="6">
        <v>672</v>
      </c>
      <c r="R4" s="6">
        <v>744</v>
      </c>
      <c r="S4" s="6">
        <v>720</v>
      </c>
      <c r="T4" s="6">
        <v>744</v>
      </c>
      <c r="U4" s="6">
        <v>720</v>
      </c>
      <c r="V4" s="6">
        <v>744</v>
      </c>
      <c r="W4" s="6">
        <v>744</v>
      </c>
      <c r="X4" s="6">
        <v>720</v>
      </c>
      <c r="Y4" s="6">
        <v>744</v>
      </c>
      <c r="Z4" s="6">
        <v>720</v>
      </c>
      <c r="AA4" s="6">
        <v>744</v>
      </c>
      <c r="XCL4" s="4"/>
      <c r="XCM4" s="4"/>
      <c r="XCN4" s="4"/>
    </row>
    <row r="5" spans="2:37 16314:16316" ht="9.75" customHeight="1" x14ac:dyDescent="0.3">
      <c r="B5" s="178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8"/>
      <c r="XCL5" s="4"/>
      <c r="XCM5" s="4"/>
      <c r="XCN5" s="4"/>
    </row>
    <row r="6" spans="2:37 16314:16316" x14ac:dyDescent="0.3">
      <c r="B6" s="178"/>
      <c r="C6" s="129" t="s">
        <v>5</v>
      </c>
      <c r="D6" s="9">
        <v>302.39999999999998</v>
      </c>
      <c r="E6" s="10">
        <v>159.6</v>
      </c>
      <c r="F6" s="10">
        <v>407.4</v>
      </c>
      <c r="G6" s="10">
        <v>445.2</v>
      </c>
      <c r="H6" s="10">
        <v>403.2</v>
      </c>
      <c r="I6" s="10">
        <v>336</v>
      </c>
      <c r="J6" s="9">
        <v>373.8</v>
      </c>
      <c r="K6" s="10">
        <v>453.6</v>
      </c>
      <c r="L6" s="10">
        <v>474.6</v>
      </c>
      <c r="M6" s="10">
        <v>436.8</v>
      </c>
      <c r="N6" s="10">
        <v>403.2</v>
      </c>
      <c r="O6" s="10">
        <v>403.2</v>
      </c>
      <c r="P6" s="10">
        <v>361.2</v>
      </c>
      <c r="Q6" s="10">
        <v>516.6</v>
      </c>
      <c r="R6" s="10">
        <v>449.4</v>
      </c>
      <c r="S6" s="10">
        <v>386.4</v>
      </c>
      <c r="T6" s="10">
        <v>445.2</v>
      </c>
      <c r="U6" s="10">
        <v>441</v>
      </c>
      <c r="V6" s="10">
        <v>407.4</v>
      </c>
      <c r="W6" s="10">
        <v>386.4</v>
      </c>
      <c r="X6" s="10">
        <v>327.60000000000002</v>
      </c>
      <c r="Y6" s="10">
        <v>373.8</v>
      </c>
      <c r="Z6" s="10">
        <v>420</v>
      </c>
      <c r="AA6" s="10">
        <v>449.4</v>
      </c>
      <c r="AB6" s="2"/>
      <c r="AC6" s="94" t="s">
        <v>92</v>
      </c>
      <c r="AD6" s="96" t="s">
        <v>96</v>
      </c>
      <c r="AE6" s="94" t="s">
        <v>97</v>
      </c>
      <c r="AF6" s="104" t="s">
        <v>108</v>
      </c>
      <c r="AJ6" s="94" t="s">
        <v>124</v>
      </c>
      <c r="AK6" s="135">
        <f>AC64</f>
        <v>3110206.1576470598</v>
      </c>
      <c r="XCL6" s="4">
        <v>3</v>
      </c>
      <c r="XCM6" s="4">
        <v>744</v>
      </c>
      <c r="XCN6" s="4">
        <f t="shared" si="1"/>
        <v>31</v>
      </c>
    </row>
    <row r="7" spans="2:37 16314:16316" x14ac:dyDescent="0.3">
      <c r="B7" s="178"/>
      <c r="C7" s="129" t="s">
        <v>41</v>
      </c>
      <c r="D7" s="11">
        <v>457.8</v>
      </c>
      <c r="E7" s="12">
        <v>336</v>
      </c>
      <c r="F7" s="12">
        <v>693</v>
      </c>
      <c r="G7" s="12">
        <v>659.4</v>
      </c>
      <c r="H7" s="12">
        <v>617.4</v>
      </c>
      <c r="I7" s="12">
        <v>512.4</v>
      </c>
      <c r="J7" s="11">
        <v>592.20000000000005</v>
      </c>
      <c r="K7" s="12">
        <v>680.4</v>
      </c>
      <c r="L7" s="12">
        <v>764.4</v>
      </c>
      <c r="M7" s="12">
        <v>701.4</v>
      </c>
      <c r="N7" s="12">
        <v>718.2</v>
      </c>
      <c r="O7" s="12">
        <v>701.4</v>
      </c>
      <c r="P7" s="12">
        <v>638.4</v>
      </c>
      <c r="Q7" s="12">
        <v>781.2</v>
      </c>
      <c r="R7" s="12">
        <v>722.4</v>
      </c>
      <c r="S7" s="12">
        <v>672</v>
      </c>
      <c r="T7" s="12">
        <v>768.6</v>
      </c>
      <c r="U7" s="12">
        <v>730.8</v>
      </c>
      <c r="V7" s="12">
        <v>709.8</v>
      </c>
      <c r="W7" s="12">
        <v>621.6</v>
      </c>
      <c r="X7" s="12">
        <v>583.79999999999995</v>
      </c>
      <c r="Y7" s="12">
        <v>756</v>
      </c>
      <c r="Z7" s="12">
        <v>760.2</v>
      </c>
      <c r="AA7" s="12">
        <v>693</v>
      </c>
      <c r="AB7" s="2"/>
      <c r="AC7" s="94" t="s">
        <v>93</v>
      </c>
      <c r="AD7" s="95">
        <v>0</v>
      </c>
      <c r="AE7" s="96">
        <v>175</v>
      </c>
      <c r="AF7" s="104">
        <v>13.43</v>
      </c>
      <c r="AK7" s="137"/>
      <c r="XCL7" s="4">
        <v>4</v>
      </c>
      <c r="XCM7" s="4">
        <v>720</v>
      </c>
      <c r="XCN7" s="4">
        <f t="shared" si="1"/>
        <v>30</v>
      </c>
    </row>
    <row r="8" spans="2:37 16314:16316" x14ac:dyDescent="0.3">
      <c r="B8" s="178"/>
      <c r="C8" s="129" t="s">
        <v>6</v>
      </c>
      <c r="D8" s="13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3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2"/>
      <c r="AC8" s="94" t="s">
        <v>94</v>
      </c>
      <c r="AD8" s="95">
        <v>0.5</v>
      </c>
      <c r="AE8" s="96">
        <v>220</v>
      </c>
      <c r="AF8" s="104">
        <v>41.69</v>
      </c>
      <c r="AJ8" s="94" t="s">
        <v>127</v>
      </c>
      <c r="AK8" s="135">
        <f>AC52</f>
        <v>2527045.7532312651</v>
      </c>
      <c r="XCL8" s="4">
        <v>5</v>
      </c>
      <c r="XCM8" s="4">
        <v>744</v>
      </c>
      <c r="XCN8" s="4">
        <f t="shared" si="1"/>
        <v>31</v>
      </c>
    </row>
    <row r="9" spans="2:37 16314:16316" x14ac:dyDescent="0.3">
      <c r="B9" s="178"/>
      <c r="C9" s="129" t="s">
        <v>7</v>
      </c>
      <c r="D9" s="11">
        <v>700</v>
      </c>
      <c r="E9" s="12">
        <v>700</v>
      </c>
      <c r="F9" s="12">
        <v>700</v>
      </c>
      <c r="G9" s="12">
        <v>700</v>
      </c>
      <c r="H9" s="12">
        <v>700</v>
      </c>
      <c r="I9" s="12">
        <v>700</v>
      </c>
      <c r="J9" s="11">
        <v>700</v>
      </c>
      <c r="K9" s="12">
        <v>700</v>
      </c>
      <c r="L9" s="12">
        <v>700</v>
      </c>
      <c r="M9" s="12">
        <v>700</v>
      </c>
      <c r="N9" s="12">
        <v>700</v>
      </c>
      <c r="O9" s="12">
        <v>700</v>
      </c>
      <c r="P9" s="12">
        <v>700</v>
      </c>
      <c r="Q9" s="12">
        <v>700</v>
      </c>
      <c r="R9" s="12">
        <v>700</v>
      </c>
      <c r="S9" s="12">
        <v>700</v>
      </c>
      <c r="T9" s="12">
        <v>700</v>
      </c>
      <c r="U9" s="12">
        <v>700</v>
      </c>
      <c r="V9" s="12">
        <v>700</v>
      </c>
      <c r="W9" s="12">
        <v>700</v>
      </c>
      <c r="X9" s="12">
        <v>700</v>
      </c>
      <c r="Y9" s="12">
        <v>700</v>
      </c>
      <c r="Z9" s="12">
        <v>700</v>
      </c>
      <c r="AA9" s="12">
        <v>700</v>
      </c>
      <c r="AB9" s="2"/>
      <c r="AC9" s="94" t="s">
        <v>95</v>
      </c>
      <c r="AD9" s="95">
        <v>1</v>
      </c>
      <c r="AE9" s="96">
        <v>310</v>
      </c>
      <c r="AF9" s="104">
        <v>62.43</v>
      </c>
      <c r="AJ9" s="94" t="s">
        <v>125</v>
      </c>
      <c r="AK9" s="136">
        <f>(AK6-AK8)/AK6</f>
        <v>0.18749895500720393</v>
      </c>
      <c r="XCL9" s="4">
        <v>6</v>
      </c>
      <c r="XCM9" s="4">
        <v>720</v>
      </c>
      <c r="XCN9" s="4">
        <f t="shared" si="1"/>
        <v>30</v>
      </c>
    </row>
    <row r="10" spans="2:37 16314:16316" x14ac:dyDescent="0.3">
      <c r="B10" s="178"/>
      <c r="C10" s="129" t="s">
        <v>8</v>
      </c>
      <c r="D10" s="16">
        <f t="shared" ref="D10:O10" si="2">IF(D19="Verde",0,IF(D6&gt;D8*1.05,D6-D8,0))</f>
        <v>0</v>
      </c>
      <c r="E10" s="16">
        <f t="shared" si="2"/>
        <v>0</v>
      </c>
      <c r="F10" s="16">
        <f t="shared" si="2"/>
        <v>0</v>
      </c>
      <c r="G10" s="16">
        <f t="shared" si="2"/>
        <v>0</v>
      </c>
      <c r="H10" s="16">
        <f t="shared" si="2"/>
        <v>0</v>
      </c>
      <c r="I10" s="16">
        <f t="shared" si="2"/>
        <v>0</v>
      </c>
      <c r="J10" s="16">
        <f t="shared" si="2"/>
        <v>0</v>
      </c>
      <c r="K10" s="16">
        <f t="shared" si="2"/>
        <v>0</v>
      </c>
      <c r="L10" s="16">
        <f t="shared" si="2"/>
        <v>0</v>
      </c>
      <c r="M10" s="16">
        <f t="shared" si="2"/>
        <v>0</v>
      </c>
      <c r="N10" s="16">
        <f t="shared" si="2"/>
        <v>0</v>
      </c>
      <c r="O10" s="16">
        <f t="shared" si="2"/>
        <v>0</v>
      </c>
      <c r="P10" s="16">
        <f t="shared" ref="P10:AA10" si="3">IF(P19="Verde",0,IF(P6&gt;P8*1.05,P6-P8,0))</f>
        <v>0</v>
      </c>
      <c r="Q10" s="16">
        <f t="shared" si="3"/>
        <v>0</v>
      </c>
      <c r="R10" s="16">
        <f t="shared" si="3"/>
        <v>0</v>
      </c>
      <c r="S10" s="16">
        <f t="shared" si="3"/>
        <v>0</v>
      </c>
      <c r="T10" s="16">
        <f t="shared" si="3"/>
        <v>0</v>
      </c>
      <c r="U10" s="16">
        <f t="shared" si="3"/>
        <v>0</v>
      </c>
      <c r="V10" s="16">
        <f t="shared" si="3"/>
        <v>0</v>
      </c>
      <c r="W10" s="16">
        <f t="shared" si="3"/>
        <v>0</v>
      </c>
      <c r="X10" s="16">
        <f t="shared" si="3"/>
        <v>0</v>
      </c>
      <c r="Y10" s="16">
        <f t="shared" si="3"/>
        <v>0</v>
      </c>
      <c r="Z10" s="16">
        <f t="shared" si="3"/>
        <v>0</v>
      </c>
      <c r="AA10" s="16">
        <f t="shared" si="3"/>
        <v>0</v>
      </c>
      <c r="AB10" s="2"/>
      <c r="XCL10" s="4">
        <v>7</v>
      </c>
      <c r="XCM10" s="4">
        <v>744</v>
      </c>
      <c r="XCN10" s="4">
        <f t="shared" si="1"/>
        <v>31</v>
      </c>
    </row>
    <row r="11" spans="2:37 16314:16316" x14ac:dyDescent="0.3">
      <c r="B11" s="178"/>
      <c r="C11" s="129" t="s">
        <v>9</v>
      </c>
      <c r="D11" s="18">
        <f t="shared" ref="D11:O11" si="4">IF(D7&gt;D9*1.05,D7-D9,0)</f>
        <v>0</v>
      </c>
      <c r="E11" s="18">
        <f t="shared" si="4"/>
        <v>0</v>
      </c>
      <c r="F11" s="18">
        <f t="shared" si="4"/>
        <v>0</v>
      </c>
      <c r="G11" s="18">
        <f t="shared" si="4"/>
        <v>0</v>
      </c>
      <c r="H11" s="18">
        <f t="shared" si="4"/>
        <v>0</v>
      </c>
      <c r="I11" s="18">
        <f t="shared" si="4"/>
        <v>0</v>
      </c>
      <c r="J11" s="18">
        <f t="shared" si="4"/>
        <v>0</v>
      </c>
      <c r="K11" s="18">
        <f t="shared" si="4"/>
        <v>0</v>
      </c>
      <c r="L11" s="18">
        <f t="shared" si="4"/>
        <v>64.399999999999977</v>
      </c>
      <c r="M11" s="18">
        <f t="shared" si="4"/>
        <v>0</v>
      </c>
      <c r="N11" s="18">
        <f t="shared" si="4"/>
        <v>0</v>
      </c>
      <c r="O11" s="18">
        <f t="shared" si="4"/>
        <v>0</v>
      </c>
      <c r="P11" s="18">
        <f t="shared" ref="P11:AA11" si="5">IF(P7&gt;P9*1.05,P7-P9,0)</f>
        <v>0</v>
      </c>
      <c r="Q11" s="18">
        <f t="shared" si="5"/>
        <v>81.200000000000045</v>
      </c>
      <c r="R11" s="18">
        <f t="shared" si="5"/>
        <v>0</v>
      </c>
      <c r="S11" s="18">
        <f t="shared" si="5"/>
        <v>0</v>
      </c>
      <c r="T11" s="18">
        <f t="shared" si="5"/>
        <v>68.600000000000023</v>
      </c>
      <c r="U11" s="18">
        <f t="shared" si="5"/>
        <v>0</v>
      </c>
      <c r="V11" s="18">
        <f t="shared" si="5"/>
        <v>0</v>
      </c>
      <c r="W11" s="18">
        <f t="shared" si="5"/>
        <v>0</v>
      </c>
      <c r="X11" s="18">
        <f t="shared" si="5"/>
        <v>0</v>
      </c>
      <c r="Y11" s="18">
        <f t="shared" si="5"/>
        <v>56</v>
      </c>
      <c r="Z11" s="18">
        <f t="shared" si="5"/>
        <v>60.200000000000045</v>
      </c>
      <c r="AA11" s="18">
        <f t="shared" si="5"/>
        <v>0</v>
      </c>
      <c r="AB11" s="1" t="s">
        <v>43</v>
      </c>
      <c r="AJ11" s="94" t="s">
        <v>123</v>
      </c>
      <c r="AK11" s="135">
        <f>AC120</f>
        <v>2370320.3691024981</v>
      </c>
      <c r="XCL11" s="4">
        <v>8</v>
      </c>
      <c r="XCM11" s="4">
        <v>744</v>
      </c>
      <c r="XCN11" s="4">
        <f t="shared" si="1"/>
        <v>31</v>
      </c>
    </row>
    <row r="12" spans="2:37 16314:16316" x14ac:dyDescent="0.3">
      <c r="B12" s="178"/>
      <c r="C12" s="129" t="s">
        <v>10</v>
      </c>
      <c r="D12" s="15">
        <v>8.82</v>
      </c>
      <c r="E12" s="16">
        <v>7.98</v>
      </c>
      <c r="F12" s="16">
        <v>10.5</v>
      </c>
      <c r="G12" s="16">
        <v>18.059999999999999</v>
      </c>
      <c r="H12" s="16">
        <v>17.64</v>
      </c>
      <c r="I12" s="16">
        <v>13.86</v>
      </c>
      <c r="J12" s="15">
        <v>14.28</v>
      </c>
      <c r="K12" s="16">
        <v>17.64</v>
      </c>
      <c r="L12" s="16">
        <v>21.84</v>
      </c>
      <c r="M12" s="16">
        <v>16.38</v>
      </c>
      <c r="N12" s="16">
        <v>17.64</v>
      </c>
      <c r="O12" s="16">
        <v>15.12</v>
      </c>
      <c r="P12" s="16">
        <v>11.34</v>
      </c>
      <c r="Q12" s="16">
        <v>11.76</v>
      </c>
      <c r="R12" s="16">
        <v>16.8</v>
      </c>
      <c r="S12" s="16">
        <v>16.8</v>
      </c>
      <c r="T12" s="16">
        <v>18.059999999999999</v>
      </c>
      <c r="U12" s="16">
        <v>21.42</v>
      </c>
      <c r="V12" s="16">
        <v>16.8</v>
      </c>
      <c r="W12" s="16">
        <v>18.48</v>
      </c>
      <c r="X12" s="16">
        <v>12.6</v>
      </c>
      <c r="Y12" s="16">
        <v>13.86</v>
      </c>
      <c r="Z12" s="16">
        <v>20.58</v>
      </c>
      <c r="AA12" s="16">
        <v>17.22</v>
      </c>
      <c r="AB12" s="2"/>
      <c r="AJ12" s="94" t="s">
        <v>125</v>
      </c>
      <c r="AK12" s="136">
        <f>(AK6-AK11)/AK6</f>
        <v>0.23788962886765738</v>
      </c>
      <c r="XCL12" s="4">
        <v>9</v>
      </c>
      <c r="XCM12" s="4">
        <v>720</v>
      </c>
      <c r="XCN12" s="4">
        <f t="shared" si="1"/>
        <v>30</v>
      </c>
    </row>
    <row r="13" spans="2:37 16314:16316" x14ac:dyDescent="0.3">
      <c r="B13" s="178"/>
      <c r="C13" s="129" t="s">
        <v>11</v>
      </c>
      <c r="D13" s="17">
        <v>86.1</v>
      </c>
      <c r="E13" s="18">
        <v>91.56</v>
      </c>
      <c r="F13" s="18">
        <v>106.68</v>
      </c>
      <c r="G13" s="18">
        <v>152.04</v>
      </c>
      <c r="H13" s="18">
        <v>146.16</v>
      </c>
      <c r="I13" s="18">
        <v>122.22</v>
      </c>
      <c r="J13" s="17">
        <v>123.9</v>
      </c>
      <c r="K13" s="18">
        <v>140.69999999999999</v>
      </c>
      <c r="L13" s="18">
        <v>171.36</v>
      </c>
      <c r="M13" s="18">
        <v>145.32</v>
      </c>
      <c r="N13" s="18">
        <v>158.76</v>
      </c>
      <c r="O13" s="18">
        <v>148.26</v>
      </c>
      <c r="P13" s="18">
        <v>110.46</v>
      </c>
      <c r="Q13" s="18">
        <v>124.32</v>
      </c>
      <c r="R13" s="18">
        <v>146.16</v>
      </c>
      <c r="S13" s="18">
        <v>159.76</v>
      </c>
      <c r="T13" s="18">
        <v>167.58</v>
      </c>
      <c r="U13" s="18">
        <v>182.28</v>
      </c>
      <c r="V13" s="18">
        <v>149.94</v>
      </c>
      <c r="W13" s="18">
        <v>149.94</v>
      </c>
      <c r="X13" s="18">
        <v>128.52000000000001</v>
      </c>
      <c r="Y13" s="18">
        <v>140.69999999999999</v>
      </c>
      <c r="Z13" s="18">
        <v>176.4</v>
      </c>
      <c r="AA13" s="18">
        <v>161.28</v>
      </c>
      <c r="AB13" s="2"/>
      <c r="AC13" s="1" t="s">
        <v>45</v>
      </c>
      <c r="AD13" s="1">
        <f>SUM(P12:AA13)/SUM(P4:AA4)</f>
        <v>0.22751826484018267</v>
      </c>
      <c r="AF13" s="1">
        <v>145</v>
      </c>
      <c r="AK13" s="137"/>
      <c r="XCL13" s="4">
        <v>10</v>
      </c>
      <c r="XCM13" s="4">
        <v>744</v>
      </c>
      <c r="XCN13" s="4">
        <f t="shared" si="1"/>
        <v>31</v>
      </c>
    </row>
    <row r="14" spans="2:37 16314:16316" x14ac:dyDescent="0.3">
      <c r="B14" s="178"/>
      <c r="C14" s="129" t="s">
        <v>0</v>
      </c>
      <c r="D14" s="19" t="s">
        <v>44</v>
      </c>
      <c r="E14" s="20" t="s">
        <v>44</v>
      </c>
      <c r="F14" s="20" t="s">
        <v>44</v>
      </c>
      <c r="G14" s="20" t="s">
        <v>44</v>
      </c>
      <c r="H14" s="20" t="s">
        <v>44</v>
      </c>
      <c r="I14" s="20" t="s">
        <v>44</v>
      </c>
      <c r="J14" s="19" t="s">
        <v>44</v>
      </c>
      <c r="K14" s="20" t="s">
        <v>44</v>
      </c>
      <c r="L14" s="20" t="s">
        <v>44</v>
      </c>
      <c r="M14" s="20" t="s">
        <v>44</v>
      </c>
      <c r="N14" s="20" t="s">
        <v>44</v>
      </c>
      <c r="O14" s="20" t="s">
        <v>44</v>
      </c>
      <c r="P14" s="20" t="s">
        <v>44</v>
      </c>
      <c r="Q14" s="20" t="s">
        <v>44</v>
      </c>
      <c r="R14" s="20" t="s">
        <v>44</v>
      </c>
      <c r="S14" s="20" t="s">
        <v>44</v>
      </c>
      <c r="T14" s="20" t="s">
        <v>44</v>
      </c>
      <c r="U14" s="20" t="s">
        <v>44</v>
      </c>
      <c r="V14" s="20" t="s">
        <v>44</v>
      </c>
      <c r="W14" s="20" t="s">
        <v>44</v>
      </c>
      <c r="X14" s="20" t="s">
        <v>44</v>
      </c>
      <c r="Y14" s="20" t="s">
        <v>44</v>
      </c>
      <c r="Z14" s="20" t="s">
        <v>44</v>
      </c>
      <c r="AA14" s="20" t="s">
        <v>44</v>
      </c>
      <c r="AB14" s="2"/>
      <c r="AC14" s="1" t="s">
        <v>91</v>
      </c>
      <c r="AD14" s="93">
        <f>SUM(P12:AA12)/SUM(P12:AA13)</f>
        <v>9.8200756625490437E-2</v>
      </c>
      <c r="AF14" s="1">
        <v>17.64</v>
      </c>
      <c r="AJ14" s="94" t="s">
        <v>126</v>
      </c>
      <c r="AK14" s="135">
        <f>AC188</f>
        <v>2445738.272644964</v>
      </c>
      <c r="XCL14" s="4"/>
      <c r="XCM14" s="4"/>
      <c r="XCN14" s="4"/>
    </row>
    <row r="15" spans="2:37 16314:16316" ht="12" customHeight="1" x14ac:dyDescent="0.3">
      <c r="B15" s="178"/>
      <c r="C15" s="107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8"/>
      <c r="AD15" s="1">
        <v>0.12392200974878137</v>
      </c>
      <c r="AF15" s="1">
        <f>AF13+AF14</f>
        <v>162.63999999999999</v>
      </c>
      <c r="AJ15" s="94" t="s">
        <v>125</v>
      </c>
      <c r="AK15" s="136">
        <f>(AK6-AK14)/AK6</f>
        <v>0.21364110651262438</v>
      </c>
      <c r="XCL15" s="4">
        <v>11</v>
      </c>
      <c r="XCM15" s="4">
        <v>720</v>
      </c>
      <c r="XCN15" s="4">
        <f t="shared" si="1"/>
        <v>30</v>
      </c>
    </row>
    <row r="16" spans="2:37 16314:16316" x14ac:dyDescent="0.3">
      <c r="B16" s="178"/>
      <c r="C16" s="129" t="s">
        <v>12</v>
      </c>
      <c r="D16" s="126">
        <f>'SIMULAÇÃO CENÁRIOS'!$D$6</f>
        <v>0</v>
      </c>
      <c r="E16" s="126">
        <f>'SIMULAÇÃO CENÁRIOS'!$D$6</f>
        <v>0</v>
      </c>
      <c r="F16" s="126">
        <f>'SIMULAÇÃO CENÁRIOS'!$D$6</f>
        <v>0</v>
      </c>
      <c r="G16" s="126">
        <f>'SIMULAÇÃO CENÁRIOS'!$D$6</f>
        <v>0</v>
      </c>
      <c r="H16" s="126">
        <f>'SIMULAÇÃO CENÁRIOS'!$D$6</f>
        <v>0</v>
      </c>
      <c r="I16" s="126">
        <f>'SIMULAÇÃO CENÁRIOS'!$D$6</f>
        <v>0</v>
      </c>
      <c r="J16" s="126">
        <f>'SIMULAÇÃO CENÁRIOS'!$D$6</f>
        <v>0</v>
      </c>
      <c r="K16" s="126">
        <f>'SIMULAÇÃO CENÁRIOS'!$D$6</f>
        <v>0</v>
      </c>
      <c r="L16" s="126">
        <f>'SIMULAÇÃO CENÁRIOS'!$D$6</f>
        <v>0</v>
      </c>
      <c r="M16" s="126">
        <f>'SIMULAÇÃO CENÁRIOS'!$D$6</f>
        <v>0</v>
      </c>
      <c r="N16" s="126">
        <f>'SIMULAÇÃO CENÁRIOS'!$D$6</f>
        <v>0</v>
      </c>
      <c r="O16" s="126">
        <f>'SIMULAÇÃO CENÁRIOS'!$D$6</f>
        <v>0</v>
      </c>
      <c r="P16" s="126">
        <f>'SIMULAÇÃO CENÁRIOS'!$D$6</f>
        <v>0</v>
      </c>
      <c r="Q16" s="126">
        <f>'SIMULAÇÃO CENÁRIOS'!$D$6</f>
        <v>0</v>
      </c>
      <c r="R16" s="126">
        <f>'SIMULAÇÃO CENÁRIOS'!$D$6</f>
        <v>0</v>
      </c>
      <c r="S16" s="126">
        <f>'SIMULAÇÃO CENÁRIOS'!$D$6</f>
        <v>0</v>
      </c>
      <c r="T16" s="126">
        <f>'SIMULAÇÃO CENÁRIOS'!$D$6</f>
        <v>0</v>
      </c>
      <c r="U16" s="126">
        <f>'SIMULAÇÃO CENÁRIOS'!$D$6</f>
        <v>0</v>
      </c>
      <c r="V16" s="126">
        <f>'SIMULAÇÃO CENÁRIOS'!$D$6</f>
        <v>0</v>
      </c>
      <c r="W16" s="126">
        <f>'SIMULAÇÃO CENÁRIOS'!$D$6</f>
        <v>0</v>
      </c>
      <c r="X16" s="126">
        <f>'SIMULAÇÃO CENÁRIOS'!$D$6</f>
        <v>0</v>
      </c>
      <c r="Y16" s="126">
        <f>'SIMULAÇÃO CENÁRIOS'!$D$6</f>
        <v>0</v>
      </c>
      <c r="Z16" s="126">
        <f>'SIMULAÇÃO CENÁRIOS'!$D$6</f>
        <v>0</v>
      </c>
      <c r="AA16" s="126">
        <f>'SIMULAÇÃO CENÁRIOS'!$D$6</f>
        <v>0</v>
      </c>
      <c r="XCL16" s="4">
        <v>12</v>
      </c>
      <c r="XCM16" s="4">
        <v>744</v>
      </c>
      <c r="XCN16" s="4">
        <f t="shared" si="1"/>
        <v>31</v>
      </c>
    </row>
    <row r="17" spans="2:32" ht="9.75" customHeight="1" x14ac:dyDescent="0.3">
      <c r="B17" s="178"/>
      <c r="C17" s="107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8"/>
    </row>
    <row r="18" spans="2:32" ht="18.75" customHeight="1" x14ac:dyDescent="0.3">
      <c r="B18" s="178"/>
      <c r="C18" s="129" t="s">
        <v>13</v>
      </c>
      <c r="D18" s="9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9" t="s">
        <v>1</v>
      </c>
      <c r="K18" s="10" t="s">
        <v>1</v>
      </c>
      <c r="L18" s="10" t="s">
        <v>1</v>
      </c>
      <c r="M18" s="10" t="s">
        <v>1</v>
      </c>
      <c r="N18" s="10" t="s">
        <v>1</v>
      </c>
      <c r="O18" s="10" t="s">
        <v>1</v>
      </c>
      <c r="P18" s="9" t="s">
        <v>1</v>
      </c>
      <c r="Q18" s="9" t="s">
        <v>1</v>
      </c>
      <c r="R18" s="9" t="s">
        <v>1</v>
      </c>
      <c r="S18" s="9" t="s">
        <v>1</v>
      </c>
      <c r="T18" s="9" t="s">
        <v>1</v>
      </c>
      <c r="U18" s="9" t="s">
        <v>1</v>
      </c>
      <c r="V18" s="9" t="s">
        <v>1</v>
      </c>
      <c r="W18" s="9" t="s">
        <v>1</v>
      </c>
      <c r="X18" s="9" t="s">
        <v>1</v>
      </c>
      <c r="Y18" s="9" t="s">
        <v>1</v>
      </c>
      <c r="Z18" s="9" t="s">
        <v>1</v>
      </c>
      <c r="AA18" s="9" t="s">
        <v>1</v>
      </c>
      <c r="AF18" s="92">
        <f>AF15*1000</f>
        <v>162640</v>
      </c>
    </row>
    <row r="19" spans="2:32" x14ac:dyDescent="0.3">
      <c r="B19" s="178"/>
      <c r="C19" s="129" t="s">
        <v>14</v>
      </c>
      <c r="D19" s="11" t="s">
        <v>42</v>
      </c>
      <c r="E19" s="12" t="s">
        <v>42</v>
      </c>
      <c r="F19" s="12" t="s">
        <v>42</v>
      </c>
      <c r="G19" s="12" t="s">
        <v>42</v>
      </c>
      <c r="H19" s="12" t="s">
        <v>42</v>
      </c>
      <c r="I19" s="12" t="s">
        <v>42</v>
      </c>
      <c r="J19" s="11" t="s">
        <v>42</v>
      </c>
      <c r="K19" s="12" t="s">
        <v>42</v>
      </c>
      <c r="L19" s="12" t="s">
        <v>42</v>
      </c>
      <c r="M19" s="12" t="s">
        <v>42</v>
      </c>
      <c r="N19" s="12" t="s">
        <v>42</v>
      </c>
      <c r="O19" s="12" t="s">
        <v>42</v>
      </c>
      <c r="P19" s="12" t="s">
        <v>42</v>
      </c>
      <c r="Q19" s="12" t="s">
        <v>42</v>
      </c>
      <c r="R19" s="12" t="s">
        <v>42</v>
      </c>
      <c r="S19" s="12" t="s">
        <v>42</v>
      </c>
      <c r="T19" s="12" t="s">
        <v>42</v>
      </c>
      <c r="U19" s="12" t="s">
        <v>42</v>
      </c>
      <c r="V19" s="12" t="s">
        <v>42</v>
      </c>
      <c r="W19" s="12" t="s">
        <v>42</v>
      </c>
      <c r="X19" s="12" t="s">
        <v>42</v>
      </c>
      <c r="Y19" s="12" t="s">
        <v>42</v>
      </c>
      <c r="Z19" s="12" t="s">
        <v>42</v>
      </c>
      <c r="AA19" s="12" t="s">
        <v>42</v>
      </c>
      <c r="AF19" s="92">
        <f>AF18/100</f>
        <v>1626.4</v>
      </c>
    </row>
    <row r="20" spans="2:32" outlineLevel="1" x14ac:dyDescent="0.3">
      <c r="B20" s="178"/>
      <c r="C20" s="129" t="s">
        <v>15</v>
      </c>
      <c r="D20" s="13">
        <v>49.84</v>
      </c>
      <c r="E20" s="14">
        <v>49.84</v>
      </c>
      <c r="F20" s="14">
        <v>49.84</v>
      </c>
      <c r="G20" s="14">
        <v>49.84</v>
      </c>
      <c r="H20" s="14">
        <v>49.84</v>
      </c>
      <c r="I20" s="14">
        <v>49.84</v>
      </c>
      <c r="J20" s="13">
        <v>49.84</v>
      </c>
      <c r="K20" s="14">
        <v>49.84</v>
      </c>
      <c r="L20" s="14">
        <v>49.84</v>
      </c>
      <c r="M20" s="14">
        <v>49.84</v>
      </c>
      <c r="N20" s="14">
        <v>49.84</v>
      </c>
      <c r="O20" s="14">
        <v>49.84</v>
      </c>
      <c r="P20" s="14">
        <v>49.84</v>
      </c>
      <c r="Q20" s="14">
        <v>49.84</v>
      </c>
      <c r="R20" s="14">
        <v>49.84</v>
      </c>
      <c r="S20" s="14">
        <v>49.84</v>
      </c>
      <c r="T20" s="14">
        <v>49.84</v>
      </c>
      <c r="U20" s="14">
        <v>49.84</v>
      </c>
      <c r="V20" s="14">
        <v>49.84</v>
      </c>
      <c r="W20" s="14">
        <v>49.84</v>
      </c>
      <c r="X20" s="14">
        <v>49.84</v>
      </c>
      <c r="Y20" s="14">
        <v>49.84</v>
      </c>
      <c r="Z20" s="14">
        <v>49.84</v>
      </c>
      <c r="AA20" s="14">
        <v>49.84</v>
      </c>
      <c r="AF20" s="1">
        <f>AF19*1.343</f>
        <v>2184.2552000000001</v>
      </c>
    </row>
    <row r="21" spans="2:32" outlineLevel="1" x14ac:dyDescent="0.3">
      <c r="B21" s="178"/>
      <c r="C21" s="129" t="s">
        <v>16</v>
      </c>
      <c r="D21" s="11">
        <v>19.260000000000002</v>
      </c>
      <c r="E21" s="12">
        <v>19.260000000000002</v>
      </c>
      <c r="F21" s="12">
        <v>19.260000000000002</v>
      </c>
      <c r="G21" s="12">
        <v>19.260000000000002</v>
      </c>
      <c r="H21" s="12">
        <v>19.260000000000002</v>
      </c>
      <c r="I21" s="12">
        <v>19.260000000000002</v>
      </c>
      <c r="J21" s="11">
        <v>19.260000000000002</v>
      </c>
      <c r="K21" s="12">
        <v>19.260000000000002</v>
      </c>
      <c r="L21" s="12">
        <v>19.260000000000002</v>
      </c>
      <c r="M21" s="12">
        <v>19.260000000000002</v>
      </c>
      <c r="N21" s="12">
        <v>19.260000000000002</v>
      </c>
      <c r="O21" s="12">
        <v>19.260000000000002</v>
      </c>
      <c r="P21" s="12">
        <v>19.260000000000002</v>
      </c>
      <c r="Q21" s="12">
        <v>19.260000000000002</v>
      </c>
      <c r="R21" s="12">
        <v>19.260000000000002</v>
      </c>
      <c r="S21" s="12">
        <v>19.260000000000002</v>
      </c>
      <c r="T21" s="12">
        <v>19.260000000000002</v>
      </c>
      <c r="U21" s="12">
        <v>19.260000000000002</v>
      </c>
      <c r="V21" s="12">
        <v>19.260000000000002</v>
      </c>
      <c r="W21" s="12">
        <v>19.260000000000002</v>
      </c>
      <c r="X21" s="12">
        <v>19.260000000000002</v>
      </c>
      <c r="Y21" s="12">
        <v>19.260000000000002</v>
      </c>
      <c r="Z21" s="12">
        <v>19.260000000000002</v>
      </c>
      <c r="AA21" s="12">
        <v>19.260000000000002</v>
      </c>
    </row>
    <row r="22" spans="2:32" outlineLevel="1" x14ac:dyDescent="0.3">
      <c r="B22" s="178"/>
      <c r="C22" s="129" t="s">
        <v>17</v>
      </c>
      <c r="D22" s="15">
        <v>1292.96</v>
      </c>
      <c r="E22" s="16">
        <v>1292.96</v>
      </c>
      <c r="F22" s="16">
        <v>1292.96</v>
      </c>
      <c r="G22" s="16">
        <v>1292.96</v>
      </c>
      <c r="H22" s="16">
        <v>1292.96</v>
      </c>
      <c r="I22" s="16">
        <v>1292.96</v>
      </c>
      <c r="J22" s="15">
        <v>1292.96</v>
      </c>
      <c r="K22" s="16">
        <v>1292.96</v>
      </c>
      <c r="L22" s="16">
        <v>1292.96</v>
      </c>
      <c r="M22" s="16">
        <v>1292.96</v>
      </c>
      <c r="N22" s="16">
        <v>1292.96</v>
      </c>
      <c r="O22" s="16">
        <v>1292.96</v>
      </c>
      <c r="P22" s="16">
        <v>1292.96</v>
      </c>
      <c r="Q22" s="16">
        <v>1292.96</v>
      </c>
      <c r="R22" s="16">
        <v>1292.96</v>
      </c>
      <c r="S22" s="16">
        <v>1292.96</v>
      </c>
      <c r="T22" s="16">
        <v>1292.96</v>
      </c>
      <c r="U22" s="16">
        <v>1292.96</v>
      </c>
      <c r="V22" s="16">
        <v>1292.96</v>
      </c>
      <c r="W22" s="16">
        <v>1292.96</v>
      </c>
      <c r="X22" s="16">
        <v>1292.96</v>
      </c>
      <c r="Y22" s="16">
        <v>1292.96</v>
      </c>
      <c r="Z22" s="16">
        <v>1292.96</v>
      </c>
      <c r="AA22" s="16">
        <v>1292.96</v>
      </c>
    </row>
    <row r="23" spans="2:32" outlineLevel="1" x14ac:dyDescent="0.3">
      <c r="B23" s="178"/>
      <c r="C23" s="129" t="s">
        <v>18</v>
      </c>
      <c r="D23" s="17">
        <v>83.39</v>
      </c>
      <c r="E23" s="18">
        <v>83.39</v>
      </c>
      <c r="F23" s="18">
        <v>83.39</v>
      </c>
      <c r="G23" s="18">
        <v>83.39</v>
      </c>
      <c r="H23" s="18">
        <v>83.39</v>
      </c>
      <c r="I23" s="18">
        <v>83.39</v>
      </c>
      <c r="J23" s="17">
        <v>83.39</v>
      </c>
      <c r="K23" s="18">
        <v>83.39</v>
      </c>
      <c r="L23" s="18">
        <v>83.39</v>
      </c>
      <c r="M23" s="18">
        <v>83.39</v>
      </c>
      <c r="N23" s="18">
        <v>83.39</v>
      </c>
      <c r="O23" s="18">
        <v>83.39</v>
      </c>
      <c r="P23" s="18">
        <v>83.39</v>
      </c>
      <c r="Q23" s="18">
        <v>83.39</v>
      </c>
      <c r="R23" s="18">
        <v>83.39</v>
      </c>
      <c r="S23" s="18">
        <v>83.39</v>
      </c>
      <c r="T23" s="18">
        <v>83.39</v>
      </c>
      <c r="U23" s="18">
        <v>83.39</v>
      </c>
      <c r="V23" s="18">
        <v>83.39</v>
      </c>
      <c r="W23" s="18">
        <v>83.39</v>
      </c>
      <c r="X23" s="18">
        <v>83.39</v>
      </c>
      <c r="Y23" s="18">
        <v>83.39</v>
      </c>
      <c r="Z23" s="18">
        <v>83.39</v>
      </c>
      <c r="AA23" s="18">
        <v>83.39</v>
      </c>
    </row>
    <row r="24" spans="2:32" outlineLevel="1" x14ac:dyDescent="0.3">
      <c r="B24" s="178"/>
      <c r="C24" s="129" t="s">
        <v>19</v>
      </c>
      <c r="D24" s="15">
        <v>420.68</v>
      </c>
      <c r="E24" s="16">
        <v>420.68</v>
      </c>
      <c r="F24" s="16">
        <v>420.68</v>
      </c>
      <c r="G24" s="16">
        <v>420.68</v>
      </c>
      <c r="H24" s="16">
        <v>420.68</v>
      </c>
      <c r="I24" s="16">
        <v>420.68</v>
      </c>
      <c r="J24" s="15">
        <v>420.68</v>
      </c>
      <c r="K24" s="16">
        <v>420.68</v>
      </c>
      <c r="L24" s="16">
        <v>420.68</v>
      </c>
      <c r="M24" s="16">
        <v>420.68</v>
      </c>
      <c r="N24" s="16">
        <v>420.68</v>
      </c>
      <c r="O24" s="16">
        <v>420.68</v>
      </c>
      <c r="P24" s="16">
        <v>420.68</v>
      </c>
      <c r="Q24" s="16">
        <v>420.68</v>
      </c>
      <c r="R24" s="16">
        <v>420.68</v>
      </c>
      <c r="S24" s="16">
        <v>420.68</v>
      </c>
      <c r="T24" s="16">
        <v>420.68</v>
      </c>
      <c r="U24" s="16">
        <v>420.68</v>
      </c>
      <c r="V24" s="16">
        <v>420.68</v>
      </c>
      <c r="W24" s="16">
        <v>420.68</v>
      </c>
      <c r="X24" s="16">
        <v>420.68</v>
      </c>
      <c r="Y24" s="16">
        <v>420.68</v>
      </c>
      <c r="Z24" s="16">
        <v>420.68</v>
      </c>
      <c r="AA24" s="16">
        <v>420.68</v>
      </c>
    </row>
    <row r="25" spans="2:32" outlineLevel="1" x14ac:dyDescent="0.3">
      <c r="B25" s="178"/>
      <c r="C25" s="130" t="s">
        <v>20</v>
      </c>
      <c r="D25" s="21">
        <v>251.44</v>
      </c>
      <c r="E25" s="22">
        <v>251.44</v>
      </c>
      <c r="F25" s="22">
        <v>251.44</v>
      </c>
      <c r="G25" s="22">
        <v>251.44</v>
      </c>
      <c r="H25" s="22">
        <v>251.44</v>
      </c>
      <c r="I25" s="22">
        <v>251.44</v>
      </c>
      <c r="J25" s="21">
        <v>251.44</v>
      </c>
      <c r="K25" s="22">
        <v>251.44</v>
      </c>
      <c r="L25" s="22">
        <v>251.44</v>
      </c>
      <c r="M25" s="22">
        <v>251.44</v>
      </c>
      <c r="N25" s="22">
        <v>251.44</v>
      </c>
      <c r="O25" s="22">
        <v>251.44</v>
      </c>
      <c r="P25" s="22">
        <v>251.44</v>
      </c>
      <c r="Q25" s="22">
        <v>251.44</v>
      </c>
      <c r="R25" s="22">
        <v>251.44</v>
      </c>
      <c r="S25" s="22">
        <v>251.44</v>
      </c>
      <c r="T25" s="22">
        <v>251.44</v>
      </c>
      <c r="U25" s="22">
        <v>251.44</v>
      </c>
      <c r="V25" s="22">
        <v>251.44</v>
      </c>
      <c r="W25" s="22">
        <v>251.44</v>
      </c>
      <c r="X25" s="22">
        <v>251.44</v>
      </c>
      <c r="Y25" s="22">
        <v>251.44</v>
      </c>
      <c r="Z25" s="22">
        <v>251.44</v>
      </c>
      <c r="AA25" s="22">
        <v>251.44</v>
      </c>
    </row>
    <row r="26" spans="2:32" ht="8.25" customHeight="1" x14ac:dyDescent="0.3">
      <c r="B26" s="178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23"/>
    </row>
    <row r="27" spans="2:32" x14ac:dyDescent="0.3">
      <c r="B27" s="178"/>
      <c r="C27" s="129" t="s">
        <v>21</v>
      </c>
      <c r="D27" s="24">
        <v>0.27</v>
      </c>
      <c r="E27" s="24">
        <v>0.27</v>
      </c>
      <c r="F27" s="24">
        <v>0.27</v>
      </c>
      <c r="G27" s="24">
        <v>0.27</v>
      </c>
      <c r="H27" s="24">
        <v>0.27</v>
      </c>
      <c r="I27" s="24">
        <v>0.27</v>
      </c>
      <c r="J27" s="24">
        <v>0.27</v>
      </c>
      <c r="K27" s="24">
        <v>0.27</v>
      </c>
      <c r="L27" s="24">
        <v>0.27</v>
      </c>
      <c r="M27" s="24">
        <v>0.27</v>
      </c>
      <c r="N27" s="24">
        <v>0.27</v>
      </c>
      <c r="O27" s="24">
        <v>0.27</v>
      </c>
      <c r="P27" s="24">
        <v>0.27</v>
      </c>
      <c r="Q27" s="24">
        <v>0.27</v>
      </c>
      <c r="R27" s="24">
        <v>0.27</v>
      </c>
      <c r="S27" s="24">
        <v>0.27</v>
      </c>
      <c r="T27" s="24">
        <v>0.27</v>
      </c>
      <c r="U27" s="24">
        <v>0.27</v>
      </c>
      <c r="V27" s="24">
        <v>0.27</v>
      </c>
      <c r="W27" s="24">
        <v>0.27</v>
      </c>
      <c r="X27" s="24">
        <v>0.27</v>
      </c>
      <c r="Y27" s="24">
        <v>0.27</v>
      </c>
      <c r="Z27" s="24">
        <v>0.27</v>
      </c>
      <c r="AA27" s="24">
        <v>0.27</v>
      </c>
    </row>
    <row r="28" spans="2:32" x14ac:dyDescent="0.3">
      <c r="B28" s="178"/>
      <c r="C28" s="129" t="s">
        <v>22</v>
      </c>
      <c r="D28" s="25">
        <v>0.05</v>
      </c>
      <c r="E28" s="26">
        <v>0.05</v>
      </c>
      <c r="F28" s="26">
        <v>0.05</v>
      </c>
      <c r="G28" s="26">
        <v>0.05</v>
      </c>
      <c r="H28" s="26">
        <v>0.05</v>
      </c>
      <c r="I28" s="26">
        <v>0.05</v>
      </c>
      <c r="J28" s="25">
        <v>0.05</v>
      </c>
      <c r="K28" s="26">
        <v>0.05</v>
      </c>
      <c r="L28" s="26">
        <v>0.05</v>
      </c>
      <c r="M28" s="26">
        <v>0.05</v>
      </c>
      <c r="N28" s="26">
        <v>0.05</v>
      </c>
      <c r="O28" s="26">
        <v>0.05</v>
      </c>
      <c r="P28" s="26">
        <v>0.05</v>
      </c>
      <c r="Q28" s="26">
        <v>0.05</v>
      </c>
      <c r="R28" s="26">
        <v>0.05</v>
      </c>
      <c r="S28" s="26">
        <v>0.05</v>
      </c>
      <c r="T28" s="26">
        <v>0.05</v>
      </c>
      <c r="U28" s="26">
        <v>0.05</v>
      </c>
      <c r="V28" s="26">
        <v>0.05</v>
      </c>
      <c r="W28" s="26">
        <v>0.05</v>
      </c>
      <c r="X28" s="26">
        <v>0.05</v>
      </c>
      <c r="Y28" s="26">
        <v>0.05</v>
      </c>
      <c r="Z28" s="26">
        <v>0.05</v>
      </c>
      <c r="AA28" s="26">
        <v>0.05</v>
      </c>
    </row>
    <row r="29" spans="2:32" ht="9.75" customHeight="1" x14ac:dyDescent="0.3">
      <c r="B29" s="178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23"/>
    </row>
    <row r="30" spans="2:32" outlineLevel="1" x14ac:dyDescent="0.3">
      <c r="B30" s="178"/>
      <c r="C30" s="131" t="s">
        <v>23</v>
      </c>
      <c r="D30" s="27">
        <f>IF(D19="Azul",D8*D20*(1-D16),0)</f>
        <v>0</v>
      </c>
      <c r="E30" s="28">
        <f t="shared" ref="E30:AA30" si="6">IF(E19="Azul",E8*E20*(1-E16),0)</f>
        <v>0</v>
      </c>
      <c r="F30" s="28">
        <f t="shared" si="6"/>
        <v>0</v>
      </c>
      <c r="G30" s="28">
        <f t="shared" si="6"/>
        <v>0</v>
      </c>
      <c r="H30" s="28">
        <f t="shared" si="6"/>
        <v>0</v>
      </c>
      <c r="I30" s="28">
        <f t="shared" si="6"/>
        <v>0</v>
      </c>
      <c r="J30" s="27">
        <f t="shared" si="6"/>
        <v>0</v>
      </c>
      <c r="K30" s="28">
        <f t="shared" si="6"/>
        <v>0</v>
      </c>
      <c r="L30" s="28">
        <f t="shared" si="6"/>
        <v>0</v>
      </c>
      <c r="M30" s="28">
        <f t="shared" si="6"/>
        <v>0</v>
      </c>
      <c r="N30" s="28">
        <f t="shared" si="6"/>
        <v>0</v>
      </c>
      <c r="O30" s="28">
        <f t="shared" si="6"/>
        <v>0</v>
      </c>
      <c r="P30" s="27">
        <f>IF(P19="Azul",P8*P20*(1-P16),0)</f>
        <v>0</v>
      </c>
      <c r="Q30" s="28">
        <f t="shared" si="6"/>
        <v>0</v>
      </c>
      <c r="R30" s="28">
        <f t="shared" si="6"/>
        <v>0</v>
      </c>
      <c r="S30" s="28">
        <f t="shared" si="6"/>
        <v>0</v>
      </c>
      <c r="T30" s="28">
        <f t="shared" si="6"/>
        <v>0</v>
      </c>
      <c r="U30" s="28">
        <f t="shared" si="6"/>
        <v>0</v>
      </c>
      <c r="V30" s="28">
        <f t="shared" si="6"/>
        <v>0</v>
      </c>
      <c r="W30" s="28">
        <f t="shared" si="6"/>
        <v>0</v>
      </c>
      <c r="X30" s="28">
        <f t="shared" si="6"/>
        <v>0</v>
      </c>
      <c r="Y30" s="28">
        <f t="shared" si="6"/>
        <v>0</v>
      </c>
      <c r="Z30" s="28">
        <f t="shared" si="6"/>
        <v>0</v>
      </c>
      <c r="AA30" s="28">
        <f t="shared" si="6"/>
        <v>0</v>
      </c>
    </row>
    <row r="31" spans="2:32" outlineLevel="1" x14ac:dyDescent="0.3">
      <c r="B31" s="178"/>
      <c r="C31" s="131" t="s">
        <v>24</v>
      </c>
      <c r="D31" s="29">
        <f>D10*D20*2</f>
        <v>0</v>
      </c>
      <c r="E31" s="30">
        <f t="shared" ref="E31:AA31" si="7">E10*E20*2</f>
        <v>0</v>
      </c>
      <c r="F31" s="30">
        <f t="shared" si="7"/>
        <v>0</v>
      </c>
      <c r="G31" s="30">
        <f t="shared" si="7"/>
        <v>0</v>
      </c>
      <c r="H31" s="30">
        <f t="shared" si="7"/>
        <v>0</v>
      </c>
      <c r="I31" s="30">
        <f t="shared" si="7"/>
        <v>0</v>
      </c>
      <c r="J31" s="29">
        <f t="shared" si="7"/>
        <v>0</v>
      </c>
      <c r="K31" s="30">
        <f t="shared" si="7"/>
        <v>0</v>
      </c>
      <c r="L31" s="30">
        <f t="shared" si="7"/>
        <v>0</v>
      </c>
      <c r="M31" s="30">
        <f t="shared" si="7"/>
        <v>0</v>
      </c>
      <c r="N31" s="30">
        <f t="shared" si="7"/>
        <v>0</v>
      </c>
      <c r="O31" s="30">
        <f t="shared" si="7"/>
        <v>0</v>
      </c>
      <c r="P31" s="29">
        <f>P10*P20*2</f>
        <v>0</v>
      </c>
      <c r="Q31" s="30">
        <f t="shared" si="7"/>
        <v>0</v>
      </c>
      <c r="R31" s="30">
        <f t="shared" si="7"/>
        <v>0</v>
      </c>
      <c r="S31" s="30">
        <f t="shared" si="7"/>
        <v>0</v>
      </c>
      <c r="T31" s="30">
        <f t="shared" si="7"/>
        <v>0</v>
      </c>
      <c r="U31" s="30">
        <f t="shared" si="7"/>
        <v>0</v>
      </c>
      <c r="V31" s="30">
        <f t="shared" si="7"/>
        <v>0</v>
      </c>
      <c r="W31" s="30">
        <f t="shared" si="7"/>
        <v>0</v>
      </c>
      <c r="X31" s="30">
        <f t="shared" si="7"/>
        <v>0</v>
      </c>
      <c r="Y31" s="30">
        <f t="shared" si="7"/>
        <v>0</v>
      </c>
      <c r="Z31" s="30">
        <f t="shared" si="7"/>
        <v>0</v>
      </c>
      <c r="AA31" s="30">
        <f t="shared" si="7"/>
        <v>0</v>
      </c>
    </row>
    <row r="32" spans="2:32" outlineLevel="1" x14ac:dyDescent="0.3">
      <c r="B32" s="178"/>
      <c r="C32" s="131" t="s">
        <v>25</v>
      </c>
      <c r="D32" s="31">
        <f>D9*D21*(1-D16)</f>
        <v>13482.000000000002</v>
      </c>
      <c r="E32" s="32">
        <f t="shared" ref="E32:AA32" si="8">E9*E21*(1-E16)</f>
        <v>13482.000000000002</v>
      </c>
      <c r="F32" s="32">
        <f t="shared" si="8"/>
        <v>13482.000000000002</v>
      </c>
      <c r="G32" s="32">
        <f t="shared" si="8"/>
        <v>13482.000000000002</v>
      </c>
      <c r="H32" s="32">
        <f t="shared" si="8"/>
        <v>13482.000000000002</v>
      </c>
      <c r="I32" s="32">
        <f t="shared" si="8"/>
        <v>13482.000000000002</v>
      </c>
      <c r="J32" s="31">
        <f t="shared" si="8"/>
        <v>13482.000000000002</v>
      </c>
      <c r="K32" s="32">
        <f t="shared" si="8"/>
        <v>13482.000000000002</v>
      </c>
      <c r="L32" s="32">
        <f t="shared" si="8"/>
        <v>13482.000000000002</v>
      </c>
      <c r="M32" s="32">
        <f t="shared" si="8"/>
        <v>13482.000000000002</v>
      </c>
      <c r="N32" s="32">
        <f t="shared" si="8"/>
        <v>13482.000000000002</v>
      </c>
      <c r="O32" s="32">
        <f t="shared" si="8"/>
        <v>13482.000000000002</v>
      </c>
      <c r="P32" s="31">
        <f>P9*P21*(1-P16)</f>
        <v>13482.000000000002</v>
      </c>
      <c r="Q32" s="32">
        <f t="shared" si="8"/>
        <v>13482.000000000002</v>
      </c>
      <c r="R32" s="32">
        <f t="shared" si="8"/>
        <v>13482.000000000002</v>
      </c>
      <c r="S32" s="32">
        <f t="shared" si="8"/>
        <v>13482.000000000002</v>
      </c>
      <c r="T32" s="32">
        <f t="shared" si="8"/>
        <v>13482.000000000002</v>
      </c>
      <c r="U32" s="32">
        <f t="shared" si="8"/>
        <v>13482.000000000002</v>
      </c>
      <c r="V32" s="32">
        <f t="shared" si="8"/>
        <v>13482.000000000002</v>
      </c>
      <c r="W32" s="32">
        <f t="shared" si="8"/>
        <v>13482.000000000002</v>
      </c>
      <c r="X32" s="32">
        <f t="shared" si="8"/>
        <v>13482.000000000002</v>
      </c>
      <c r="Y32" s="32">
        <f t="shared" si="8"/>
        <v>13482.000000000002</v>
      </c>
      <c r="Z32" s="32">
        <f t="shared" si="8"/>
        <v>13482.000000000002</v>
      </c>
      <c r="AA32" s="32">
        <f t="shared" si="8"/>
        <v>13482.000000000002</v>
      </c>
    </row>
    <row r="33" spans="2:29" outlineLevel="1" x14ac:dyDescent="0.3">
      <c r="B33" s="178"/>
      <c r="C33" s="131" t="s">
        <v>26</v>
      </c>
      <c r="D33" s="29">
        <f>D11*D21*2</f>
        <v>0</v>
      </c>
      <c r="E33" s="30">
        <f t="shared" ref="E33:AA33" si="9">E11*E21*2</f>
        <v>0</v>
      </c>
      <c r="F33" s="30">
        <f t="shared" si="9"/>
        <v>0</v>
      </c>
      <c r="G33" s="30">
        <f t="shared" si="9"/>
        <v>0</v>
      </c>
      <c r="H33" s="30">
        <f t="shared" si="9"/>
        <v>0</v>
      </c>
      <c r="I33" s="30">
        <f t="shared" si="9"/>
        <v>0</v>
      </c>
      <c r="J33" s="29">
        <f t="shared" si="9"/>
        <v>0</v>
      </c>
      <c r="K33" s="30">
        <f t="shared" si="9"/>
        <v>0</v>
      </c>
      <c r="L33" s="30">
        <f t="shared" si="9"/>
        <v>2480.6879999999992</v>
      </c>
      <c r="M33" s="30">
        <f t="shared" si="9"/>
        <v>0</v>
      </c>
      <c r="N33" s="30">
        <f t="shared" si="9"/>
        <v>0</v>
      </c>
      <c r="O33" s="30">
        <f t="shared" si="9"/>
        <v>0</v>
      </c>
      <c r="P33" s="29">
        <f>P11*P21*2</f>
        <v>0</v>
      </c>
      <c r="Q33" s="30">
        <f t="shared" si="9"/>
        <v>3127.8240000000019</v>
      </c>
      <c r="R33" s="30">
        <f t="shared" si="9"/>
        <v>0</v>
      </c>
      <c r="S33" s="30">
        <f t="shared" si="9"/>
        <v>0</v>
      </c>
      <c r="T33" s="30">
        <f t="shared" si="9"/>
        <v>2642.4720000000011</v>
      </c>
      <c r="U33" s="30">
        <f t="shared" si="9"/>
        <v>0</v>
      </c>
      <c r="V33" s="30">
        <f t="shared" si="9"/>
        <v>0</v>
      </c>
      <c r="W33" s="30">
        <f t="shared" si="9"/>
        <v>0</v>
      </c>
      <c r="X33" s="30">
        <f t="shared" si="9"/>
        <v>0</v>
      </c>
      <c r="Y33" s="30">
        <f t="shared" si="9"/>
        <v>2157.1200000000003</v>
      </c>
      <c r="Z33" s="30">
        <f t="shared" si="9"/>
        <v>2318.9040000000018</v>
      </c>
      <c r="AA33" s="30">
        <f t="shared" si="9"/>
        <v>0</v>
      </c>
    </row>
    <row r="34" spans="2:29" outlineLevel="1" x14ac:dyDescent="0.3">
      <c r="B34" s="178"/>
      <c r="C34" s="131" t="s">
        <v>27</v>
      </c>
      <c r="D34" s="31">
        <f>IF(D19="Azul",D12*D23,D12*((D22-D23)*(1-D16)+D23))</f>
        <v>11403.907200000001</v>
      </c>
      <c r="E34" s="32">
        <f t="shared" ref="E34:AA34" si="10">IF(E19="Azul",E12*E23,E12*((E22-E23)*(1-E16)+E23))</f>
        <v>10317.820800000001</v>
      </c>
      <c r="F34" s="32">
        <f t="shared" si="10"/>
        <v>13576.08</v>
      </c>
      <c r="G34" s="32">
        <f t="shared" si="10"/>
        <v>23350.857599999999</v>
      </c>
      <c r="H34" s="32">
        <f t="shared" si="10"/>
        <v>22807.814400000003</v>
      </c>
      <c r="I34" s="32">
        <f t="shared" si="10"/>
        <v>17920.425599999999</v>
      </c>
      <c r="J34" s="31">
        <f t="shared" si="10"/>
        <v>18463.468799999999</v>
      </c>
      <c r="K34" s="32">
        <f t="shared" si="10"/>
        <v>22807.814400000003</v>
      </c>
      <c r="L34" s="32">
        <f t="shared" si="10"/>
        <v>28238.2464</v>
      </c>
      <c r="M34" s="32">
        <f t="shared" si="10"/>
        <v>21178.684799999999</v>
      </c>
      <c r="N34" s="32">
        <f t="shared" si="10"/>
        <v>22807.814400000003</v>
      </c>
      <c r="O34" s="32">
        <f t="shared" si="10"/>
        <v>19549.555199999999</v>
      </c>
      <c r="P34" s="31">
        <f>IF(P19="Azul",P12*P23,P12*((P22-P23)*(1-P16)+P23))</f>
        <v>14662.1664</v>
      </c>
      <c r="Q34" s="32">
        <f t="shared" si="10"/>
        <v>15205.2096</v>
      </c>
      <c r="R34" s="32">
        <f t="shared" si="10"/>
        <v>21721.728000000003</v>
      </c>
      <c r="S34" s="32">
        <f t="shared" si="10"/>
        <v>21721.728000000003</v>
      </c>
      <c r="T34" s="32">
        <f t="shared" si="10"/>
        <v>23350.857599999999</v>
      </c>
      <c r="U34" s="32">
        <f t="shared" si="10"/>
        <v>27695.203200000004</v>
      </c>
      <c r="V34" s="32">
        <f t="shared" si="10"/>
        <v>21721.728000000003</v>
      </c>
      <c r="W34" s="32">
        <f t="shared" si="10"/>
        <v>23893.900799999999</v>
      </c>
      <c r="X34" s="32">
        <f t="shared" si="10"/>
        <v>16291.296</v>
      </c>
      <c r="Y34" s="32">
        <f t="shared" si="10"/>
        <v>17920.425599999999</v>
      </c>
      <c r="Z34" s="32">
        <f t="shared" si="10"/>
        <v>26609.1168</v>
      </c>
      <c r="AA34" s="32">
        <f t="shared" si="10"/>
        <v>22264.771199999999</v>
      </c>
    </row>
    <row r="35" spans="2:29" outlineLevel="1" x14ac:dyDescent="0.3">
      <c r="B35" s="178"/>
      <c r="C35" s="132" t="s">
        <v>28</v>
      </c>
      <c r="D35" s="33">
        <f>D13*D23</f>
        <v>7179.8789999999999</v>
      </c>
      <c r="E35" s="34">
        <f t="shared" ref="E35:AA35" si="11">E13*E23</f>
        <v>7635.1884</v>
      </c>
      <c r="F35" s="34">
        <f t="shared" si="11"/>
        <v>8896.0452000000005</v>
      </c>
      <c r="G35" s="34">
        <f t="shared" si="11"/>
        <v>12678.615599999999</v>
      </c>
      <c r="H35" s="34">
        <f t="shared" si="11"/>
        <v>12188.2824</v>
      </c>
      <c r="I35" s="34">
        <f t="shared" si="11"/>
        <v>10191.925799999999</v>
      </c>
      <c r="J35" s="33">
        <f t="shared" si="11"/>
        <v>10332.021000000001</v>
      </c>
      <c r="K35" s="34">
        <f t="shared" si="11"/>
        <v>11732.973</v>
      </c>
      <c r="L35" s="34">
        <f t="shared" si="11"/>
        <v>14289.710400000002</v>
      </c>
      <c r="M35" s="34">
        <f t="shared" si="11"/>
        <v>12118.2348</v>
      </c>
      <c r="N35" s="34">
        <f t="shared" si="11"/>
        <v>13238.9964</v>
      </c>
      <c r="O35" s="34">
        <f t="shared" si="11"/>
        <v>12363.401399999999</v>
      </c>
      <c r="P35" s="33">
        <f>P13*P23</f>
        <v>9211.259399999999</v>
      </c>
      <c r="Q35" s="34">
        <f t="shared" si="11"/>
        <v>10367.0448</v>
      </c>
      <c r="R35" s="34">
        <f t="shared" si="11"/>
        <v>12188.2824</v>
      </c>
      <c r="S35" s="34">
        <f t="shared" si="11"/>
        <v>13322.386399999999</v>
      </c>
      <c r="T35" s="34">
        <f t="shared" si="11"/>
        <v>13974.496200000001</v>
      </c>
      <c r="U35" s="34">
        <f t="shared" si="11"/>
        <v>15200.3292</v>
      </c>
      <c r="V35" s="34">
        <f t="shared" si="11"/>
        <v>12503.4966</v>
      </c>
      <c r="W35" s="34">
        <f t="shared" si="11"/>
        <v>12503.4966</v>
      </c>
      <c r="X35" s="34">
        <f t="shared" si="11"/>
        <v>10717.282800000001</v>
      </c>
      <c r="Y35" s="34">
        <f t="shared" si="11"/>
        <v>11732.973</v>
      </c>
      <c r="Z35" s="34">
        <f t="shared" si="11"/>
        <v>14709.996000000001</v>
      </c>
      <c r="AA35" s="34">
        <f t="shared" si="11"/>
        <v>13449.1392</v>
      </c>
    </row>
    <row r="36" spans="2:29" x14ac:dyDescent="0.3">
      <c r="B36" s="178"/>
      <c r="C36" s="131" t="s">
        <v>29</v>
      </c>
      <c r="D36" s="27">
        <f>SUM(D30:D35)</f>
        <v>32065.786200000002</v>
      </c>
      <c r="E36" s="28">
        <f>SUM(E30:E35)</f>
        <v>31435.0092</v>
      </c>
      <c r="F36" s="28">
        <f>SUM(F30:F35)</f>
        <v>35954.125200000002</v>
      </c>
      <c r="G36" s="28">
        <f t="shared" ref="G36:AA36" si="12">SUM(G30:G35)</f>
        <v>49511.4732</v>
      </c>
      <c r="H36" s="28">
        <f t="shared" si="12"/>
        <v>48478.096799999999</v>
      </c>
      <c r="I36" s="28">
        <f t="shared" si="12"/>
        <v>41594.3514</v>
      </c>
      <c r="J36" s="27">
        <f t="shared" si="12"/>
        <v>42277.489800000003</v>
      </c>
      <c r="K36" s="28">
        <f t="shared" si="12"/>
        <v>48022.787400000001</v>
      </c>
      <c r="L36" s="28">
        <f t="shared" si="12"/>
        <v>58490.644800000002</v>
      </c>
      <c r="M36" s="28">
        <f t="shared" si="12"/>
        <v>46778.919600000001</v>
      </c>
      <c r="N36" s="28">
        <f t="shared" si="12"/>
        <v>49528.810800000007</v>
      </c>
      <c r="O36" s="28">
        <f t="shared" si="12"/>
        <v>45394.956600000005</v>
      </c>
      <c r="P36" s="27">
        <f>SUM(P30:P35)</f>
        <v>37355.425799999997</v>
      </c>
      <c r="Q36" s="28">
        <f t="shared" si="12"/>
        <v>42182.078399999999</v>
      </c>
      <c r="R36" s="28">
        <f t="shared" si="12"/>
        <v>47392.010399999999</v>
      </c>
      <c r="S36" s="28">
        <f t="shared" si="12"/>
        <v>48526.114400000006</v>
      </c>
      <c r="T36" s="28">
        <f t="shared" si="12"/>
        <v>53449.825800000006</v>
      </c>
      <c r="U36" s="28">
        <f t="shared" si="12"/>
        <v>56377.532400000004</v>
      </c>
      <c r="V36" s="28">
        <f t="shared" si="12"/>
        <v>47707.224600000001</v>
      </c>
      <c r="W36" s="28">
        <f t="shared" si="12"/>
        <v>49879.397400000002</v>
      </c>
      <c r="X36" s="28">
        <f t="shared" si="12"/>
        <v>40490.578800000003</v>
      </c>
      <c r="Y36" s="28">
        <f t="shared" si="12"/>
        <v>45292.518599999996</v>
      </c>
      <c r="Z36" s="28">
        <f t="shared" si="12"/>
        <v>57120.016800000005</v>
      </c>
      <c r="AA36" s="28">
        <f t="shared" si="12"/>
        <v>49195.910400000001</v>
      </c>
    </row>
    <row r="37" spans="2:29" x14ac:dyDescent="0.3">
      <c r="B37" s="178"/>
      <c r="C37" s="131" t="s">
        <v>30</v>
      </c>
      <c r="D37" s="35">
        <f>D36/(1-SUM(D27:D28))*SUM(D27:D28)+((D41+D39+D40)/(1-SUM(D27:D28)))*SUM(D27:D28)</f>
        <v>15089.781741176474</v>
      </c>
      <c r="E37" s="36">
        <f t="shared" ref="E37:AA37" si="13">E36/(1-SUM(E27:E28))*SUM(E27:E28)+((E41+E39+E40)/(1-SUM(E27:E28)))*SUM(E27:E28)</f>
        <v>14792.945505882355</v>
      </c>
      <c r="F37" s="36">
        <f t="shared" si="13"/>
        <v>16919.58832941177</v>
      </c>
      <c r="G37" s="36">
        <f t="shared" si="13"/>
        <v>23299.516800000001</v>
      </c>
      <c r="H37" s="36">
        <f t="shared" si="13"/>
        <v>22813.222023529415</v>
      </c>
      <c r="I37" s="36">
        <f t="shared" si="13"/>
        <v>19573.812423529413</v>
      </c>
      <c r="J37" s="35">
        <f t="shared" si="13"/>
        <v>19895.289317647064</v>
      </c>
      <c r="K37" s="36">
        <f t="shared" si="13"/>
        <v>22598.95877647059</v>
      </c>
      <c r="L37" s="36">
        <f t="shared" si="13"/>
        <v>27525.009317647062</v>
      </c>
      <c r="M37" s="36">
        <f t="shared" si="13"/>
        <v>22013.609223529413</v>
      </c>
      <c r="N37" s="36">
        <f t="shared" si="13"/>
        <v>23307.67567058824</v>
      </c>
      <c r="O37" s="36">
        <f t="shared" si="13"/>
        <v>21362.332517647064</v>
      </c>
      <c r="P37" s="35">
        <f t="shared" si="13"/>
        <v>17579.023905882354</v>
      </c>
      <c r="Q37" s="36">
        <f t="shared" si="13"/>
        <v>19850.389835294121</v>
      </c>
      <c r="R37" s="36">
        <f t="shared" si="13"/>
        <v>22302.122541176472</v>
      </c>
      <c r="S37" s="36">
        <f t="shared" si="13"/>
        <v>22835.818541176479</v>
      </c>
      <c r="T37" s="36">
        <f t="shared" si="13"/>
        <v>25152.859200000006</v>
      </c>
      <c r="U37" s="36">
        <f t="shared" si="13"/>
        <v>26530.603482352948</v>
      </c>
      <c r="V37" s="36">
        <f t="shared" si="13"/>
        <v>22450.458635294122</v>
      </c>
      <c r="W37" s="36">
        <f t="shared" si="13"/>
        <v>23472.657600000002</v>
      </c>
      <c r="X37" s="36">
        <f t="shared" si="13"/>
        <v>19054.390023529417</v>
      </c>
      <c r="Y37" s="36">
        <f t="shared" si="13"/>
        <v>21314.126400000001</v>
      </c>
      <c r="Z37" s="36">
        <f t="shared" si="13"/>
        <v>26880.007905882361</v>
      </c>
      <c r="AA37" s="36">
        <f t="shared" si="13"/>
        <v>23151.016658823533</v>
      </c>
    </row>
    <row r="38" spans="2:29" ht="8.25" customHeight="1" x14ac:dyDescent="0.3">
      <c r="B38" s="178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37"/>
    </row>
    <row r="39" spans="2:29" x14ac:dyDescent="0.3">
      <c r="B39" s="178"/>
      <c r="C39" s="131" t="s">
        <v>31</v>
      </c>
      <c r="D39" s="9">
        <f>IF(D19="Azul",D8*D20*(D16),0)</f>
        <v>0</v>
      </c>
      <c r="E39" s="10">
        <f t="shared" ref="E39:AA39" si="14">IF(E19="Azul",E8*E20*(E16),0)</f>
        <v>0</v>
      </c>
      <c r="F39" s="10">
        <f t="shared" si="14"/>
        <v>0</v>
      </c>
      <c r="G39" s="10">
        <f t="shared" si="14"/>
        <v>0</v>
      </c>
      <c r="H39" s="10">
        <f t="shared" si="14"/>
        <v>0</v>
      </c>
      <c r="I39" s="10">
        <f t="shared" si="14"/>
        <v>0</v>
      </c>
      <c r="J39" s="9">
        <f t="shared" si="14"/>
        <v>0</v>
      </c>
      <c r="K39" s="10">
        <f t="shared" si="14"/>
        <v>0</v>
      </c>
      <c r="L39" s="10">
        <f t="shared" si="14"/>
        <v>0</v>
      </c>
      <c r="M39" s="10">
        <f t="shared" si="14"/>
        <v>0</v>
      </c>
      <c r="N39" s="10">
        <f t="shared" si="14"/>
        <v>0</v>
      </c>
      <c r="O39" s="10">
        <f t="shared" si="14"/>
        <v>0</v>
      </c>
      <c r="P39" s="10">
        <f t="shared" si="14"/>
        <v>0</v>
      </c>
      <c r="Q39" s="10">
        <f t="shared" si="14"/>
        <v>0</v>
      </c>
      <c r="R39" s="10">
        <f t="shared" si="14"/>
        <v>0</v>
      </c>
      <c r="S39" s="10">
        <f t="shared" si="14"/>
        <v>0</v>
      </c>
      <c r="T39" s="10">
        <f t="shared" si="14"/>
        <v>0</v>
      </c>
      <c r="U39" s="10">
        <f t="shared" si="14"/>
        <v>0</v>
      </c>
      <c r="V39" s="10">
        <f t="shared" si="14"/>
        <v>0</v>
      </c>
      <c r="W39" s="10">
        <f t="shared" si="14"/>
        <v>0</v>
      </c>
      <c r="X39" s="10">
        <f t="shared" si="14"/>
        <v>0</v>
      </c>
      <c r="Y39" s="10">
        <f t="shared" si="14"/>
        <v>0</v>
      </c>
      <c r="Z39" s="10">
        <f t="shared" si="14"/>
        <v>0</v>
      </c>
      <c r="AA39" s="10">
        <f t="shared" si="14"/>
        <v>0</v>
      </c>
    </row>
    <row r="40" spans="2:29" x14ac:dyDescent="0.3">
      <c r="B40" s="178"/>
      <c r="C40" s="131" t="s">
        <v>32</v>
      </c>
      <c r="D40" s="11">
        <f>D9*D21*(D16)</f>
        <v>0</v>
      </c>
      <c r="E40" s="12">
        <f t="shared" ref="E40:AA40" si="15">E9*E21*(E16)</f>
        <v>0</v>
      </c>
      <c r="F40" s="12">
        <f t="shared" si="15"/>
        <v>0</v>
      </c>
      <c r="G40" s="12">
        <f t="shared" si="15"/>
        <v>0</v>
      </c>
      <c r="H40" s="12">
        <f t="shared" si="15"/>
        <v>0</v>
      </c>
      <c r="I40" s="12">
        <f t="shared" si="15"/>
        <v>0</v>
      </c>
      <c r="J40" s="11">
        <f t="shared" si="15"/>
        <v>0</v>
      </c>
      <c r="K40" s="12">
        <f t="shared" si="15"/>
        <v>0</v>
      </c>
      <c r="L40" s="12">
        <f t="shared" si="15"/>
        <v>0</v>
      </c>
      <c r="M40" s="12">
        <f t="shared" si="15"/>
        <v>0</v>
      </c>
      <c r="N40" s="12">
        <f t="shared" si="15"/>
        <v>0</v>
      </c>
      <c r="O40" s="12">
        <f t="shared" si="15"/>
        <v>0</v>
      </c>
      <c r="P40" s="12">
        <f t="shared" si="15"/>
        <v>0</v>
      </c>
      <c r="Q40" s="12">
        <f t="shared" si="15"/>
        <v>0</v>
      </c>
      <c r="R40" s="12">
        <f t="shared" si="15"/>
        <v>0</v>
      </c>
      <c r="S40" s="12">
        <f t="shared" si="15"/>
        <v>0</v>
      </c>
      <c r="T40" s="12">
        <f t="shared" si="15"/>
        <v>0</v>
      </c>
      <c r="U40" s="12">
        <f t="shared" si="15"/>
        <v>0</v>
      </c>
      <c r="V40" s="12">
        <f t="shared" si="15"/>
        <v>0</v>
      </c>
      <c r="W40" s="12">
        <f t="shared" si="15"/>
        <v>0</v>
      </c>
      <c r="X40" s="12">
        <f t="shared" si="15"/>
        <v>0</v>
      </c>
      <c r="Y40" s="12">
        <f t="shared" si="15"/>
        <v>0</v>
      </c>
      <c r="Z40" s="12">
        <f t="shared" si="15"/>
        <v>0</v>
      </c>
      <c r="AA40" s="12">
        <f t="shared" si="15"/>
        <v>0</v>
      </c>
    </row>
    <row r="41" spans="2:29" x14ac:dyDescent="0.3">
      <c r="B41" s="178"/>
      <c r="C41" s="129" t="s">
        <v>33</v>
      </c>
      <c r="D41" s="19">
        <f>IF(D19="Verde",D12*(D22-D23)*(D16),0)</f>
        <v>0</v>
      </c>
      <c r="E41" s="20">
        <f t="shared" ref="E41:AA41" si="16">IF(E19="Verde",E12*(E22-E23)*(E16),0)</f>
        <v>0</v>
      </c>
      <c r="F41" s="20">
        <f t="shared" si="16"/>
        <v>0</v>
      </c>
      <c r="G41" s="20">
        <f t="shared" si="16"/>
        <v>0</v>
      </c>
      <c r="H41" s="20">
        <f t="shared" si="16"/>
        <v>0</v>
      </c>
      <c r="I41" s="20">
        <f t="shared" si="16"/>
        <v>0</v>
      </c>
      <c r="J41" s="19">
        <f t="shared" si="16"/>
        <v>0</v>
      </c>
      <c r="K41" s="20">
        <f t="shared" si="16"/>
        <v>0</v>
      </c>
      <c r="L41" s="20">
        <f t="shared" si="16"/>
        <v>0</v>
      </c>
      <c r="M41" s="20">
        <f t="shared" si="16"/>
        <v>0</v>
      </c>
      <c r="N41" s="20">
        <f t="shared" si="16"/>
        <v>0</v>
      </c>
      <c r="O41" s="20">
        <f t="shared" si="16"/>
        <v>0</v>
      </c>
      <c r="P41" s="20">
        <f t="shared" si="16"/>
        <v>0</v>
      </c>
      <c r="Q41" s="20">
        <f t="shared" si="16"/>
        <v>0</v>
      </c>
      <c r="R41" s="20">
        <f t="shared" si="16"/>
        <v>0</v>
      </c>
      <c r="S41" s="20">
        <f t="shared" si="16"/>
        <v>0</v>
      </c>
      <c r="T41" s="20">
        <f t="shared" si="16"/>
        <v>0</v>
      </c>
      <c r="U41" s="20">
        <f t="shared" si="16"/>
        <v>0</v>
      </c>
      <c r="V41" s="20">
        <f t="shared" si="16"/>
        <v>0</v>
      </c>
      <c r="W41" s="20">
        <f t="shared" si="16"/>
        <v>0</v>
      </c>
      <c r="X41" s="20">
        <f t="shared" si="16"/>
        <v>0</v>
      </c>
      <c r="Y41" s="20">
        <f t="shared" si="16"/>
        <v>0</v>
      </c>
      <c r="Z41" s="20">
        <f t="shared" si="16"/>
        <v>0</v>
      </c>
      <c r="AA41" s="20">
        <f t="shared" si="16"/>
        <v>0</v>
      </c>
      <c r="AC41" s="92"/>
    </row>
    <row r="42" spans="2:29" ht="9.75" customHeight="1" x14ac:dyDescent="0.3">
      <c r="B42" s="178"/>
      <c r="C42" s="109"/>
      <c r="D42" s="109"/>
      <c r="E42" s="109"/>
      <c r="F42" s="109"/>
      <c r="G42" s="109"/>
      <c r="H42" s="109"/>
      <c r="I42" s="109"/>
      <c r="J42" s="109"/>
      <c r="K42" s="109"/>
      <c r="L42" s="109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  <c r="AA42" s="38"/>
    </row>
    <row r="43" spans="2:29" x14ac:dyDescent="0.3">
      <c r="B43" s="178"/>
      <c r="C43" s="129" t="s">
        <v>34</v>
      </c>
      <c r="D43" s="98">
        <f>SUM(D12:D13)/D4</f>
        <v>0.12758064516129031</v>
      </c>
      <c r="E43" s="98">
        <f t="shared" ref="E43:O43" si="17">SUM(E12:E13)/E4</f>
        <v>0.14301724137931035</v>
      </c>
      <c r="F43" s="98">
        <f t="shared" si="17"/>
        <v>0.1575</v>
      </c>
      <c r="G43" s="98">
        <f t="shared" si="17"/>
        <v>0.23624999999999999</v>
      </c>
      <c r="H43" s="98">
        <f t="shared" si="17"/>
        <v>0.22016129032258067</v>
      </c>
      <c r="I43" s="98">
        <f t="shared" si="17"/>
        <v>0.18899999999999997</v>
      </c>
      <c r="J43" s="98">
        <f t="shared" si="17"/>
        <v>0.18572580645161291</v>
      </c>
      <c r="K43" s="98">
        <f t="shared" si="17"/>
        <v>0.21282258064516127</v>
      </c>
      <c r="L43" s="98">
        <f t="shared" si="17"/>
        <v>0.26833333333333337</v>
      </c>
      <c r="M43" s="98">
        <f t="shared" si="17"/>
        <v>0.21733870967741933</v>
      </c>
      <c r="N43" s="98">
        <f t="shared" si="17"/>
        <v>0.24499999999999997</v>
      </c>
      <c r="O43" s="98">
        <f t="shared" si="17"/>
        <v>0.21959677419354839</v>
      </c>
      <c r="P43" s="98">
        <f>SUM(P12:P13)/P4</f>
        <v>0.16370967741935483</v>
      </c>
      <c r="Q43" s="98">
        <f t="shared" ref="Q43:AA43" si="18">SUM(Q12:Q13)/Q4</f>
        <v>0.20249999999999999</v>
      </c>
      <c r="R43" s="98">
        <f t="shared" si="18"/>
        <v>0.21903225806451615</v>
      </c>
      <c r="S43" s="98">
        <f t="shared" si="18"/>
        <v>0.24522222222222223</v>
      </c>
      <c r="T43" s="98">
        <f t="shared" si="18"/>
        <v>0.24951612903225809</v>
      </c>
      <c r="U43" s="98">
        <f t="shared" si="18"/>
        <v>0.28291666666666665</v>
      </c>
      <c r="V43" s="98">
        <f t="shared" si="18"/>
        <v>0.22411290322580646</v>
      </c>
      <c r="W43" s="98">
        <f t="shared" si="18"/>
        <v>0.22637096774193546</v>
      </c>
      <c r="X43" s="98">
        <f t="shared" si="18"/>
        <v>0.19600000000000001</v>
      </c>
      <c r="Y43" s="98">
        <f t="shared" si="18"/>
        <v>0.20774193548387096</v>
      </c>
      <c r="Z43" s="98">
        <f t="shared" si="18"/>
        <v>0.27358333333333335</v>
      </c>
      <c r="AA43" s="98">
        <f t="shared" si="18"/>
        <v>0.23991935483870969</v>
      </c>
    </row>
    <row r="44" spans="2:29" outlineLevel="1" x14ac:dyDescent="0.3">
      <c r="B44" s="178"/>
      <c r="C44" s="133" t="s">
        <v>35</v>
      </c>
      <c r="D44" s="97">
        <f t="shared" ref="D44:AA44" si="19">D43*D4</f>
        <v>94.919999999999987</v>
      </c>
      <c r="E44" s="97">
        <f t="shared" ref="E44" si="20">E43*E4</f>
        <v>99.54</v>
      </c>
      <c r="F44" s="97">
        <f t="shared" ref="F44" si="21">F43*F4</f>
        <v>117.18</v>
      </c>
      <c r="G44" s="97">
        <f t="shared" ref="G44" si="22">G43*G4</f>
        <v>170.1</v>
      </c>
      <c r="H44" s="97">
        <f t="shared" ref="H44" si="23">H43*H4</f>
        <v>163.80000000000001</v>
      </c>
      <c r="I44" s="97">
        <f t="shared" ref="I44" si="24">I43*I4</f>
        <v>136.07999999999998</v>
      </c>
      <c r="J44" s="97">
        <f t="shared" ref="J44" si="25">J43*J4</f>
        <v>138.18</v>
      </c>
      <c r="K44" s="97">
        <f t="shared" ref="K44" si="26">K43*K4</f>
        <v>158.33999999999997</v>
      </c>
      <c r="L44" s="97">
        <f t="shared" ref="L44" si="27">L43*L4</f>
        <v>193.20000000000002</v>
      </c>
      <c r="M44" s="97">
        <f t="shared" ref="M44" si="28">M43*M4</f>
        <v>161.69999999999999</v>
      </c>
      <c r="N44" s="97">
        <f t="shared" ref="N44" si="29">N43*N4</f>
        <v>176.39999999999998</v>
      </c>
      <c r="O44" s="97">
        <f t="shared" ref="O44" si="30">O43*O4</f>
        <v>163.38</v>
      </c>
      <c r="P44" s="97">
        <f t="shared" si="19"/>
        <v>121.8</v>
      </c>
      <c r="Q44" s="97">
        <f t="shared" si="19"/>
        <v>136.07999999999998</v>
      </c>
      <c r="R44" s="97">
        <f t="shared" si="19"/>
        <v>162.96</v>
      </c>
      <c r="S44" s="97">
        <f t="shared" si="19"/>
        <v>176.56</v>
      </c>
      <c r="T44" s="97">
        <f t="shared" si="19"/>
        <v>185.64000000000001</v>
      </c>
      <c r="U44" s="97">
        <f>U43*U4</f>
        <v>203.7</v>
      </c>
      <c r="V44" s="97">
        <f t="shared" si="19"/>
        <v>166.74</v>
      </c>
      <c r="W44" s="97">
        <f t="shared" si="19"/>
        <v>168.42</v>
      </c>
      <c r="X44" s="97">
        <f t="shared" si="19"/>
        <v>141.12</v>
      </c>
      <c r="Y44" s="97">
        <f t="shared" si="19"/>
        <v>154.56</v>
      </c>
      <c r="Z44" s="97">
        <f t="shared" si="19"/>
        <v>196.98000000000002</v>
      </c>
      <c r="AA44" s="97">
        <f t="shared" si="19"/>
        <v>178.5</v>
      </c>
    </row>
    <row r="45" spans="2:29" outlineLevel="1" x14ac:dyDescent="0.3">
      <c r="B45" s="178"/>
      <c r="C45" s="129" t="s">
        <v>36</v>
      </c>
      <c r="D45" s="39">
        <f t="shared" ref="D45" si="31">D44*1.1</f>
        <v>104.41199999999999</v>
      </c>
      <c r="E45" s="39">
        <f t="shared" ref="E45:O45" si="32">E44*1.1</f>
        <v>109.49400000000001</v>
      </c>
      <c r="F45" s="39">
        <f t="shared" si="32"/>
        <v>128.89800000000002</v>
      </c>
      <c r="G45" s="39">
        <f t="shared" si="32"/>
        <v>187.11</v>
      </c>
      <c r="H45" s="39">
        <f t="shared" si="32"/>
        <v>180.18000000000004</v>
      </c>
      <c r="I45" s="39">
        <f t="shared" si="32"/>
        <v>149.68799999999999</v>
      </c>
      <c r="J45" s="39">
        <f t="shared" si="32"/>
        <v>151.99800000000002</v>
      </c>
      <c r="K45" s="39">
        <f t="shared" si="32"/>
        <v>174.17399999999998</v>
      </c>
      <c r="L45" s="39">
        <f t="shared" si="32"/>
        <v>212.52000000000004</v>
      </c>
      <c r="M45" s="39">
        <f t="shared" si="32"/>
        <v>177.87</v>
      </c>
      <c r="N45" s="39">
        <f t="shared" si="32"/>
        <v>194.04</v>
      </c>
      <c r="O45" s="39">
        <f t="shared" si="32"/>
        <v>179.71800000000002</v>
      </c>
      <c r="P45" s="39">
        <f t="shared" ref="P45:AA45" si="33">P44*1.1</f>
        <v>133.98000000000002</v>
      </c>
      <c r="Q45" s="39">
        <f t="shared" si="33"/>
        <v>149.68799999999999</v>
      </c>
      <c r="R45" s="39">
        <f t="shared" si="33"/>
        <v>179.25600000000003</v>
      </c>
      <c r="S45" s="39">
        <f t="shared" si="33"/>
        <v>194.21600000000001</v>
      </c>
      <c r="T45" s="39">
        <f t="shared" si="33"/>
        <v>204.20400000000004</v>
      </c>
      <c r="U45" s="39">
        <f t="shared" si="33"/>
        <v>224.07</v>
      </c>
      <c r="V45" s="39">
        <f t="shared" si="33"/>
        <v>183.41400000000002</v>
      </c>
      <c r="W45" s="39">
        <f t="shared" si="33"/>
        <v>185.262</v>
      </c>
      <c r="X45" s="39">
        <f t="shared" si="33"/>
        <v>155.23200000000003</v>
      </c>
      <c r="Y45" s="39">
        <f t="shared" si="33"/>
        <v>170.01600000000002</v>
      </c>
      <c r="Z45" s="39">
        <f t="shared" si="33"/>
        <v>216.67800000000003</v>
      </c>
      <c r="AA45" s="39">
        <f t="shared" si="33"/>
        <v>196.35000000000002</v>
      </c>
    </row>
    <row r="46" spans="2:29" outlineLevel="1" x14ac:dyDescent="0.3">
      <c r="B46" s="178"/>
      <c r="C46" s="129" t="s">
        <v>37</v>
      </c>
      <c r="D46" s="40">
        <f t="shared" ref="D46" si="34">D44*0.9</f>
        <v>85.427999999999997</v>
      </c>
      <c r="E46" s="40">
        <f t="shared" ref="E46:O46" si="35">E44*0.9</f>
        <v>89.586000000000013</v>
      </c>
      <c r="F46" s="40">
        <f t="shared" si="35"/>
        <v>105.462</v>
      </c>
      <c r="G46" s="40">
        <f t="shared" si="35"/>
        <v>153.09</v>
      </c>
      <c r="H46" s="40">
        <f t="shared" si="35"/>
        <v>147.42000000000002</v>
      </c>
      <c r="I46" s="40">
        <f t="shared" si="35"/>
        <v>122.47199999999999</v>
      </c>
      <c r="J46" s="40">
        <f t="shared" si="35"/>
        <v>124.36200000000001</v>
      </c>
      <c r="K46" s="40">
        <f t="shared" si="35"/>
        <v>142.50599999999997</v>
      </c>
      <c r="L46" s="40">
        <f t="shared" si="35"/>
        <v>173.88000000000002</v>
      </c>
      <c r="M46" s="40">
        <f t="shared" si="35"/>
        <v>145.53</v>
      </c>
      <c r="N46" s="40">
        <f t="shared" si="35"/>
        <v>158.76</v>
      </c>
      <c r="O46" s="40">
        <f t="shared" si="35"/>
        <v>147.042</v>
      </c>
      <c r="P46" s="40">
        <f t="shared" ref="P46:AA46" si="36">P44*0.9</f>
        <v>109.62</v>
      </c>
      <c r="Q46" s="40">
        <f t="shared" si="36"/>
        <v>122.47199999999999</v>
      </c>
      <c r="R46" s="40">
        <f t="shared" si="36"/>
        <v>146.66400000000002</v>
      </c>
      <c r="S46" s="40">
        <f t="shared" si="36"/>
        <v>158.904</v>
      </c>
      <c r="T46" s="40">
        <f t="shared" si="36"/>
        <v>167.07600000000002</v>
      </c>
      <c r="U46" s="40">
        <f t="shared" si="36"/>
        <v>183.32999999999998</v>
      </c>
      <c r="V46" s="40">
        <f t="shared" si="36"/>
        <v>150.066</v>
      </c>
      <c r="W46" s="40">
        <f t="shared" si="36"/>
        <v>151.578</v>
      </c>
      <c r="X46" s="40">
        <f t="shared" si="36"/>
        <v>127.00800000000001</v>
      </c>
      <c r="Y46" s="40">
        <f t="shared" si="36"/>
        <v>139.10400000000001</v>
      </c>
      <c r="Z46" s="40">
        <f t="shared" si="36"/>
        <v>177.28200000000001</v>
      </c>
      <c r="AA46" s="40">
        <f t="shared" si="36"/>
        <v>160.65</v>
      </c>
    </row>
    <row r="47" spans="2:29" ht="9.75" customHeight="1" x14ac:dyDescent="0.3">
      <c r="B47" s="178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41"/>
    </row>
    <row r="48" spans="2:29" x14ac:dyDescent="0.3">
      <c r="B48" s="178"/>
      <c r="C48" s="129" t="s">
        <v>38</v>
      </c>
      <c r="D48" s="43">
        <f t="shared" ref="D48:O48" si="37">D44</f>
        <v>94.919999999999987</v>
      </c>
      <c r="E48" s="43">
        <f t="shared" si="37"/>
        <v>99.54</v>
      </c>
      <c r="F48" s="43">
        <f t="shared" si="37"/>
        <v>117.18</v>
      </c>
      <c r="G48" s="43">
        <f t="shared" si="37"/>
        <v>170.1</v>
      </c>
      <c r="H48" s="43">
        <f t="shared" si="37"/>
        <v>163.80000000000001</v>
      </c>
      <c r="I48" s="43">
        <f t="shared" si="37"/>
        <v>136.07999999999998</v>
      </c>
      <c r="J48" s="43">
        <f t="shared" si="37"/>
        <v>138.18</v>
      </c>
      <c r="K48" s="43">
        <f t="shared" si="37"/>
        <v>158.33999999999997</v>
      </c>
      <c r="L48" s="43">
        <f t="shared" si="37"/>
        <v>193.20000000000002</v>
      </c>
      <c r="M48" s="43">
        <f t="shared" si="37"/>
        <v>161.69999999999999</v>
      </c>
      <c r="N48" s="43">
        <f t="shared" si="37"/>
        <v>176.39999999999998</v>
      </c>
      <c r="O48" s="43">
        <f t="shared" si="37"/>
        <v>163.38</v>
      </c>
      <c r="P48" s="43">
        <f>P44</f>
        <v>121.8</v>
      </c>
      <c r="Q48" s="43">
        <f t="shared" ref="Q48:AA48" si="38">Q44</f>
        <v>136.07999999999998</v>
      </c>
      <c r="R48" s="43">
        <f t="shared" si="38"/>
        <v>162.96</v>
      </c>
      <c r="S48" s="43">
        <f t="shared" si="38"/>
        <v>176.56</v>
      </c>
      <c r="T48" s="43">
        <f t="shared" si="38"/>
        <v>185.64000000000001</v>
      </c>
      <c r="U48" s="43">
        <f t="shared" si="38"/>
        <v>203.7</v>
      </c>
      <c r="V48" s="43">
        <f t="shared" si="38"/>
        <v>166.74</v>
      </c>
      <c r="W48" s="43">
        <f t="shared" si="38"/>
        <v>168.42</v>
      </c>
      <c r="X48" s="43">
        <f t="shared" si="38"/>
        <v>141.12</v>
      </c>
      <c r="Y48" s="43">
        <f t="shared" si="38"/>
        <v>154.56</v>
      </c>
      <c r="Z48" s="43">
        <f t="shared" si="38"/>
        <v>196.98000000000002</v>
      </c>
      <c r="AA48" s="43">
        <f t="shared" si="38"/>
        <v>178.5</v>
      </c>
    </row>
    <row r="49" spans="2:29" x14ac:dyDescent="0.3">
      <c r="B49" s="178"/>
      <c r="C49" s="129" t="s">
        <v>39</v>
      </c>
      <c r="D49" s="127">
        <f>'SIMULAÇÃO CENÁRIOS'!$E$6</f>
        <v>175</v>
      </c>
      <c r="E49" s="127">
        <f>'SIMULAÇÃO CENÁRIOS'!$E$6</f>
        <v>175</v>
      </c>
      <c r="F49" s="127">
        <f>'SIMULAÇÃO CENÁRIOS'!$E$6</f>
        <v>175</v>
      </c>
      <c r="G49" s="127">
        <f>'SIMULAÇÃO CENÁRIOS'!$E$6</f>
        <v>175</v>
      </c>
      <c r="H49" s="127">
        <f>'SIMULAÇÃO CENÁRIOS'!$E$6</f>
        <v>175</v>
      </c>
      <c r="I49" s="127">
        <f>'SIMULAÇÃO CENÁRIOS'!$E$6</f>
        <v>175</v>
      </c>
      <c r="J49" s="127">
        <f>'SIMULAÇÃO CENÁRIOS'!$E$6</f>
        <v>175</v>
      </c>
      <c r="K49" s="127">
        <f>'SIMULAÇÃO CENÁRIOS'!$E$6</f>
        <v>175</v>
      </c>
      <c r="L49" s="127">
        <f>'SIMULAÇÃO CENÁRIOS'!$E$6</f>
        <v>175</v>
      </c>
      <c r="M49" s="127">
        <f>'SIMULAÇÃO CENÁRIOS'!$E$6</f>
        <v>175</v>
      </c>
      <c r="N49" s="127">
        <f>'SIMULAÇÃO CENÁRIOS'!$E$6</f>
        <v>175</v>
      </c>
      <c r="O49" s="127">
        <f>'SIMULAÇÃO CENÁRIOS'!$E$6</f>
        <v>175</v>
      </c>
      <c r="P49" s="127">
        <f>'SIMULAÇÃO CENÁRIOS'!$E$6</f>
        <v>175</v>
      </c>
      <c r="Q49" s="127">
        <f>'SIMULAÇÃO CENÁRIOS'!$E$6</f>
        <v>175</v>
      </c>
      <c r="R49" s="127">
        <f>'SIMULAÇÃO CENÁRIOS'!$E$6</f>
        <v>175</v>
      </c>
      <c r="S49" s="127">
        <f>'SIMULAÇÃO CENÁRIOS'!$E$6</f>
        <v>175</v>
      </c>
      <c r="T49" s="127">
        <f>'SIMULAÇÃO CENÁRIOS'!$E$6</f>
        <v>175</v>
      </c>
      <c r="U49" s="127">
        <f>'SIMULAÇÃO CENÁRIOS'!$E$6</f>
        <v>175</v>
      </c>
      <c r="V49" s="127">
        <f>'SIMULAÇÃO CENÁRIOS'!$E$6</f>
        <v>175</v>
      </c>
      <c r="W49" s="127">
        <f>'SIMULAÇÃO CENÁRIOS'!$E$6</f>
        <v>175</v>
      </c>
      <c r="X49" s="127">
        <f>'SIMULAÇÃO CENÁRIOS'!$E$6</f>
        <v>175</v>
      </c>
      <c r="Y49" s="127">
        <f>'SIMULAÇÃO CENÁRIOS'!$E$6</f>
        <v>175</v>
      </c>
      <c r="Z49" s="127">
        <f>'SIMULAÇÃO CENÁRIOS'!$E$6</f>
        <v>175</v>
      </c>
      <c r="AA49" s="127">
        <f>'SIMULAÇÃO CENÁRIOS'!$E$6</f>
        <v>175</v>
      </c>
    </row>
    <row r="50" spans="2:29" x14ac:dyDescent="0.3">
      <c r="B50" s="178"/>
      <c r="C50" s="129" t="s">
        <v>40</v>
      </c>
      <c r="D50" s="44">
        <f t="shared" ref="D50:O50" si="39">D48*D49/(1-$P$27)</f>
        <v>22754.794520547941</v>
      </c>
      <c r="E50" s="44">
        <f t="shared" si="39"/>
        <v>23862.328767123287</v>
      </c>
      <c r="F50" s="44">
        <f t="shared" si="39"/>
        <v>28091.095890410961</v>
      </c>
      <c r="G50" s="44">
        <f t="shared" si="39"/>
        <v>40777.397260273974</v>
      </c>
      <c r="H50" s="44">
        <f t="shared" si="39"/>
        <v>39267.123287671238</v>
      </c>
      <c r="I50" s="44">
        <f t="shared" si="39"/>
        <v>32621.917808219176</v>
      </c>
      <c r="J50" s="44">
        <f t="shared" si="39"/>
        <v>33125.342465753427</v>
      </c>
      <c r="K50" s="44">
        <f t="shared" si="39"/>
        <v>37958.219178082189</v>
      </c>
      <c r="L50" s="44">
        <f t="shared" si="39"/>
        <v>46315.068493150684</v>
      </c>
      <c r="M50" s="44">
        <f t="shared" si="39"/>
        <v>38763.698630136983</v>
      </c>
      <c r="N50" s="44">
        <f t="shared" si="39"/>
        <v>42287.67123287671</v>
      </c>
      <c r="O50" s="44">
        <f t="shared" si="39"/>
        <v>39166.438356164384</v>
      </c>
      <c r="P50" s="44">
        <f>P48*P49/(1-$P$27)</f>
        <v>29198.630136986303</v>
      </c>
      <c r="Q50" s="44">
        <f t="shared" ref="Q50:AA50" si="40">Q48*Q49/(1-$P$27)</f>
        <v>32621.917808219176</v>
      </c>
      <c r="R50" s="44">
        <f t="shared" si="40"/>
        <v>39065.753424657538</v>
      </c>
      <c r="S50" s="44">
        <f t="shared" si="40"/>
        <v>42326.027397260274</v>
      </c>
      <c r="T50" s="44">
        <f t="shared" si="40"/>
        <v>44502.739726027401</v>
      </c>
      <c r="U50" s="44">
        <f t="shared" si="40"/>
        <v>48832.191780821922</v>
      </c>
      <c r="V50" s="44">
        <f t="shared" si="40"/>
        <v>39971.917808219179</v>
      </c>
      <c r="W50" s="44">
        <f t="shared" si="40"/>
        <v>40374.657534246573</v>
      </c>
      <c r="X50" s="44">
        <f t="shared" si="40"/>
        <v>33830.136986301368</v>
      </c>
      <c r="Y50" s="44">
        <f t="shared" si="40"/>
        <v>37052.054794520547</v>
      </c>
      <c r="Z50" s="44">
        <f t="shared" si="40"/>
        <v>47221.232876712333</v>
      </c>
      <c r="AA50" s="44">
        <f t="shared" si="40"/>
        <v>42791.095890410958</v>
      </c>
    </row>
    <row r="51" spans="2:29" ht="9.75" customHeight="1" thickBot="1" x14ac:dyDescent="0.35">
      <c r="B51" s="178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45"/>
    </row>
    <row r="52" spans="2:29" ht="22.5" customHeight="1" thickBot="1" x14ac:dyDescent="0.35">
      <c r="B52" s="178"/>
      <c r="C52" s="134" t="s">
        <v>98</v>
      </c>
      <c r="D52" s="46">
        <f t="shared" ref="D52:O52" si="41">+D50+D37+D36</f>
        <v>69910.36246172442</v>
      </c>
      <c r="E52" s="46">
        <f t="shared" si="41"/>
        <v>70090.283473005635</v>
      </c>
      <c r="F52" s="46">
        <f t="shared" si="41"/>
        <v>80964.809419822734</v>
      </c>
      <c r="G52" s="46">
        <f t="shared" si="41"/>
        <v>113588.38726027397</v>
      </c>
      <c r="H52" s="46">
        <f t="shared" si="41"/>
        <v>110558.44211120065</v>
      </c>
      <c r="I52" s="46">
        <f t="shared" si="41"/>
        <v>93790.081631748588</v>
      </c>
      <c r="J52" s="46">
        <f t="shared" si="41"/>
        <v>95298.121583400498</v>
      </c>
      <c r="K52" s="46">
        <f t="shared" si="41"/>
        <v>108579.96535455278</v>
      </c>
      <c r="L52" s="46">
        <f t="shared" si="41"/>
        <v>132330.72261079776</v>
      </c>
      <c r="M52" s="46">
        <f t="shared" si="41"/>
        <v>107556.22745366639</v>
      </c>
      <c r="N52" s="46">
        <f t="shared" si="41"/>
        <v>115124.15770346495</v>
      </c>
      <c r="O52" s="46">
        <f t="shared" si="41"/>
        <v>105923.72747381145</v>
      </c>
      <c r="P52" s="46">
        <f>+P50+P37+P36</f>
        <v>84133.079842868654</v>
      </c>
      <c r="Q52" s="46">
        <f t="shared" ref="Q52:AA52" si="42">+Q50+Q37+Q36</f>
        <v>94654.386043513296</v>
      </c>
      <c r="R52" s="46">
        <f t="shared" si="42"/>
        <v>108759.88636583401</v>
      </c>
      <c r="S52" s="46">
        <f t="shared" si="42"/>
        <v>113687.96033843677</v>
      </c>
      <c r="T52" s="46">
        <f t="shared" si="42"/>
        <v>123105.42472602741</v>
      </c>
      <c r="U52" s="46">
        <f t="shared" si="42"/>
        <v>131740.32766317486</v>
      </c>
      <c r="V52" s="46">
        <f t="shared" si="42"/>
        <v>110129.60104351331</v>
      </c>
      <c r="W52" s="46">
        <f t="shared" si="42"/>
        <v>113726.71253424657</v>
      </c>
      <c r="X52" s="46">
        <f t="shared" si="42"/>
        <v>93375.105809830784</v>
      </c>
      <c r="Y52" s="46">
        <f t="shared" si="42"/>
        <v>103658.69979452054</v>
      </c>
      <c r="Z52" s="46">
        <f t="shared" si="42"/>
        <v>131221.2575825947</v>
      </c>
      <c r="AA52" s="46">
        <f t="shared" si="42"/>
        <v>115138.0229492345</v>
      </c>
      <c r="AC52" s="47">
        <f>SUM(D52:AA52)</f>
        <v>2527045.7532312651</v>
      </c>
    </row>
    <row r="53" spans="2:29" x14ac:dyDescent="0.3">
      <c r="B53" s="178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100"/>
    </row>
    <row r="54" spans="2:29" ht="50.25" customHeight="1" x14ac:dyDescent="0.3">
      <c r="B54" s="178"/>
      <c r="C54" s="172" t="s">
        <v>99</v>
      </c>
      <c r="D54" s="172"/>
      <c r="E54" s="172"/>
      <c r="F54" s="172"/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172"/>
      <c r="R54" s="172"/>
      <c r="S54" s="172"/>
      <c r="T54" s="172"/>
      <c r="U54" s="172"/>
      <c r="V54" s="172"/>
      <c r="W54" s="172"/>
      <c r="X54" s="172"/>
      <c r="Y54" s="172"/>
      <c r="Z54" s="172"/>
      <c r="AA54" s="173"/>
    </row>
    <row r="55" spans="2:29" x14ac:dyDescent="0.3">
      <c r="B55" s="178"/>
      <c r="C55" s="129" t="s">
        <v>101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3">
        <v>0</v>
      </c>
      <c r="R55" s="43">
        <v>0</v>
      </c>
      <c r="S55" s="43">
        <v>0</v>
      </c>
      <c r="T55" s="43">
        <v>0</v>
      </c>
      <c r="U55" s="43">
        <v>0</v>
      </c>
      <c r="V55" s="43">
        <v>0</v>
      </c>
      <c r="W55" s="43">
        <v>0</v>
      </c>
      <c r="X55" s="43">
        <v>0</v>
      </c>
      <c r="Y55" s="43">
        <v>0</v>
      </c>
      <c r="Z55" s="43">
        <v>0</v>
      </c>
      <c r="AA55" s="43">
        <v>0</v>
      </c>
    </row>
    <row r="56" spans="2:29" x14ac:dyDescent="0.3">
      <c r="B56" s="178"/>
      <c r="C56" s="129" t="s">
        <v>102</v>
      </c>
      <c r="D56" s="17">
        <f t="shared" ref="D56:O56" si="43">D9*D21+D11*D21*2</f>
        <v>13482.000000000002</v>
      </c>
      <c r="E56" s="17">
        <f t="shared" si="43"/>
        <v>13482.000000000002</v>
      </c>
      <c r="F56" s="17">
        <f t="shared" si="43"/>
        <v>13482.000000000002</v>
      </c>
      <c r="G56" s="17">
        <f t="shared" si="43"/>
        <v>13482.000000000002</v>
      </c>
      <c r="H56" s="17">
        <f t="shared" si="43"/>
        <v>13482.000000000002</v>
      </c>
      <c r="I56" s="17">
        <f t="shared" si="43"/>
        <v>13482.000000000002</v>
      </c>
      <c r="J56" s="17">
        <f t="shared" si="43"/>
        <v>13482.000000000002</v>
      </c>
      <c r="K56" s="17">
        <f t="shared" si="43"/>
        <v>13482.000000000002</v>
      </c>
      <c r="L56" s="17">
        <f t="shared" si="43"/>
        <v>15962.688000000002</v>
      </c>
      <c r="M56" s="17">
        <f t="shared" si="43"/>
        <v>13482.000000000002</v>
      </c>
      <c r="N56" s="17">
        <f t="shared" si="43"/>
        <v>13482.000000000002</v>
      </c>
      <c r="O56" s="17">
        <f t="shared" si="43"/>
        <v>13482.000000000002</v>
      </c>
      <c r="P56" s="17">
        <f>P9*P21+P11*P21*2</f>
        <v>13482.000000000002</v>
      </c>
      <c r="Q56" s="18">
        <f t="shared" ref="Q56:AA56" si="44">Q9*Q21+Q11*Q21*2</f>
        <v>16609.824000000004</v>
      </c>
      <c r="R56" s="18">
        <f t="shared" si="44"/>
        <v>13482.000000000002</v>
      </c>
      <c r="S56" s="18">
        <f t="shared" si="44"/>
        <v>13482.000000000002</v>
      </c>
      <c r="T56" s="18">
        <f t="shared" si="44"/>
        <v>16124.472000000003</v>
      </c>
      <c r="U56" s="18">
        <f t="shared" si="44"/>
        <v>13482.000000000002</v>
      </c>
      <c r="V56" s="18">
        <f t="shared" si="44"/>
        <v>13482.000000000002</v>
      </c>
      <c r="W56" s="18">
        <f t="shared" si="44"/>
        <v>13482.000000000002</v>
      </c>
      <c r="X56" s="18">
        <f t="shared" si="44"/>
        <v>13482.000000000002</v>
      </c>
      <c r="Y56" s="18">
        <f t="shared" si="44"/>
        <v>15639.120000000003</v>
      </c>
      <c r="Z56" s="18">
        <f t="shared" si="44"/>
        <v>15800.904000000004</v>
      </c>
      <c r="AA56" s="18">
        <f t="shared" si="44"/>
        <v>13482.000000000002</v>
      </c>
    </row>
    <row r="57" spans="2:29" x14ac:dyDescent="0.3">
      <c r="B57" s="178"/>
      <c r="C57" s="129" t="s">
        <v>103</v>
      </c>
      <c r="D57" s="102">
        <f t="shared" ref="D57:O57" si="45">D12*D22</f>
        <v>11403.907200000001</v>
      </c>
      <c r="E57" s="102">
        <f t="shared" si="45"/>
        <v>10317.820800000001</v>
      </c>
      <c r="F57" s="102">
        <f t="shared" si="45"/>
        <v>13576.08</v>
      </c>
      <c r="G57" s="102">
        <f t="shared" si="45"/>
        <v>23350.857599999999</v>
      </c>
      <c r="H57" s="102">
        <f t="shared" si="45"/>
        <v>22807.814400000003</v>
      </c>
      <c r="I57" s="102">
        <f t="shared" si="45"/>
        <v>17920.425599999999</v>
      </c>
      <c r="J57" s="102">
        <f t="shared" si="45"/>
        <v>18463.468799999999</v>
      </c>
      <c r="K57" s="102">
        <f t="shared" si="45"/>
        <v>22807.814400000003</v>
      </c>
      <c r="L57" s="102">
        <f t="shared" si="45"/>
        <v>28238.2464</v>
      </c>
      <c r="M57" s="102">
        <f t="shared" si="45"/>
        <v>21178.684799999999</v>
      </c>
      <c r="N57" s="102">
        <f t="shared" si="45"/>
        <v>22807.814400000003</v>
      </c>
      <c r="O57" s="102">
        <f t="shared" si="45"/>
        <v>19549.555199999999</v>
      </c>
      <c r="P57" s="102">
        <f>P12*P22</f>
        <v>14662.1664</v>
      </c>
      <c r="Q57" s="103">
        <f t="shared" ref="Q57:AA58" si="46">Q12*Q22</f>
        <v>15205.2096</v>
      </c>
      <c r="R57" s="103">
        <f t="shared" si="46"/>
        <v>21721.728000000003</v>
      </c>
      <c r="S57" s="103">
        <f t="shared" si="46"/>
        <v>21721.728000000003</v>
      </c>
      <c r="T57" s="103">
        <f t="shared" si="46"/>
        <v>23350.857599999999</v>
      </c>
      <c r="U57" s="103">
        <f t="shared" si="46"/>
        <v>27695.203200000004</v>
      </c>
      <c r="V57" s="103">
        <f t="shared" si="46"/>
        <v>21721.728000000003</v>
      </c>
      <c r="W57" s="103">
        <f t="shared" si="46"/>
        <v>23893.900799999999</v>
      </c>
      <c r="X57" s="103">
        <f t="shared" si="46"/>
        <v>16291.296</v>
      </c>
      <c r="Y57" s="103">
        <f t="shared" si="46"/>
        <v>17920.425599999999</v>
      </c>
      <c r="Z57" s="103">
        <f t="shared" si="46"/>
        <v>26609.1168</v>
      </c>
      <c r="AA57" s="103">
        <f t="shared" si="46"/>
        <v>22264.771199999999</v>
      </c>
    </row>
    <row r="58" spans="2:29" x14ac:dyDescent="0.3">
      <c r="B58" s="178"/>
      <c r="C58" s="129" t="s">
        <v>104</v>
      </c>
      <c r="D58" s="17">
        <f t="shared" ref="D58:O58" si="47">D13*D23</f>
        <v>7179.8789999999999</v>
      </c>
      <c r="E58" s="17">
        <f t="shared" si="47"/>
        <v>7635.1884</v>
      </c>
      <c r="F58" s="17">
        <f t="shared" si="47"/>
        <v>8896.0452000000005</v>
      </c>
      <c r="G58" s="17">
        <f t="shared" si="47"/>
        <v>12678.615599999999</v>
      </c>
      <c r="H58" s="17">
        <f t="shared" si="47"/>
        <v>12188.2824</v>
      </c>
      <c r="I58" s="17">
        <f t="shared" si="47"/>
        <v>10191.925799999999</v>
      </c>
      <c r="J58" s="17">
        <f t="shared" si="47"/>
        <v>10332.021000000001</v>
      </c>
      <c r="K58" s="17">
        <f t="shared" si="47"/>
        <v>11732.973</v>
      </c>
      <c r="L58" s="17">
        <f t="shared" si="47"/>
        <v>14289.710400000002</v>
      </c>
      <c r="M58" s="17">
        <f t="shared" si="47"/>
        <v>12118.2348</v>
      </c>
      <c r="N58" s="17">
        <f t="shared" si="47"/>
        <v>13238.9964</v>
      </c>
      <c r="O58" s="17">
        <f t="shared" si="47"/>
        <v>12363.401399999999</v>
      </c>
      <c r="P58" s="17">
        <f>P13*P23</f>
        <v>9211.259399999999</v>
      </c>
      <c r="Q58" s="18">
        <f t="shared" si="46"/>
        <v>10367.0448</v>
      </c>
      <c r="R58" s="18">
        <f t="shared" si="46"/>
        <v>12188.2824</v>
      </c>
      <c r="S58" s="18">
        <f t="shared" si="46"/>
        <v>13322.386399999999</v>
      </c>
      <c r="T58" s="18">
        <f t="shared" si="46"/>
        <v>13974.496200000001</v>
      </c>
      <c r="U58" s="18">
        <f t="shared" si="46"/>
        <v>15200.3292</v>
      </c>
      <c r="V58" s="18">
        <f t="shared" si="46"/>
        <v>12503.4966</v>
      </c>
      <c r="W58" s="18">
        <f t="shared" si="46"/>
        <v>12503.4966</v>
      </c>
      <c r="X58" s="18">
        <f t="shared" si="46"/>
        <v>10717.282800000001</v>
      </c>
      <c r="Y58" s="18">
        <f t="shared" si="46"/>
        <v>11732.973</v>
      </c>
      <c r="Z58" s="18">
        <f t="shared" si="46"/>
        <v>14709.996000000001</v>
      </c>
      <c r="AA58" s="18">
        <f t="shared" si="46"/>
        <v>13449.1392</v>
      </c>
    </row>
    <row r="59" spans="2:29" x14ac:dyDescent="0.3">
      <c r="B59" s="178"/>
      <c r="C59" s="129" t="s">
        <v>105</v>
      </c>
      <c r="D59" s="102">
        <f t="shared" ref="D59:O59" si="48">D12*D24</f>
        <v>3710.3976000000002</v>
      </c>
      <c r="E59" s="102">
        <f t="shared" si="48"/>
        <v>3357.0264000000002</v>
      </c>
      <c r="F59" s="102">
        <f t="shared" si="48"/>
        <v>4417.1400000000003</v>
      </c>
      <c r="G59" s="102">
        <f t="shared" si="48"/>
        <v>7597.4807999999994</v>
      </c>
      <c r="H59" s="102">
        <f t="shared" si="48"/>
        <v>7420.7952000000005</v>
      </c>
      <c r="I59" s="102">
        <f t="shared" si="48"/>
        <v>5830.6247999999996</v>
      </c>
      <c r="J59" s="102">
        <f t="shared" si="48"/>
        <v>6007.3103999999994</v>
      </c>
      <c r="K59" s="102">
        <f t="shared" si="48"/>
        <v>7420.7952000000005</v>
      </c>
      <c r="L59" s="102">
        <f t="shared" si="48"/>
        <v>9187.6512000000002</v>
      </c>
      <c r="M59" s="102">
        <f t="shared" si="48"/>
        <v>6890.7383999999993</v>
      </c>
      <c r="N59" s="102">
        <f t="shared" si="48"/>
        <v>7420.7952000000005</v>
      </c>
      <c r="O59" s="102">
        <f t="shared" si="48"/>
        <v>6360.6815999999999</v>
      </c>
      <c r="P59" s="102">
        <f>P12*P24</f>
        <v>4770.5111999999999</v>
      </c>
      <c r="Q59" s="103">
        <f t="shared" ref="Q59:AA60" si="49">Q12*Q24</f>
        <v>4947.1967999999997</v>
      </c>
      <c r="R59" s="103">
        <f t="shared" si="49"/>
        <v>7067.424</v>
      </c>
      <c r="S59" s="103">
        <f t="shared" si="49"/>
        <v>7067.424</v>
      </c>
      <c r="T59" s="103">
        <f t="shared" si="49"/>
        <v>7597.4807999999994</v>
      </c>
      <c r="U59" s="103">
        <f t="shared" si="49"/>
        <v>9010.9656000000014</v>
      </c>
      <c r="V59" s="103">
        <f t="shared" si="49"/>
        <v>7067.424</v>
      </c>
      <c r="W59" s="103">
        <f t="shared" si="49"/>
        <v>7774.1664000000001</v>
      </c>
      <c r="X59" s="103">
        <f t="shared" si="49"/>
        <v>5300.5680000000002</v>
      </c>
      <c r="Y59" s="103">
        <f t="shared" si="49"/>
        <v>5830.6247999999996</v>
      </c>
      <c r="Z59" s="103">
        <f t="shared" si="49"/>
        <v>8657.5944</v>
      </c>
      <c r="AA59" s="103">
        <f t="shared" si="49"/>
        <v>7244.1095999999998</v>
      </c>
    </row>
    <row r="60" spans="2:29" x14ac:dyDescent="0.3">
      <c r="B60" s="178"/>
      <c r="C60" s="129" t="s">
        <v>106</v>
      </c>
      <c r="D60" s="17">
        <f t="shared" ref="D60:O60" si="50">D13*D25</f>
        <v>21648.983999999997</v>
      </c>
      <c r="E60" s="17">
        <f t="shared" si="50"/>
        <v>23021.846400000002</v>
      </c>
      <c r="F60" s="17">
        <f t="shared" si="50"/>
        <v>26823.619200000001</v>
      </c>
      <c r="G60" s="17">
        <f t="shared" si="50"/>
        <v>38228.937599999997</v>
      </c>
      <c r="H60" s="17">
        <f t="shared" si="50"/>
        <v>36750.470399999998</v>
      </c>
      <c r="I60" s="17">
        <f t="shared" si="50"/>
        <v>30730.996800000001</v>
      </c>
      <c r="J60" s="17">
        <f t="shared" si="50"/>
        <v>31153.416000000001</v>
      </c>
      <c r="K60" s="17">
        <f t="shared" si="50"/>
        <v>35377.608</v>
      </c>
      <c r="L60" s="17">
        <f t="shared" si="50"/>
        <v>43086.758400000006</v>
      </c>
      <c r="M60" s="17">
        <f t="shared" si="50"/>
        <v>36539.260799999996</v>
      </c>
      <c r="N60" s="17">
        <f t="shared" si="50"/>
        <v>39918.614399999999</v>
      </c>
      <c r="O60" s="17">
        <f t="shared" si="50"/>
        <v>37278.494399999996</v>
      </c>
      <c r="P60" s="17">
        <f>P13*P25</f>
        <v>27774.062399999999</v>
      </c>
      <c r="Q60" s="18">
        <f t="shared" si="49"/>
        <v>31259.020799999998</v>
      </c>
      <c r="R60" s="18">
        <f t="shared" si="49"/>
        <v>36750.470399999998</v>
      </c>
      <c r="S60" s="18">
        <f t="shared" si="49"/>
        <v>40170.054400000001</v>
      </c>
      <c r="T60" s="18">
        <f t="shared" si="49"/>
        <v>42136.315200000005</v>
      </c>
      <c r="U60" s="18">
        <f t="shared" si="49"/>
        <v>45832.483200000002</v>
      </c>
      <c r="V60" s="18">
        <f t="shared" si="49"/>
        <v>37700.9136</v>
      </c>
      <c r="W60" s="18">
        <f t="shared" si="49"/>
        <v>37700.9136</v>
      </c>
      <c r="X60" s="18">
        <f t="shared" si="49"/>
        <v>32315.068800000001</v>
      </c>
      <c r="Y60" s="18">
        <f t="shared" si="49"/>
        <v>35377.608</v>
      </c>
      <c r="Z60" s="18">
        <f t="shared" si="49"/>
        <v>44354.016000000003</v>
      </c>
      <c r="AA60" s="18">
        <f t="shared" si="49"/>
        <v>40552.243199999997</v>
      </c>
    </row>
    <row r="61" spans="2:29" x14ac:dyDescent="0.3">
      <c r="B61" s="178"/>
      <c r="C61" s="130" t="s">
        <v>107</v>
      </c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103"/>
    </row>
    <row r="62" spans="2:29" x14ac:dyDescent="0.3">
      <c r="B62" s="178"/>
      <c r="C62" s="130" t="s">
        <v>110</v>
      </c>
      <c r="D62" s="21">
        <f t="shared" ref="D62:O62" si="51">SUM(D55:D61)/(1-SUM(D27:D28))*SUM(D27:D28)</f>
        <v>27023.608376470591</v>
      </c>
      <c r="E62" s="21">
        <f t="shared" si="51"/>
        <v>27206.53270588236</v>
      </c>
      <c r="F62" s="21">
        <f t="shared" si="51"/>
        <v>31621.122070588241</v>
      </c>
      <c r="G62" s="21">
        <f t="shared" si="51"/>
        <v>44864.890164705888</v>
      </c>
      <c r="H62" s="21">
        <f t="shared" si="51"/>
        <v>43599.699952941184</v>
      </c>
      <c r="I62" s="21">
        <f t="shared" si="51"/>
        <v>36779.281411764714</v>
      </c>
      <c r="J62" s="21">
        <f t="shared" si="51"/>
        <v>37382.689976470596</v>
      </c>
      <c r="K62" s="21">
        <f t="shared" si="51"/>
        <v>42739.38381176471</v>
      </c>
      <c r="L62" s="21">
        <f t="shared" si="51"/>
        <v>52124.731482352952</v>
      </c>
      <c r="M62" s="21">
        <f t="shared" si="51"/>
        <v>42451.255905882354</v>
      </c>
      <c r="N62" s="21">
        <f t="shared" si="51"/>
        <v>45585.044894117658</v>
      </c>
      <c r="O62" s="21">
        <f t="shared" si="51"/>
        <v>41898.415341176478</v>
      </c>
      <c r="P62" s="21">
        <f>SUM(P55:P61)/(1-SUM(P27:P28))*SUM(P27:P28)</f>
        <v>32894.117364705882</v>
      </c>
      <c r="Q62" s="22">
        <f t="shared" ref="Q62:AA62" si="52">SUM(Q55:Q61)/(1-SUM(Q27:Q28))*SUM(Q27:Q28)</f>
        <v>36888.609882352946</v>
      </c>
      <c r="R62" s="22">
        <f t="shared" si="52"/>
        <v>42922.308141176465</v>
      </c>
      <c r="S62" s="22">
        <f t="shared" si="52"/>
        <v>45065.220141176476</v>
      </c>
      <c r="T62" s="22">
        <f t="shared" si="52"/>
        <v>48556.998494117652</v>
      </c>
      <c r="U62" s="22">
        <f t="shared" si="52"/>
        <v>52339.285270588247</v>
      </c>
      <c r="V62" s="22">
        <f t="shared" si="52"/>
        <v>43517.91162352942</v>
      </c>
      <c r="W62" s="22">
        <f t="shared" si="52"/>
        <v>44872.695247058829</v>
      </c>
      <c r="X62" s="22">
        <f t="shared" si="52"/>
        <v>36755.866164705883</v>
      </c>
      <c r="Y62" s="22">
        <f t="shared" si="52"/>
        <v>40706.235952941177</v>
      </c>
      <c r="Z62" s="22">
        <f t="shared" si="52"/>
        <v>51826.648094117649</v>
      </c>
      <c r="AA62" s="22">
        <f t="shared" si="52"/>
        <v>45643.417976470591</v>
      </c>
    </row>
    <row r="63" spans="2:29" ht="17.25" thickBot="1" x14ac:dyDescent="0.35">
      <c r="B63" s="178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45"/>
    </row>
    <row r="64" spans="2:29" ht="22.5" customHeight="1" thickBot="1" x14ac:dyDescent="0.35">
      <c r="B64" s="178"/>
      <c r="C64" s="134" t="s">
        <v>109</v>
      </c>
      <c r="D64" s="46">
        <f t="shared" ref="D64:O64" si="53">+SUM(D55:D62)</f>
        <v>84448.776176470594</v>
      </c>
      <c r="E64" s="46">
        <f t="shared" si="53"/>
        <v>85020.414705882373</v>
      </c>
      <c r="F64" s="46">
        <f t="shared" si="53"/>
        <v>98816.006470588254</v>
      </c>
      <c r="G64" s="46">
        <f t="shared" si="53"/>
        <v>140202.7817647059</v>
      </c>
      <c r="H64" s="46">
        <f t="shared" si="53"/>
        <v>136249.0623529412</v>
      </c>
      <c r="I64" s="46">
        <f t="shared" si="53"/>
        <v>114935.2544117647</v>
      </c>
      <c r="J64" s="46">
        <f t="shared" si="53"/>
        <v>116820.9061764706</v>
      </c>
      <c r="K64" s="46">
        <f t="shared" si="53"/>
        <v>133560.57441176471</v>
      </c>
      <c r="L64" s="46">
        <f t="shared" si="53"/>
        <v>162889.78588235297</v>
      </c>
      <c r="M64" s="46">
        <f t="shared" si="53"/>
        <v>132660.17470588235</v>
      </c>
      <c r="N64" s="46">
        <f t="shared" si="53"/>
        <v>142453.26529411768</v>
      </c>
      <c r="O64" s="46">
        <f t="shared" si="53"/>
        <v>130932.54794117648</v>
      </c>
      <c r="P64" s="46">
        <f>+SUM(P55:P62)</f>
        <v>102794.11676470589</v>
      </c>
      <c r="Q64" s="46">
        <f t="shared" ref="Q64:AA64" si="54">+SUM(Q55:Q62)</f>
        <v>115276.90588235295</v>
      </c>
      <c r="R64" s="46">
        <f t="shared" si="54"/>
        <v>134132.21294117646</v>
      </c>
      <c r="S64" s="46">
        <f t="shared" si="54"/>
        <v>140828.8129411765</v>
      </c>
      <c r="T64" s="46">
        <f t="shared" si="54"/>
        <v>151740.62029411766</v>
      </c>
      <c r="U64" s="46">
        <f t="shared" si="54"/>
        <v>163560.26647058825</v>
      </c>
      <c r="V64" s="46">
        <f t="shared" si="54"/>
        <v>135993.47382352944</v>
      </c>
      <c r="W64" s="46">
        <f t="shared" si="54"/>
        <v>140227.17264705885</v>
      </c>
      <c r="X64" s="46">
        <f t="shared" si="54"/>
        <v>114862.08176470589</v>
      </c>
      <c r="Y64" s="46">
        <f t="shared" si="54"/>
        <v>127206.98735294117</v>
      </c>
      <c r="Z64" s="46">
        <f t="shared" si="54"/>
        <v>161958.27529411766</v>
      </c>
      <c r="AA64" s="46">
        <f t="shared" si="54"/>
        <v>142635.68117647059</v>
      </c>
      <c r="AC64" s="47">
        <f>SUM(D64:AA64)</f>
        <v>3110206.1576470598</v>
      </c>
    </row>
    <row r="65" spans="2:32" ht="17.25" thickBot="1" x14ac:dyDescent="0.35">
      <c r="B65" s="178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  <c r="AA65" s="41"/>
    </row>
    <row r="66" spans="2:32" ht="22.5" customHeight="1" thickBot="1" x14ac:dyDescent="0.35">
      <c r="B66" s="178"/>
      <c r="C66" s="134" t="s">
        <v>111</v>
      </c>
      <c r="D66" s="46">
        <f t="shared" ref="D66:O66" si="55">D64-D52</f>
        <v>14538.413714746173</v>
      </c>
      <c r="E66" s="46">
        <f t="shared" si="55"/>
        <v>14930.131232876738</v>
      </c>
      <c r="F66" s="46">
        <f t="shared" si="55"/>
        <v>17851.197050765521</v>
      </c>
      <c r="G66" s="46">
        <f t="shared" si="55"/>
        <v>26614.394504431926</v>
      </c>
      <c r="H66" s="46">
        <f t="shared" si="55"/>
        <v>25690.620241740544</v>
      </c>
      <c r="I66" s="46">
        <f t="shared" si="55"/>
        <v>21145.172780016117</v>
      </c>
      <c r="J66" s="46">
        <f t="shared" si="55"/>
        <v>21522.784593070101</v>
      </c>
      <c r="K66" s="46">
        <f t="shared" si="55"/>
        <v>24980.609057211928</v>
      </c>
      <c r="L66" s="46">
        <f t="shared" si="55"/>
        <v>30559.063271555206</v>
      </c>
      <c r="M66" s="46">
        <f t="shared" si="55"/>
        <v>25103.947252215963</v>
      </c>
      <c r="N66" s="46">
        <f t="shared" si="55"/>
        <v>27329.107590652726</v>
      </c>
      <c r="O66" s="46">
        <f t="shared" si="55"/>
        <v>25008.820467365033</v>
      </c>
      <c r="P66" s="46">
        <f>P64-P52</f>
        <v>18661.036921837236</v>
      </c>
      <c r="Q66" s="46">
        <f t="shared" ref="Q66:AA66" si="56">Q64-Q52</f>
        <v>20622.519838839653</v>
      </c>
      <c r="R66" s="46">
        <f t="shared" si="56"/>
        <v>25372.326575342449</v>
      </c>
      <c r="S66" s="46">
        <f t="shared" si="56"/>
        <v>27140.852602739731</v>
      </c>
      <c r="T66" s="46">
        <f t="shared" si="56"/>
        <v>28635.195568090247</v>
      </c>
      <c r="U66" s="46">
        <f t="shared" si="56"/>
        <v>31819.938807413389</v>
      </c>
      <c r="V66" s="46">
        <f t="shared" si="56"/>
        <v>25863.872780016129</v>
      </c>
      <c r="W66" s="46">
        <f t="shared" si="56"/>
        <v>26500.460112812274</v>
      </c>
      <c r="X66" s="46">
        <f t="shared" si="56"/>
        <v>21486.975954875103</v>
      </c>
      <c r="Y66" s="46">
        <f t="shared" si="56"/>
        <v>23548.287558420634</v>
      </c>
      <c r="Z66" s="46">
        <f t="shared" si="56"/>
        <v>30737.01771152296</v>
      </c>
      <c r="AA66" s="46">
        <f t="shared" si="56"/>
        <v>27497.658227236097</v>
      </c>
      <c r="AC66" s="47">
        <f>AC64-AC52</f>
        <v>583160.40441579465</v>
      </c>
    </row>
    <row r="67" spans="2:32" ht="23.25" customHeight="1" thickBot="1" x14ac:dyDescent="0.35">
      <c r="B67" s="179"/>
      <c r="C67" s="134" t="s">
        <v>112</v>
      </c>
      <c r="D67" s="105">
        <f t="shared" ref="D67:O67" si="57">D66/D64</f>
        <v>0.17215659448238299</v>
      </c>
      <c r="E67" s="105">
        <f t="shared" si="57"/>
        <v>0.1756064268155558</v>
      </c>
      <c r="F67" s="105">
        <f t="shared" si="57"/>
        <v>0.18065086506080144</v>
      </c>
      <c r="G67" s="105">
        <f t="shared" si="57"/>
        <v>0.18982786339501667</v>
      </c>
      <c r="H67" s="105">
        <f t="shared" si="57"/>
        <v>0.18855630855786187</v>
      </c>
      <c r="I67" s="105">
        <f t="shared" si="57"/>
        <v>0.18397464631923857</v>
      </c>
      <c r="J67" s="105">
        <f t="shared" si="57"/>
        <v>0.18423743914944135</v>
      </c>
      <c r="K67" s="105">
        <f t="shared" si="57"/>
        <v>0.18703580130014405</v>
      </c>
      <c r="L67" s="105">
        <f t="shared" si="57"/>
        <v>0.18760576733538387</v>
      </c>
      <c r="M67" s="105">
        <f t="shared" si="57"/>
        <v>0.18923499315354675</v>
      </c>
      <c r="N67" s="105">
        <f t="shared" si="57"/>
        <v>0.19184612956556235</v>
      </c>
      <c r="O67" s="105">
        <f t="shared" si="57"/>
        <v>0.19100537536778586</v>
      </c>
      <c r="P67" s="105">
        <f>P66/P64</f>
        <v>0.18153798591948656</v>
      </c>
      <c r="Q67" s="105">
        <f>Q66/Q64</f>
        <v>0.17889550106320673</v>
      </c>
      <c r="R67" s="105">
        <f t="shared" ref="R67:AA67" si="58">R66/R64</f>
        <v>0.18915908430191528</v>
      </c>
      <c r="S67" s="105">
        <f t="shared" si="58"/>
        <v>0.19272229905166019</v>
      </c>
      <c r="T67" s="105">
        <f t="shared" si="58"/>
        <v>0.18871147035373173</v>
      </c>
      <c r="U67" s="105">
        <f t="shared" si="58"/>
        <v>0.19454565276790692</v>
      </c>
      <c r="V67" s="105">
        <f t="shared" si="58"/>
        <v>0.19018466146087365</v>
      </c>
      <c r="W67" s="105">
        <f t="shared" si="58"/>
        <v>0.18898234637812972</v>
      </c>
      <c r="X67" s="105">
        <f t="shared" si="58"/>
        <v>0.18706761730900029</v>
      </c>
      <c r="Y67" s="105">
        <f t="shared" si="58"/>
        <v>0.18511787794396006</v>
      </c>
      <c r="Z67" s="105">
        <f t="shared" si="58"/>
        <v>0.18978355786824888</v>
      </c>
      <c r="AA67" s="105">
        <f t="shared" si="58"/>
        <v>0.19278246509171615</v>
      </c>
      <c r="AC67" s="106">
        <f>AC66/AC64</f>
        <v>0.18749895500720393</v>
      </c>
    </row>
    <row r="68" spans="2:32" x14ac:dyDescent="0.3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48"/>
    </row>
    <row r="69" spans="2:32" ht="17.25" thickBot="1" x14ac:dyDescent="0.35"/>
    <row r="70" spans="2:32" ht="45.75" x14ac:dyDescent="0.3">
      <c r="B70" s="177" t="s">
        <v>122</v>
      </c>
      <c r="C70" s="170" t="s">
        <v>100</v>
      </c>
      <c r="D70" s="170"/>
      <c r="E70" s="170"/>
      <c r="F70" s="170"/>
      <c r="G70" s="170"/>
      <c r="H70" s="170"/>
      <c r="I70" s="170"/>
      <c r="J70" s="170"/>
      <c r="K70" s="170"/>
      <c r="L70" s="170"/>
      <c r="M70" s="170"/>
      <c r="N70" s="170"/>
      <c r="O70" s="170"/>
      <c r="P70" s="170"/>
      <c r="Q70" s="170"/>
      <c r="R70" s="170"/>
      <c r="S70" s="170"/>
      <c r="T70" s="170"/>
      <c r="U70" s="170"/>
      <c r="V70" s="170"/>
      <c r="W70" s="170"/>
      <c r="X70" s="170"/>
      <c r="Y70" s="170"/>
      <c r="Z70" s="170"/>
      <c r="AA70" s="171"/>
      <c r="AC70" s="5"/>
    </row>
    <row r="71" spans="2:32" x14ac:dyDescent="0.3">
      <c r="B71" s="178"/>
      <c r="C71" s="128" t="s">
        <v>3</v>
      </c>
      <c r="D71" s="7">
        <v>43101</v>
      </c>
      <c r="E71" s="7">
        <v>43133</v>
      </c>
      <c r="F71" s="7">
        <v>43165</v>
      </c>
      <c r="G71" s="7">
        <v>43197</v>
      </c>
      <c r="H71" s="7">
        <v>43229</v>
      </c>
      <c r="I71" s="7">
        <v>43261</v>
      </c>
      <c r="J71" s="7">
        <v>43293</v>
      </c>
      <c r="K71" s="7">
        <v>43325</v>
      </c>
      <c r="L71" s="7">
        <v>43357</v>
      </c>
      <c r="M71" s="7">
        <v>43389</v>
      </c>
      <c r="N71" s="7">
        <v>43421</v>
      </c>
      <c r="O71" s="7">
        <v>43453</v>
      </c>
      <c r="P71" s="7">
        <v>43485</v>
      </c>
      <c r="Q71" s="7">
        <v>43517</v>
      </c>
      <c r="R71" s="7">
        <v>43549</v>
      </c>
      <c r="S71" s="7">
        <v>43581</v>
      </c>
      <c r="T71" s="7">
        <v>43613</v>
      </c>
      <c r="U71" s="7">
        <v>43645</v>
      </c>
      <c r="V71" s="7">
        <v>43677</v>
      </c>
      <c r="W71" s="7">
        <v>43709</v>
      </c>
      <c r="X71" s="7">
        <v>43741</v>
      </c>
      <c r="Y71" s="7">
        <v>43773</v>
      </c>
      <c r="Z71" s="7">
        <v>43805</v>
      </c>
      <c r="AA71" s="7">
        <v>43806</v>
      </c>
    </row>
    <row r="72" spans="2:32" x14ac:dyDescent="0.3">
      <c r="B72" s="178"/>
      <c r="C72" s="128" t="s">
        <v>4</v>
      </c>
      <c r="D72" s="6">
        <v>744</v>
      </c>
      <c r="E72" s="6">
        <v>696</v>
      </c>
      <c r="F72" s="6">
        <v>744</v>
      </c>
      <c r="G72" s="6">
        <v>720</v>
      </c>
      <c r="H72" s="6">
        <v>744</v>
      </c>
      <c r="I72" s="6">
        <v>720</v>
      </c>
      <c r="J72" s="6">
        <v>744</v>
      </c>
      <c r="K72" s="6">
        <v>744</v>
      </c>
      <c r="L72" s="6">
        <v>720</v>
      </c>
      <c r="M72" s="6">
        <v>744</v>
      </c>
      <c r="N72" s="6">
        <v>720</v>
      </c>
      <c r="O72" s="6">
        <v>744</v>
      </c>
      <c r="P72" s="6">
        <v>744</v>
      </c>
      <c r="Q72" s="6">
        <v>672</v>
      </c>
      <c r="R72" s="6">
        <v>744</v>
      </c>
      <c r="S72" s="6">
        <v>720</v>
      </c>
      <c r="T72" s="6">
        <v>744</v>
      </c>
      <c r="U72" s="6">
        <v>720</v>
      </c>
      <c r="V72" s="6">
        <v>744</v>
      </c>
      <c r="W72" s="6">
        <v>744</v>
      </c>
      <c r="X72" s="6">
        <v>720</v>
      </c>
      <c r="Y72" s="6">
        <v>744</v>
      </c>
      <c r="Z72" s="6">
        <v>720</v>
      </c>
      <c r="AA72" s="6">
        <v>744</v>
      </c>
    </row>
    <row r="73" spans="2:32" x14ac:dyDescent="0.3">
      <c r="B73" s="178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  <c r="AA73" s="8"/>
    </row>
    <row r="74" spans="2:32" x14ac:dyDescent="0.3">
      <c r="B74" s="178"/>
      <c r="C74" s="129" t="s">
        <v>5</v>
      </c>
      <c r="D74" s="9">
        <v>302.39999999999998</v>
      </c>
      <c r="E74" s="10">
        <v>159.6</v>
      </c>
      <c r="F74" s="10">
        <v>407.4</v>
      </c>
      <c r="G74" s="10">
        <v>445.2</v>
      </c>
      <c r="H74" s="10">
        <v>403.2</v>
      </c>
      <c r="I74" s="10">
        <v>336</v>
      </c>
      <c r="J74" s="9">
        <v>373.8</v>
      </c>
      <c r="K74" s="10">
        <v>453.6</v>
      </c>
      <c r="L74" s="10">
        <v>474.6</v>
      </c>
      <c r="M74" s="10">
        <v>436.8</v>
      </c>
      <c r="N74" s="10">
        <v>403.2</v>
      </c>
      <c r="O74" s="10">
        <v>403.2</v>
      </c>
      <c r="P74" s="10">
        <v>361.2</v>
      </c>
      <c r="Q74" s="10">
        <v>516.6</v>
      </c>
      <c r="R74" s="10">
        <v>449.4</v>
      </c>
      <c r="S74" s="10">
        <v>386.4</v>
      </c>
      <c r="T74" s="10">
        <v>445.2</v>
      </c>
      <c r="U74" s="10">
        <v>441</v>
      </c>
      <c r="V74" s="10">
        <v>407.4</v>
      </c>
      <c r="W74" s="10">
        <v>386.4</v>
      </c>
      <c r="X74" s="10">
        <v>327.60000000000002</v>
      </c>
      <c r="Y74" s="10">
        <v>373.8</v>
      </c>
      <c r="Z74" s="10">
        <v>420</v>
      </c>
      <c r="AA74" s="10">
        <v>449.4</v>
      </c>
      <c r="AB74" s="2"/>
      <c r="AC74" s="94" t="s">
        <v>92</v>
      </c>
      <c r="AD74" s="96" t="s">
        <v>96</v>
      </c>
      <c r="AE74" s="94" t="s">
        <v>97</v>
      </c>
      <c r="AF74" s="104" t="s">
        <v>108</v>
      </c>
    </row>
    <row r="75" spans="2:32" x14ac:dyDescent="0.3">
      <c r="B75" s="178"/>
      <c r="C75" s="129" t="s">
        <v>41</v>
      </c>
      <c r="D75" s="11">
        <v>457.8</v>
      </c>
      <c r="E75" s="12">
        <v>336</v>
      </c>
      <c r="F75" s="12">
        <v>693</v>
      </c>
      <c r="G75" s="12">
        <v>659.4</v>
      </c>
      <c r="H75" s="12">
        <v>617.4</v>
      </c>
      <c r="I75" s="12">
        <v>512.4</v>
      </c>
      <c r="J75" s="11">
        <v>592.20000000000005</v>
      </c>
      <c r="K75" s="12">
        <v>680.4</v>
      </c>
      <c r="L75" s="12">
        <v>764.4</v>
      </c>
      <c r="M75" s="12">
        <v>701.4</v>
      </c>
      <c r="N75" s="12">
        <v>718.2</v>
      </c>
      <c r="O75" s="12">
        <v>701.4</v>
      </c>
      <c r="P75" s="12">
        <v>638.4</v>
      </c>
      <c r="Q75" s="12">
        <v>781.2</v>
      </c>
      <c r="R75" s="12">
        <v>722.4</v>
      </c>
      <c r="S75" s="12">
        <v>672</v>
      </c>
      <c r="T75" s="12">
        <v>768.6</v>
      </c>
      <c r="U75" s="12">
        <v>730.8</v>
      </c>
      <c r="V75" s="12">
        <v>709.8</v>
      </c>
      <c r="W75" s="12">
        <v>621.6</v>
      </c>
      <c r="X75" s="12">
        <v>583.79999999999995</v>
      </c>
      <c r="Y75" s="12">
        <v>756</v>
      </c>
      <c r="Z75" s="12">
        <v>760.2</v>
      </c>
      <c r="AA75" s="12">
        <v>693</v>
      </c>
      <c r="AB75" s="2"/>
      <c r="AC75" s="94" t="s">
        <v>93</v>
      </c>
      <c r="AD75" s="95">
        <v>0</v>
      </c>
      <c r="AE75" s="96">
        <v>175</v>
      </c>
      <c r="AF75" s="104">
        <v>13.43</v>
      </c>
    </row>
    <row r="76" spans="2:32" x14ac:dyDescent="0.3">
      <c r="B76" s="178"/>
      <c r="C76" s="129" t="s">
        <v>6</v>
      </c>
      <c r="D76" s="13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3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2"/>
      <c r="AC76" s="94" t="s">
        <v>94</v>
      </c>
      <c r="AD76" s="95">
        <v>0.5</v>
      </c>
      <c r="AE76" s="96">
        <v>220</v>
      </c>
      <c r="AF76" s="104">
        <v>41.69</v>
      </c>
    </row>
    <row r="77" spans="2:32" x14ac:dyDescent="0.3">
      <c r="B77" s="178"/>
      <c r="C77" s="129" t="s">
        <v>7</v>
      </c>
      <c r="D77" s="11">
        <v>700</v>
      </c>
      <c r="E77" s="12">
        <v>700</v>
      </c>
      <c r="F77" s="12">
        <v>700</v>
      </c>
      <c r="G77" s="12">
        <v>700</v>
      </c>
      <c r="H77" s="12">
        <v>700</v>
      </c>
      <c r="I77" s="12">
        <v>700</v>
      </c>
      <c r="J77" s="11">
        <v>700</v>
      </c>
      <c r="K77" s="12">
        <v>700</v>
      </c>
      <c r="L77" s="12">
        <v>700</v>
      </c>
      <c r="M77" s="12">
        <v>700</v>
      </c>
      <c r="N77" s="12">
        <v>700</v>
      </c>
      <c r="O77" s="12">
        <v>700</v>
      </c>
      <c r="P77" s="12">
        <v>700</v>
      </c>
      <c r="Q77" s="12">
        <v>700</v>
      </c>
      <c r="R77" s="12">
        <v>700</v>
      </c>
      <c r="S77" s="12">
        <v>700</v>
      </c>
      <c r="T77" s="12">
        <v>700</v>
      </c>
      <c r="U77" s="12">
        <v>700</v>
      </c>
      <c r="V77" s="12">
        <v>700</v>
      </c>
      <c r="W77" s="12">
        <v>700</v>
      </c>
      <c r="X77" s="12">
        <v>700</v>
      </c>
      <c r="Y77" s="12">
        <v>700</v>
      </c>
      <c r="Z77" s="12">
        <v>700</v>
      </c>
      <c r="AA77" s="12">
        <v>700</v>
      </c>
      <c r="AB77" s="2"/>
      <c r="AC77" s="94" t="s">
        <v>95</v>
      </c>
      <c r="AD77" s="95">
        <v>1</v>
      </c>
      <c r="AE77" s="96">
        <v>310</v>
      </c>
      <c r="AF77" s="104">
        <v>62.43</v>
      </c>
    </row>
    <row r="78" spans="2:32" x14ac:dyDescent="0.3">
      <c r="B78" s="178"/>
      <c r="C78" s="129" t="s">
        <v>8</v>
      </c>
      <c r="D78" s="16">
        <f t="shared" ref="D78:AA78" si="59">IF(D87="Verde",0,IF(D74&gt;D76*1.05,D74-D76,0))</f>
        <v>0</v>
      </c>
      <c r="E78" s="16">
        <f t="shared" si="59"/>
        <v>0</v>
      </c>
      <c r="F78" s="16">
        <f t="shared" si="59"/>
        <v>0</v>
      </c>
      <c r="G78" s="16">
        <f t="shared" si="59"/>
        <v>0</v>
      </c>
      <c r="H78" s="16">
        <f t="shared" si="59"/>
        <v>0</v>
      </c>
      <c r="I78" s="16">
        <f t="shared" si="59"/>
        <v>0</v>
      </c>
      <c r="J78" s="16">
        <f t="shared" si="59"/>
        <v>0</v>
      </c>
      <c r="K78" s="16">
        <f t="shared" si="59"/>
        <v>0</v>
      </c>
      <c r="L78" s="16">
        <f t="shared" si="59"/>
        <v>0</v>
      </c>
      <c r="M78" s="16">
        <f t="shared" si="59"/>
        <v>0</v>
      </c>
      <c r="N78" s="16">
        <f t="shared" si="59"/>
        <v>0</v>
      </c>
      <c r="O78" s="16">
        <f t="shared" si="59"/>
        <v>0</v>
      </c>
      <c r="P78" s="16">
        <f t="shared" si="59"/>
        <v>0</v>
      </c>
      <c r="Q78" s="16">
        <f t="shared" si="59"/>
        <v>0</v>
      </c>
      <c r="R78" s="16">
        <f t="shared" si="59"/>
        <v>0</v>
      </c>
      <c r="S78" s="16">
        <f t="shared" si="59"/>
        <v>0</v>
      </c>
      <c r="T78" s="16">
        <f t="shared" si="59"/>
        <v>0</v>
      </c>
      <c r="U78" s="16">
        <f t="shared" si="59"/>
        <v>0</v>
      </c>
      <c r="V78" s="16">
        <f t="shared" si="59"/>
        <v>0</v>
      </c>
      <c r="W78" s="16">
        <f t="shared" si="59"/>
        <v>0</v>
      </c>
      <c r="X78" s="16">
        <f t="shared" si="59"/>
        <v>0</v>
      </c>
      <c r="Y78" s="16">
        <f t="shared" si="59"/>
        <v>0</v>
      </c>
      <c r="Z78" s="16">
        <f t="shared" si="59"/>
        <v>0</v>
      </c>
      <c r="AA78" s="16">
        <f t="shared" si="59"/>
        <v>0</v>
      </c>
      <c r="AB78" s="2"/>
    </row>
    <row r="79" spans="2:32" x14ac:dyDescent="0.3">
      <c r="B79" s="178"/>
      <c r="C79" s="129" t="s">
        <v>9</v>
      </c>
      <c r="D79" s="18">
        <f t="shared" ref="D79:AA79" si="60">IF(D75&gt;D77*1.05,D75-D77,0)</f>
        <v>0</v>
      </c>
      <c r="E79" s="18">
        <f t="shared" si="60"/>
        <v>0</v>
      </c>
      <c r="F79" s="18">
        <f t="shared" si="60"/>
        <v>0</v>
      </c>
      <c r="G79" s="18">
        <f t="shared" si="60"/>
        <v>0</v>
      </c>
      <c r="H79" s="18">
        <f t="shared" si="60"/>
        <v>0</v>
      </c>
      <c r="I79" s="18">
        <f t="shared" si="60"/>
        <v>0</v>
      </c>
      <c r="J79" s="18">
        <f t="shared" si="60"/>
        <v>0</v>
      </c>
      <c r="K79" s="18">
        <f t="shared" si="60"/>
        <v>0</v>
      </c>
      <c r="L79" s="18">
        <f t="shared" si="60"/>
        <v>64.399999999999977</v>
      </c>
      <c r="M79" s="18">
        <f t="shared" si="60"/>
        <v>0</v>
      </c>
      <c r="N79" s="18">
        <f t="shared" si="60"/>
        <v>0</v>
      </c>
      <c r="O79" s="18">
        <f t="shared" si="60"/>
        <v>0</v>
      </c>
      <c r="P79" s="18">
        <f t="shared" si="60"/>
        <v>0</v>
      </c>
      <c r="Q79" s="18">
        <f t="shared" si="60"/>
        <v>81.200000000000045</v>
      </c>
      <c r="R79" s="18">
        <f t="shared" si="60"/>
        <v>0</v>
      </c>
      <c r="S79" s="18">
        <f t="shared" si="60"/>
        <v>0</v>
      </c>
      <c r="T79" s="18">
        <f t="shared" si="60"/>
        <v>68.600000000000023</v>
      </c>
      <c r="U79" s="18">
        <f t="shared" si="60"/>
        <v>0</v>
      </c>
      <c r="V79" s="18">
        <f t="shared" si="60"/>
        <v>0</v>
      </c>
      <c r="W79" s="18">
        <f t="shared" si="60"/>
        <v>0</v>
      </c>
      <c r="X79" s="18">
        <f t="shared" si="60"/>
        <v>0</v>
      </c>
      <c r="Y79" s="18">
        <f t="shared" si="60"/>
        <v>56</v>
      </c>
      <c r="Z79" s="18">
        <f t="shared" si="60"/>
        <v>60.200000000000045</v>
      </c>
      <c r="AA79" s="18">
        <f t="shared" si="60"/>
        <v>0</v>
      </c>
      <c r="AB79" s="1" t="s">
        <v>43</v>
      </c>
    </row>
    <row r="80" spans="2:32" x14ac:dyDescent="0.3">
      <c r="B80" s="178"/>
      <c r="C80" s="129" t="s">
        <v>10</v>
      </c>
      <c r="D80" s="15">
        <v>8.82</v>
      </c>
      <c r="E80" s="16">
        <v>7.98</v>
      </c>
      <c r="F80" s="16">
        <v>10.5</v>
      </c>
      <c r="G80" s="16">
        <v>18.059999999999999</v>
      </c>
      <c r="H80" s="16">
        <v>17.64</v>
      </c>
      <c r="I80" s="16">
        <v>13.86</v>
      </c>
      <c r="J80" s="15">
        <v>14.28</v>
      </c>
      <c r="K80" s="16">
        <v>17.64</v>
      </c>
      <c r="L80" s="16">
        <v>21.84</v>
      </c>
      <c r="M80" s="16">
        <v>16.38</v>
      </c>
      <c r="N80" s="16">
        <v>17.64</v>
      </c>
      <c r="O80" s="16">
        <v>15.12</v>
      </c>
      <c r="P80" s="16">
        <v>11.34</v>
      </c>
      <c r="Q80" s="16">
        <v>11.76</v>
      </c>
      <c r="R80" s="16">
        <v>16.8</v>
      </c>
      <c r="S80" s="16">
        <v>16.8</v>
      </c>
      <c r="T80" s="16">
        <v>18.059999999999999</v>
      </c>
      <c r="U80" s="16">
        <v>21.42</v>
      </c>
      <c r="V80" s="16">
        <v>16.8</v>
      </c>
      <c r="W80" s="16">
        <v>18.48</v>
      </c>
      <c r="X80" s="16">
        <v>12.6</v>
      </c>
      <c r="Y80" s="16">
        <v>13.86</v>
      </c>
      <c r="Z80" s="16">
        <v>20.58</v>
      </c>
      <c r="AA80" s="16">
        <v>17.22</v>
      </c>
      <c r="AB80" s="2"/>
    </row>
    <row r="81" spans="2:32" x14ac:dyDescent="0.3">
      <c r="B81" s="178"/>
      <c r="C81" s="129" t="s">
        <v>11</v>
      </c>
      <c r="D81" s="17">
        <v>86.1</v>
      </c>
      <c r="E81" s="18">
        <v>91.56</v>
      </c>
      <c r="F81" s="18">
        <v>106.68</v>
      </c>
      <c r="G81" s="18">
        <v>152.04</v>
      </c>
      <c r="H81" s="18">
        <v>146.16</v>
      </c>
      <c r="I81" s="18">
        <v>122.22</v>
      </c>
      <c r="J81" s="17">
        <v>123.9</v>
      </c>
      <c r="K81" s="18">
        <v>140.69999999999999</v>
      </c>
      <c r="L81" s="18">
        <v>171.36</v>
      </c>
      <c r="M81" s="18">
        <v>145.32</v>
      </c>
      <c r="N81" s="18">
        <v>158.76</v>
      </c>
      <c r="O81" s="18">
        <v>148.26</v>
      </c>
      <c r="P81" s="18">
        <v>110.46</v>
      </c>
      <c r="Q81" s="18">
        <v>124.32</v>
      </c>
      <c r="R81" s="18">
        <v>146.16</v>
      </c>
      <c r="S81" s="18">
        <v>159.76</v>
      </c>
      <c r="T81" s="18">
        <v>167.58</v>
      </c>
      <c r="U81" s="18">
        <v>182.28</v>
      </c>
      <c r="V81" s="18">
        <v>149.94</v>
      </c>
      <c r="W81" s="18">
        <v>149.94</v>
      </c>
      <c r="X81" s="18">
        <v>128.52000000000001</v>
      </c>
      <c r="Y81" s="18">
        <v>140.69999999999999</v>
      </c>
      <c r="Z81" s="18">
        <v>176.4</v>
      </c>
      <c r="AA81" s="18">
        <v>161.28</v>
      </c>
      <c r="AB81" s="2"/>
      <c r="AC81" s="1" t="s">
        <v>45</v>
      </c>
      <c r="AD81" s="1">
        <f>SUM(P80:AA81)/SUM(P72:AA72)</f>
        <v>0.22751826484018267</v>
      </c>
      <c r="AF81" s="1">
        <v>145</v>
      </c>
    </row>
    <row r="82" spans="2:32" x14ac:dyDescent="0.3">
      <c r="B82" s="178"/>
      <c r="C82" s="129" t="s">
        <v>0</v>
      </c>
      <c r="D82" s="19" t="s">
        <v>44</v>
      </c>
      <c r="E82" s="20" t="s">
        <v>44</v>
      </c>
      <c r="F82" s="20" t="s">
        <v>44</v>
      </c>
      <c r="G82" s="20" t="s">
        <v>44</v>
      </c>
      <c r="H82" s="20" t="s">
        <v>44</v>
      </c>
      <c r="I82" s="20" t="s">
        <v>44</v>
      </c>
      <c r="J82" s="19" t="s">
        <v>44</v>
      </c>
      <c r="K82" s="20" t="s">
        <v>44</v>
      </c>
      <c r="L82" s="20" t="s">
        <v>44</v>
      </c>
      <c r="M82" s="20" t="s">
        <v>44</v>
      </c>
      <c r="N82" s="20" t="s">
        <v>44</v>
      </c>
      <c r="O82" s="20" t="s">
        <v>44</v>
      </c>
      <c r="P82" s="20" t="s">
        <v>44</v>
      </c>
      <c r="Q82" s="20" t="s">
        <v>44</v>
      </c>
      <c r="R82" s="20" t="s">
        <v>44</v>
      </c>
      <c r="S82" s="20" t="s">
        <v>44</v>
      </c>
      <c r="T82" s="20" t="s">
        <v>44</v>
      </c>
      <c r="U82" s="20" t="s">
        <v>44</v>
      </c>
      <c r="V82" s="20" t="s">
        <v>44</v>
      </c>
      <c r="W82" s="20" t="s">
        <v>44</v>
      </c>
      <c r="X82" s="20" t="s">
        <v>44</v>
      </c>
      <c r="Y82" s="20" t="s">
        <v>44</v>
      </c>
      <c r="Z82" s="20" t="s">
        <v>44</v>
      </c>
      <c r="AA82" s="20" t="s">
        <v>44</v>
      </c>
      <c r="AB82" s="2"/>
      <c r="AC82" s="1" t="s">
        <v>91</v>
      </c>
      <c r="AD82" s="93">
        <f>SUM(P80:AA80)/SUM(P80:AA81)</f>
        <v>9.8200756625490437E-2</v>
      </c>
      <c r="AF82" s="1">
        <v>17.64</v>
      </c>
    </row>
    <row r="83" spans="2:32" x14ac:dyDescent="0.3">
      <c r="B83" s="178"/>
      <c r="C83" s="107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7"/>
      <c r="AA83" s="108"/>
      <c r="AD83" s="1">
        <v>0.12392200974878137</v>
      </c>
      <c r="AF83" s="1">
        <f>AF81+AF82</f>
        <v>162.63999999999999</v>
      </c>
    </row>
    <row r="84" spans="2:32" x14ac:dyDescent="0.3">
      <c r="B84" s="178"/>
      <c r="C84" s="129" t="s">
        <v>12</v>
      </c>
      <c r="D84" s="126">
        <f>'SIMULAÇÃO CENÁRIOS'!$D$7</f>
        <v>0.5</v>
      </c>
      <c r="E84" s="126">
        <f>'SIMULAÇÃO CENÁRIOS'!$D$7</f>
        <v>0.5</v>
      </c>
      <c r="F84" s="126">
        <f>'SIMULAÇÃO CENÁRIOS'!$D$7</f>
        <v>0.5</v>
      </c>
      <c r="G84" s="126">
        <f>'SIMULAÇÃO CENÁRIOS'!$D$7</f>
        <v>0.5</v>
      </c>
      <c r="H84" s="126">
        <f>'SIMULAÇÃO CENÁRIOS'!$D$7</f>
        <v>0.5</v>
      </c>
      <c r="I84" s="126">
        <f>'SIMULAÇÃO CENÁRIOS'!$D$7</f>
        <v>0.5</v>
      </c>
      <c r="J84" s="126">
        <f>'SIMULAÇÃO CENÁRIOS'!$D$7</f>
        <v>0.5</v>
      </c>
      <c r="K84" s="126">
        <f>'SIMULAÇÃO CENÁRIOS'!$D$7</f>
        <v>0.5</v>
      </c>
      <c r="L84" s="126">
        <f>'SIMULAÇÃO CENÁRIOS'!$D$7</f>
        <v>0.5</v>
      </c>
      <c r="M84" s="126">
        <f>'SIMULAÇÃO CENÁRIOS'!$D$7</f>
        <v>0.5</v>
      </c>
      <c r="N84" s="126">
        <f>'SIMULAÇÃO CENÁRIOS'!$D$7</f>
        <v>0.5</v>
      </c>
      <c r="O84" s="126">
        <f>'SIMULAÇÃO CENÁRIOS'!$D$7</f>
        <v>0.5</v>
      </c>
      <c r="P84" s="126">
        <f>'SIMULAÇÃO CENÁRIOS'!$D$7</f>
        <v>0.5</v>
      </c>
      <c r="Q84" s="126">
        <f>'SIMULAÇÃO CENÁRIOS'!$D$7</f>
        <v>0.5</v>
      </c>
      <c r="R84" s="126">
        <f>'SIMULAÇÃO CENÁRIOS'!$D$7</f>
        <v>0.5</v>
      </c>
      <c r="S84" s="126">
        <f>'SIMULAÇÃO CENÁRIOS'!$D$7</f>
        <v>0.5</v>
      </c>
      <c r="T84" s="126">
        <f>'SIMULAÇÃO CENÁRIOS'!$D$7</f>
        <v>0.5</v>
      </c>
      <c r="U84" s="126">
        <f>'SIMULAÇÃO CENÁRIOS'!$D$7</f>
        <v>0.5</v>
      </c>
      <c r="V84" s="126">
        <f>'SIMULAÇÃO CENÁRIOS'!$D$7</f>
        <v>0.5</v>
      </c>
      <c r="W84" s="126">
        <f>'SIMULAÇÃO CENÁRIOS'!$D$7</f>
        <v>0.5</v>
      </c>
      <c r="X84" s="126">
        <f>'SIMULAÇÃO CENÁRIOS'!$D$7</f>
        <v>0.5</v>
      </c>
      <c r="Y84" s="126">
        <f>'SIMULAÇÃO CENÁRIOS'!$D$7</f>
        <v>0.5</v>
      </c>
      <c r="Z84" s="126">
        <f>'SIMULAÇÃO CENÁRIOS'!$D$7</f>
        <v>0.5</v>
      </c>
      <c r="AA84" s="126">
        <f>'SIMULAÇÃO CENÁRIOS'!$D$7</f>
        <v>0.5</v>
      </c>
    </row>
    <row r="85" spans="2:32" x14ac:dyDescent="0.3">
      <c r="B85" s="178"/>
      <c r="C85" s="107"/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  <c r="W85" s="107"/>
      <c r="X85" s="107"/>
      <c r="Y85" s="107"/>
      <c r="Z85" s="107"/>
      <c r="AA85" s="108"/>
    </row>
    <row r="86" spans="2:32" x14ac:dyDescent="0.3">
      <c r="B86" s="178"/>
      <c r="C86" s="129" t="s">
        <v>13</v>
      </c>
      <c r="D86" s="9" t="s">
        <v>1</v>
      </c>
      <c r="E86" s="10" t="s">
        <v>1</v>
      </c>
      <c r="F86" s="10" t="s">
        <v>1</v>
      </c>
      <c r="G86" s="10" t="s">
        <v>1</v>
      </c>
      <c r="H86" s="10" t="s">
        <v>1</v>
      </c>
      <c r="I86" s="10" t="s">
        <v>1</v>
      </c>
      <c r="J86" s="9" t="s">
        <v>1</v>
      </c>
      <c r="K86" s="10" t="s">
        <v>1</v>
      </c>
      <c r="L86" s="10" t="s">
        <v>1</v>
      </c>
      <c r="M86" s="10" t="s">
        <v>1</v>
      </c>
      <c r="N86" s="10" t="s">
        <v>1</v>
      </c>
      <c r="O86" s="10" t="s">
        <v>1</v>
      </c>
      <c r="P86" s="9" t="s">
        <v>1</v>
      </c>
      <c r="Q86" s="9" t="s">
        <v>1</v>
      </c>
      <c r="R86" s="9" t="s">
        <v>1</v>
      </c>
      <c r="S86" s="9" t="s">
        <v>1</v>
      </c>
      <c r="T86" s="9" t="s">
        <v>1</v>
      </c>
      <c r="U86" s="9" t="s">
        <v>1</v>
      </c>
      <c r="V86" s="9" t="s">
        <v>1</v>
      </c>
      <c r="W86" s="9" t="s">
        <v>1</v>
      </c>
      <c r="X86" s="9" t="s">
        <v>1</v>
      </c>
      <c r="Y86" s="9" t="s">
        <v>1</v>
      </c>
      <c r="Z86" s="9" t="s">
        <v>1</v>
      </c>
      <c r="AA86" s="9" t="s">
        <v>1</v>
      </c>
      <c r="AF86" s="92">
        <f>AF83*1000</f>
        <v>162640</v>
      </c>
    </row>
    <row r="87" spans="2:32" x14ac:dyDescent="0.3">
      <c r="B87" s="178"/>
      <c r="C87" s="129" t="s">
        <v>14</v>
      </c>
      <c r="D87" s="11" t="s">
        <v>42</v>
      </c>
      <c r="E87" s="12" t="s">
        <v>42</v>
      </c>
      <c r="F87" s="12" t="s">
        <v>42</v>
      </c>
      <c r="G87" s="12" t="s">
        <v>42</v>
      </c>
      <c r="H87" s="12" t="s">
        <v>42</v>
      </c>
      <c r="I87" s="12" t="s">
        <v>42</v>
      </c>
      <c r="J87" s="11" t="s">
        <v>42</v>
      </c>
      <c r="K87" s="12" t="s">
        <v>42</v>
      </c>
      <c r="L87" s="12" t="s">
        <v>42</v>
      </c>
      <c r="M87" s="12" t="s">
        <v>42</v>
      </c>
      <c r="N87" s="12" t="s">
        <v>42</v>
      </c>
      <c r="O87" s="12" t="s">
        <v>42</v>
      </c>
      <c r="P87" s="12" t="s">
        <v>42</v>
      </c>
      <c r="Q87" s="12" t="s">
        <v>42</v>
      </c>
      <c r="R87" s="12" t="s">
        <v>42</v>
      </c>
      <c r="S87" s="12" t="s">
        <v>42</v>
      </c>
      <c r="T87" s="12" t="s">
        <v>42</v>
      </c>
      <c r="U87" s="12" t="s">
        <v>42</v>
      </c>
      <c r="V87" s="12" t="s">
        <v>42</v>
      </c>
      <c r="W87" s="12" t="s">
        <v>42</v>
      </c>
      <c r="X87" s="12" t="s">
        <v>42</v>
      </c>
      <c r="Y87" s="12" t="s">
        <v>42</v>
      </c>
      <c r="Z87" s="12" t="s">
        <v>42</v>
      </c>
      <c r="AA87" s="12" t="s">
        <v>42</v>
      </c>
      <c r="AF87" s="92">
        <f>AF86/100</f>
        <v>1626.4</v>
      </c>
    </row>
    <row r="88" spans="2:32" x14ac:dyDescent="0.3">
      <c r="B88" s="178"/>
      <c r="C88" s="129" t="s">
        <v>15</v>
      </c>
      <c r="D88" s="13">
        <v>49.84</v>
      </c>
      <c r="E88" s="14">
        <v>49.84</v>
      </c>
      <c r="F88" s="14">
        <v>49.84</v>
      </c>
      <c r="G88" s="14">
        <v>49.84</v>
      </c>
      <c r="H88" s="14">
        <v>49.84</v>
      </c>
      <c r="I88" s="14">
        <v>49.84</v>
      </c>
      <c r="J88" s="13">
        <v>49.84</v>
      </c>
      <c r="K88" s="14">
        <v>49.84</v>
      </c>
      <c r="L88" s="14">
        <v>49.84</v>
      </c>
      <c r="M88" s="14">
        <v>49.84</v>
      </c>
      <c r="N88" s="14">
        <v>49.84</v>
      </c>
      <c r="O88" s="14">
        <v>49.84</v>
      </c>
      <c r="P88" s="14">
        <v>49.84</v>
      </c>
      <c r="Q88" s="14">
        <v>49.84</v>
      </c>
      <c r="R88" s="14">
        <v>49.84</v>
      </c>
      <c r="S88" s="14">
        <v>49.84</v>
      </c>
      <c r="T88" s="14">
        <v>49.84</v>
      </c>
      <c r="U88" s="14">
        <v>49.84</v>
      </c>
      <c r="V88" s="14">
        <v>49.84</v>
      </c>
      <c r="W88" s="14">
        <v>49.84</v>
      </c>
      <c r="X88" s="14">
        <v>49.84</v>
      </c>
      <c r="Y88" s="14">
        <v>49.84</v>
      </c>
      <c r="Z88" s="14">
        <v>49.84</v>
      </c>
      <c r="AA88" s="14">
        <v>49.84</v>
      </c>
      <c r="AF88" s="1">
        <f>AF87*1.343</f>
        <v>2184.2552000000001</v>
      </c>
    </row>
    <row r="89" spans="2:32" x14ac:dyDescent="0.3">
      <c r="B89" s="178"/>
      <c r="C89" s="129" t="s">
        <v>16</v>
      </c>
      <c r="D89" s="11">
        <v>19.260000000000002</v>
      </c>
      <c r="E89" s="12">
        <v>19.260000000000002</v>
      </c>
      <c r="F89" s="12">
        <v>19.260000000000002</v>
      </c>
      <c r="G89" s="12">
        <v>19.260000000000002</v>
      </c>
      <c r="H89" s="12">
        <v>19.260000000000002</v>
      </c>
      <c r="I89" s="12">
        <v>19.260000000000002</v>
      </c>
      <c r="J89" s="11">
        <v>19.260000000000002</v>
      </c>
      <c r="K89" s="12">
        <v>19.260000000000002</v>
      </c>
      <c r="L89" s="12">
        <v>19.260000000000002</v>
      </c>
      <c r="M89" s="12">
        <v>19.260000000000002</v>
      </c>
      <c r="N89" s="12">
        <v>19.260000000000002</v>
      </c>
      <c r="O89" s="12">
        <v>19.260000000000002</v>
      </c>
      <c r="P89" s="12">
        <v>19.260000000000002</v>
      </c>
      <c r="Q89" s="12">
        <v>19.260000000000002</v>
      </c>
      <c r="R89" s="12">
        <v>19.260000000000002</v>
      </c>
      <c r="S89" s="12">
        <v>19.260000000000002</v>
      </c>
      <c r="T89" s="12">
        <v>19.260000000000002</v>
      </c>
      <c r="U89" s="12">
        <v>19.260000000000002</v>
      </c>
      <c r="V89" s="12">
        <v>19.260000000000002</v>
      </c>
      <c r="W89" s="12">
        <v>19.260000000000002</v>
      </c>
      <c r="X89" s="12">
        <v>19.260000000000002</v>
      </c>
      <c r="Y89" s="12">
        <v>19.260000000000002</v>
      </c>
      <c r="Z89" s="12">
        <v>19.260000000000002</v>
      </c>
      <c r="AA89" s="12">
        <v>19.260000000000002</v>
      </c>
    </row>
    <row r="90" spans="2:32" x14ac:dyDescent="0.3">
      <c r="B90" s="178"/>
      <c r="C90" s="129" t="s">
        <v>17</v>
      </c>
      <c r="D90" s="15">
        <v>1292.96</v>
      </c>
      <c r="E90" s="16">
        <v>1292.96</v>
      </c>
      <c r="F90" s="16">
        <v>1292.96</v>
      </c>
      <c r="G90" s="16">
        <v>1292.96</v>
      </c>
      <c r="H90" s="16">
        <v>1292.96</v>
      </c>
      <c r="I90" s="16">
        <v>1292.96</v>
      </c>
      <c r="J90" s="15">
        <v>1292.96</v>
      </c>
      <c r="K90" s="16">
        <v>1292.96</v>
      </c>
      <c r="L90" s="16">
        <v>1292.96</v>
      </c>
      <c r="M90" s="16">
        <v>1292.96</v>
      </c>
      <c r="N90" s="16">
        <v>1292.96</v>
      </c>
      <c r="O90" s="16">
        <v>1292.96</v>
      </c>
      <c r="P90" s="16">
        <v>1292.96</v>
      </c>
      <c r="Q90" s="16">
        <v>1292.96</v>
      </c>
      <c r="R90" s="16">
        <v>1292.96</v>
      </c>
      <c r="S90" s="16">
        <v>1292.96</v>
      </c>
      <c r="T90" s="16">
        <v>1292.96</v>
      </c>
      <c r="U90" s="16">
        <v>1292.96</v>
      </c>
      <c r="V90" s="16">
        <v>1292.96</v>
      </c>
      <c r="W90" s="16">
        <v>1292.96</v>
      </c>
      <c r="X90" s="16">
        <v>1292.96</v>
      </c>
      <c r="Y90" s="16">
        <v>1292.96</v>
      </c>
      <c r="Z90" s="16">
        <v>1292.96</v>
      </c>
      <c r="AA90" s="16">
        <v>1292.96</v>
      </c>
    </row>
    <row r="91" spans="2:32" x14ac:dyDescent="0.3">
      <c r="B91" s="178"/>
      <c r="C91" s="129" t="s">
        <v>18</v>
      </c>
      <c r="D91" s="17">
        <v>83.39</v>
      </c>
      <c r="E91" s="18">
        <v>83.39</v>
      </c>
      <c r="F91" s="18">
        <v>83.39</v>
      </c>
      <c r="G91" s="18">
        <v>83.39</v>
      </c>
      <c r="H91" s="18">
        <v>83.39</v>
      </c>
      <c r="I91" s="18">
        <v>83.39</v>
      </c>
      <c r="J91" s="17">
        <v>83.39</v>
      </c>
      <c r="K91" s="18">
        <v>83.39</v>
      </c>
      <c r="L91" s="18">
        <v>83.39</v>
      </c>
      <c r="M91" s="18">
        <v>83.39</v>
      </c>
      <c r="N91" s="18">
        <v>83.39</v>
      </c>
      <c r="O91" s="18">
        <v>83.39</v>
      </c>
      <c r="P91" s="18">
        <v>83.39</v>
      </c>
      <c r="Q91" s="18">
        <v>83.39</v>
      </c>
      <c r="R91" s="18">
        <v>83.39</v>
      </c>
      <c r="S91" s="18">
        <v>83.39</v>
      </c>
      <c r="T91" s="18">
        <v>83.39</v>
      </c>
      <c r="U91" s="18">
        <v>83.39</v>
      </c>
      <c r="V91" s="18">
        <v>83.39</v>
      </c>
      <c r="W91" s="18">
        <v>83.39</v>
      </c>
      <c r="X91" s="18">
        <v>83.39</v>
      </c>
      <c r="Y91" s="18">
        <v>83.39</v>
      </c>
      <c r="Z91" s="18">
        <v>83.39</v>
      </c>
      <c r="AA91" s="18">
        <v>83.39</v>
      </c>
    </row>
    <row r="92" spans="2:32" x14ac:dyDescent="0.3">
      <c r="B92" s="178"/>
      <c r="C92" s="129" t="s">
        <v>19</v>
      </c>
      <c r="D92" s="15">
        <v>420.68</v>
      </c>
      <c r="E92" s="16">
        <v>420.68</v>
      </c>
      <c r="F92" s="16">
        <v>420.68</v>
      </c>
      <c r="G92" s="16">
        <v>420.68</v>
      </c>
      <c r="H92" s="16">
        <v>420.68</v>
      </c>
      <c r="I92" s="16">
        <v>420.68</v>
      </c>
      <c r="J92" s="15">
        <v>420.68</v>
      </c>
      <c r="K92" s="16">
        <v>420.68</v>
      </c>
      <c r="L92" s="16">
        <v>420.68</v>
      </c>
      <c r="M92" s="16">
        <v>420.68</v>
      </c>
      <c r="N92" s="16">
        <v>420.68</v>
      </c>
      <c r="O92" s="16">
        <v>420.68</v>
      </c>
      <c r="P92" s="16">
        <v>420.68</v>
      </c>
      <c r="Q92" s="16">
        <v>420.68</v>
      </c>
      <c r="R92" s="16">
        <v>420.68</v>
      </c>
      <c r="S92" s="16">
        <v>420.68</v>
      </c>
      <c r="T92" s="16">
        <v>420.68</v>
      </c>
      <c r="U92" s="16">
        <v>420.68</v>
      </c>
      <c r="V92" s="16">
        <v>420.68</v>
      </c>
      <c r="W92" s="16">
        <v>420.68</v>
      </c>
      <c r="X92" s="16">
        <v>420.68</v>
      </c>
      <c r="Y92" s="16">
        <v>420.68</v>
      </c>
      <c r="Z92" s="16">
        <v>420.68</v>
      </c>
      <c r="AA92" s="16">
        <v>420.68</v>
      </c>
    </row>
    <row r="93" spans="2:32" x14ac:dyDescent="0.3">
      <c r="B93" s="178"/>
      <c r="C93" s="130" t="s">
        <v>20</v>
      </c>
      <c r="D93" s="21">
        <v>251.44</v>
      </c>
      <c r="E93" s="22">
        <v>251.44</v>
      </c>
      <c r="F93" s="22">
        <v>251.44</v>
      </c>
      <c r="G93" s="22">
        <v>251.44</v>
      </c>
      <c r="H93" s="22">
        <v>251.44</v>
      </c>
      <c r="I93" s="22">
        <v>251.44</v>
      </c>
      <c r="J93" s="21">
        <v>251.44</v>
      </c>
      <c r="K93" s="22">
        <v>251.44</v>
      </c>
      <c r="L93" s="22">
        <v>251.44</v>
      </c>
      <c r="M93" s="22">
        <v>251.44</v>
      </c>
      <c r="N93" s="22">
        <v>251.44</v>
      </c>
      <c r="O93" s="22">
        <v>251.44</v>
      </c>
      <c r="P93" s="22">
        <v>251.44</v>
      </c>
      <c r="Q93" s="22">
        <v>251.44</v>
      </c>
      <c r="R93" s="22">
        <v>251.44</v>
      </c>
      <c r="S93" s="22">
        <v>251.44</v>
      </c>
      <c r="T93" s="22">
        <v>251.44</v>
      </c>
      <c r="U93" s="22">
        <v>251.44</v>
      </c>
      <c r="V93" s="22">
        <v>251.44</v>
      </c>
      <c r="W93" s="22">
        <v>251.44</v>
      </c>
      <c r="X93" s="22">
        <v>251.44</v>
      </c>
      <c r="Y93" s="22">
        <v>251.44</v>
      </c>
      <c r="Z93" s="22">
        <v>251.44</v>
      </c>
      <c r="AA93" s="22">
        <v>251.44</v>
      </c>
    </row>
    <row r="94" spans="2:32" x14ac:dyDescent="0.3">
      <c r="B94" s="178"/>
      <c r="C94" s="107"/>
      <c r="D94" s="107"/>
      <c r="E94" s="107"/>
      <c r="F94" s="107"/>
      <c r="G94" s="107"/>
      <c r="H94" s="107"/>
      <c r="I94" s="107"/>
      <c r="J94" s="107"/>
      <c r="K94" s="107"/>
      <c r="L94" s="107"/>
      <c r="M94" s="107"/>
      <c r="N94" s="107"/>
      <c r="O94" s="107"/>
      <c r="P94" s="107"/>
      <c r="Q94" s="107"/>
      <c r="R94" s="107"/>
      <c r="S94" s="107"/>
      <c r="T94" s="107"/>
      <c r="U94" s="107"/>
      <c r="V94" s="107"/>
      <c r="W94" s="107"/>
      <c r="X94" s="107"/>
      <c r="Y94" s="107"/>
      <c r="Z94" s="107"/>
      <c r="AA94" s="23"/>
    </row>
    <row r="95" spans="2:32" x14ac:dyDescent="0.3">
      <c r="B95" s="178"/>
      <c r="C95" s="129" t="s">
        <v>21</v>
      </c>
      <c r="D95" s="24">
        <v>0.27</v>
      </c>
      <c r="E95" s="24">
        <v>0.27</v>
      </c>
      <c r="F95" s="24">
        <v>0.27</v>
      </c>
      <c r="G95" s="24">
        <v>0.27</v>
      </c>
      <c r="H95" s="24">
        <v>0.27</v>
      </c>
      <c r="I95" s="24">
        <v>0.27</v>
      </c>
      <c r="J95" s="24">
        <v>0.27</v>
      </c>
      <c r="K95" s="24">
        <v>0.27</v>
      </c>
      <c r="L95" s="24">
        <v>0.27</v>
      </c>
      <c r="M95" s="24">
        <v>0.27</v>
      </c>
      <c r="N95" s="24">
        <v>0.27</v>
      </c>
      <c r="O95" s="24">
        <v>0.27</v>
      </c>
      <c r="P95" s="24">
        <v>0.27</v>
      </c>
      <c r="Q95" s="24">
        <v>0.27</v>
      </c>
      <c r="R95" s="24">
        <v>0.27</v>
      </c>
      <c r="S95" s="24">
        <v>0.27</v>
      </c>
      <c r="T95" s="24">
        <v>0.27</v>
      </c>
      <c r="U95" s="24">
        <v>0.27</v>
      </c>
      <c r="V95" s="24">
        <v>0.27</v>
      </c>
      <c r="W95" s="24">
        <v>0.27</v>
      </c>
      <c r="X95" s="24">
        <v>0.27</v>
      </c>
      <c r="Y95" s="24">
        <v>0.27</v>
      </c>
      <c r="Z95" s="24">
        <v>0.27</v>
      </c>
      <c r="AA95" s="24">
        <v>0.27</v>
      </c>
    </row>
    <row r="96" spans="2:32" x14ac:dyDescent="0.3">
      <c r="B96" s="178"/>
      <c r="C96" s="129" t="s">
        <v>22</v>
      </c>
      <c r="D96" s="25">
        <v>0.05</v>
      </c>
      <c r="E96" s="26">
        <v>0.05</v>
      </c>
      <c r="F96" s="26">
        <v>0.05</v>
      </c>
      <c r="G96" s="26">
        <v>0.05</v>
      </c>
      <c r="H96" s="26">
        <v>0.05</v>
      </c>
      <c r="I96" s="26">
        <v>0.05</v>
      </c>
      <c r="J96" s="25">
        <v>0.05</v>
      </c>
      <c r="K96" s="26">
        <v>0.05</v>
      </c>
      <c r="L96" s="26">
        <v>0.05</v>
      </c>
      <c r="M96" s="26">
        <v>0.05</v>
      </c>
      <c r="N96" s="26">
        <v>0.05</v>
      </c>
      <c r="O96" s="26">
        <v>0.05</v>
      </c>
      <c r="P96" s="26">
        <v>0.05</v>
      </c>
      <c r="Q96" s="26">
        <v>0.05</v>
      </c>
      <c r="R96" s="26">
        <v>0.05</v>
      </c>
      <c r="S96" s="26">
        <v>0.05</v>
      </c>
      <c r="T96" s="26">
        <v>0.05</v>
      </c>
      <c r="U96" s="26">
        <v>0.05</v>
      </c>
      <c r="V96" s="26">
        <v>0.05</v>
      </c>
      <c r="W96" s="26">
        <v>0.05</v>
      </c>
      <c r="X96" s="26">
        <v>0.05</v>
      </c>
      <c r="Y96" s="26">
        <v>0.05</v>
      </c>
      <c r="Z96" s="26">
        <v>0.05</v>
      </c>
      <c r="AA96" s="26">
        <v>0.05</v>
      </c>
    </row>
    <row r="97" spans="2:29" x14ac:dyDescent="0.3">
      <c r="B97" s="178"/>
      <c r="C97" s="107"/>
      <c r="D97" s="107"/>
      <c r="E97" s="107"/>
      <c r="F97" s="107"/>
      <c r="G97" s="107"/>
      <c r="H97" s="107"/>
      <c r="I97" s="107"/>
      <c r="J97" s="107"/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07"/>
      <c r="V97" s="107"/>
      <c r="W97" s="107"/>
      <c r="X97" s="107"/>
      <c r="Y97" s="107"/>
      <c r="Z97" s="107"/>
      <c r="AA97" s="23"/>
    </row>
    <row r="98" spans="2:29" x14ac:dyDescent="0.3">
      <c r="B98" s="178"/>
      <c r="C98" s="131" t="s">
        <v>23</v>
      </c>
      <c r="D98" s="27">
        <f>IF(D87="Azul",D76*D88*(1-D84),0)</f>
        <v>0</v>
      </c>
      <c r="E98" s="28">
        <f t="shared" ref="E98:O98" si="61">IF(E87="Azul",E76*E88*(1-E84),0)</f>
        <v>0</v>
      </c>
      <c r="F98" s="28">
        <f t="shared" si="61"/>
        <v>0</v>
      </c>
      <c r="G98" s="28">
        <f t="shared" si="61"/>
        <v>0</v>
      </c>
      <c r="H98" s="28">
        <f t="shared" si="61"/>
        <v>0</v>
      </c>
      <c r="I98" s="28">
        <f t="shared" si="61"/>
        <v>0</v>
      </c>
      <c r="J98" s="27">
        <f t="shared" si="61"/>
        <v>0</v>
      </c>
      <c r="K98" s="28">
        <f t="shared" si="61"/>
        <v>0</v>
      </c>
      <c r="L98" s="28">
        <f t="shared" si="61"/>
        <v>0</v>
      </c>
      <c r="M98" s="28">
        <f t="shared" si="61"/>
        <v>0</v>
      </c>
      <c r="N98" s="28">
        <f t="shared" si="61"/>
        <v>0</v>
      </c>
      <c r="O98" s="28">
        <f t="shared" si="61"/>
        <v>0</v>
      </c>
      <c r="P98" s="27">
        <f>IF(P87="Azul",P76*P88*(1-P84),0)</f>
        <v>0</v>
      </c>
      <c r="Q98" s="28">
        <f t="shared" ref="Q98:AA98" si="62">IF(Q87="Azul",Q76*Q88*(1-Q84),0)</f>
        <v>0</v>
      </c>
      <c r="R98" s="28">
        <f t="shared" si="62"/>
        <v>0</v>
      </c>
      <c r="S98" s="28">
        <f t="shared" si="62"/>
        <v>0</v>
      </c>
      <c r="T98" s="28">
        <f t="shared" si="62"/>
        <v>0</v>
      </c>
      <c r="U98" s="28">
        <f t="shared" si="62"/>
        <v>0</v>
      </c>
      <c r="V98" s="28">
        <f t="shared" si="62"/>
        <v>0</v>
      </c>
      <c r="W98" s="28">
        <f t="shared" si="62"/>
        <v>0</v>
      </c>
      <c r="X98" s="28">
        <f t="shared" si="62"/>
        <v>0</v>
      </c>
      <c r="Y98" s="28">
        <f t="shared" si="62"/>
        <v>0</v>
      </c>
      <c r="Z98" s="28">
        <f t="shared" si="62"/>
        <v>0</v>
      </c>
      <c r="AA98" s="28">
        <f t="shared" si="62"/>
        <v>0</v>
      </c>
    </row>
    <row r="99" spans="2:29" x14ac:dyDescent="0.3">
      <c r="B99" s="178"/>
      <c r="C99" s="131" t="s">
        <v>24</v>
      </c>
      <c r="D99" s="29">
        <f>D78*D88*2</f>
        <v>0</v>
      </c>
      <c r="E99" s="30">
        <f t="shared" ref="E99:O99" si="63">E78*E88*2</f>
        <v>0</v>
      </c>
      <c r="F99" s="30">
        <f t="shared" si="63"/>
        <v>0</v>
      </c>
      <c r="G99" s="30">
        <f t="shared" si="63"/>
        <v>0</v>
      </c>
      <c r="H99" s="30">
        <f t="shared" si="63"/>
        <v>0</v>
      </c>
      <c r="I99" s="30">
        <f t="shared" si="63"/>
        <v>0</v>
      </c>
      <c r="J99" s="29">
        <f t="shared" si="63"/>
        <v>0</v>
      </c>
      <c r="K99" s="30">
        <f t="shared" si="63"/>
        <v>0</v>
      </c>
      <c r="L99" s="30">
        <f t="shared" si="63"/>
        <v>0</v>
      </c>
      <c r="M99" s="30">
        <f t="shared" si="63"/>
        <v>0</v>
      </c>
      <c r="N99" s="30">
        <f t="shared" si="63"/>
        <v>0</v>
      </c>
      <c r="O99" s="30">
        <f t="shared" si="63"/>
        <v>0</v>
      </c>
      <c r="P99" s="29">
        <f>P78*P88*2</f>
        <v>0</v>
      </c>
      <c r="Q99" s="30">
        <f t="shared" ref="Q99:AA99" si="64">Q78*Q88*2</f>
        <v>0</v>
      </c>
      <c r="R99" s="30">
        <f t="shared" si="64"/>
        <v>0</v>
      </c>
      <c r="S99" s="30">
        <f t="shared" si="64"/>
        <v>0</v>
      </c>
      <c r="T99" s="30">
        <f t="shared" si="64"/>
        <v>0</v>
      </c>
      <c r="U99" s="30">
        <f t="shared" si="64"/>
        <v>0</v>
      </c>
      <c r="V99" s="30">
        <f t="shared" si="64"/>
        <v>0</v>
      </c>
      <c r="W99" s="30">
        <f t="shared" si="64"/>
        <v>0</v>
      </c>
      <c r="X99" s="30">
        <f t="shared" si="64"/>
        <v>0</v>
      </c>
      <c r="Y99" s="30">
        <f t="shared" si="64"/>
        <v>0</v>
      </c>
      <c r="Z99" s="30">
        <f t="shared" si="64"/>
        <v>0</v>
      </c>
      <c r="AA99" s="30">
        <f t="shared" si="64"/>
        <v>0</v>
      </c>
    </row>
    <row r="100" spans="2:29" x14ac:dyDescent="0.3">
      <c r="B100" s="178"/>
      <c r="C100" s="131" t="s">
        <v>25</v>
      </c>
      <c r="D100" s="31">
        <f>D77*D89*(1-D84)</f>
        <v>6741.0000000000009</v>
      </c>
      <c r="E100" s="32">
        <f t="shared" ref="E100:O100" si="65">E77*E89*(1-E84)</f>
        <v>6741.0000000000009</v>
      </c>
      <c r="F100" s="32">
        <f t="shared" si="65"/>
        <v>6741.0000000000009</v>
      </c>
      <c r="G100" s="32">
        <f t="shared" si="65"/>
        <v>6741.0000000000009</v>
      </c>
      <c r="H100" s="32">
        <f t="shared" si="65"/>
        <v>6741.0000000000009</v>
      </c>
      <c r="I100" s="32">
        <f t="shared" si="65"/>
        <v>6741.0000000000009</v>
      </c>
      <c r="J100" s="31">
        <f t="shared" si="65"/>
        <v>6741.0000000000009</v>
      </c>
      <c r="K100" s="32">
        <f t="shared" si="65"/>
        <v>6741.0000000000009</v>
      </c>
      <c r="L100" s="32">
        <f t="shared" si="65"/>
        <v>6741.0000000000009</v>
      </c>
      <c r="M100" s="32">
        <f t="shared" si="65"/>
        <v>6741.0000000000009</v>
      </c>
      <c r="N100" s="32">
        <f t="shared" si="65"/>
        <v>6741.0000000000009</v>
      </c>
      <c r="O100" s="32">
        <f t="shared" si="65"/>
        <v>6741.0000000000009</v>
      </c>
      <c r="P100" s="31">
        <f>P77*P89*(1-P84)</f>
        <v>6741.0000000000009</v>
      </c>
      <c r="Q100" s="32">
        <f t="shared" ref="Q100:AA100" si="66">Q77*Q89*(1-Q84)</f>
        <v>6741.0000000000009</v>
      </c>
      <c r="R100" s="32">
        <f t="shared" si="66"/>
        <v>6741.0000000000009</v>
      </c>
      <c r="S100" s="32">
        <f t="shared" si="66"/>
        <v>6741.0000000000009</v>
      </c>
      <c r="T100" s="32">
        <f t="shared" si="66"/>
        <v>6741.0000000000009</v>
      </c>
      <c r="U100" s="32">
        <f t="shared" si="66"/>
        <v>6741.0000000000009</v>
      </c>
      <c r="V100" s="32">
        <f t="shared" si="66"/>
        <v>6741.0000000000009</v>
      </c>
      <c r="W100" s="32">
        <f t="shared" si="66"/>
        <v>6741.0000000000009</v>
      </c>
      <c r="X100" s="32">
        <f t="shared" si="66"/>
        <v>6741.0000000000009</v>
      </c>
      <c r="Y100" s="32">
        <f t="shared" si="66"/>
        <v>6741.0000000000009</v>
      </c>
      <c r="Z100" s="32">
        <f t="shared" si="66"/>
        <v>6741.0000000000009</v>
      </c>
      <c r="AA100" s="32">
        <f t="shared" si="66"/>
        <v>6741.0000000000009</v>
      </c>
    </row>
    <row r="101" spans="2:29" x14ac:dyDescent="0.3">
      <c r="B101" s="178"/>
      <c r="C101" s="131" t="s">
        <v>26</v>
      </c>
      <c r="D101" s="29">
        <f>D79*D89*2</f>
        <v>0</v>
      </c>
      <c r="E101" s="30">
        <f t="shared" ref="E101:O101" si="67">E79*E89*2</f>
        <v>0</v>
      </c>
      <c r="F101" s="30">
        <f t="shared" si="67"/>
        <v>0</v>
      </c>
      <c r="G101" s="30">
        <f t="shared" si="67"/>
        <v>0</v>
      </c>
      <c r="H101" s="30">
        <f t="shared" si="67"/>
        <v>0</v>
      </c>
      <c r="I101" s="30">
        <f t="shared" si="67"/>
        <v>0</v>
      </c>
      <c r="J101" s="29">
        <f t="shared" si="67"/>
        <v>0</v>
      </c>
      <c r="K101" s="30">
        <f t="shared" si="67"/>
        <v>0</v>
      </c>
      <c r="L101" s="30">
        <f t="shared" si="67"/>
        <v>2480.6879999999992</v>
      </c>
      <c r="M101" s="30">
        <f t="shared" si="67"/>
        <v>0</v>
      </c>
      <c r="N101" s="30">
        <f t="shared" si="67"/>
        <v>0</v>
      </c>
      <c r="O101" s="30">
        <f t="shared" si="67"/>
        <v>0</v>
      </c>
      <c r="P101" s="29">
        <f>P79*P89*2</f>
        <v>0</v>
      </c>
      <c r="Q101" s="30">
        <f t="shared" ref="Q101:AA101" si="68">Q79*Q89*2</f>
        <v>3127.8240000000019</v>
      </c>
      <c r="R101" s="30">
        <f t="shared" si="68"/>
        <v>0</v>
      </c>
      <c r="S101" s="30">
        <f t="shared" si="68"/>
        <v>0</v>
      </c>
      <c r="T101" s="30">
        <f t="shared" si="68"/>
        <v>2642.4720000000011</v>
      </c>
      <c r="U101" s="30">
        <f t="shared" si="68"/>
        <v>0</v>
      </c>
      <c r="V101" s="30">
        <f t="shared" si="68"/>
        <v>0</v>
      </c>
      <c r="W101" s="30">
        <f t="shared" si="68"/>
        <v>0</v>
      </c>
      <c r="X101" s="30">
        <f t="shared" si="68"/>
        <v>0</v>
      </c>
      <c r="Y101" s="30">
        <f t="shared" si="68"/>
        <v>2157.1200000000003</v>
      </c>
      <c r="Z101" s="30">
        <f t="shared" si="68"/>
        <v>2318.9040000000018</v>
      </c>
      <c r="AA101" s="30">
        <f t="shared" si="68"/>
        <v>0</v>
      </c>
    </row>
    <row r="102" spans="2:29" x14ac:dyDescent="0.3">
      <c r="B102" s="178"/>
      <c r="C102" s="131" t="s">
        <v>27</v>
      </c>
      <c r="D102" s="31">
        <f>IF(D87="Azul",D80*D91,D80*((D90-D91)*(1-D84)+D91))</f>
        <v>6069.7034999999996</v>
      </c>
      <c r="E102" s="32">
        <f t="shared" ref="E102:O102" si="69">IF(E87="Azul",E80*E91,E80*((E90-E91)*(1-E84)+E91))</f>
        <v>5491.6364999999996</v>
      </c>
      <c r="F102" s="32">
        <f t="shared" si="69"/>
        <v>7225.8374999999996</v>
      </c>
      <c r="G102" s="32">
        <f t="shared" si="69"/>
        <v>12428.440499999999</v>
      </c>
      <c r="H102" s="32">
        <f t="shared" si="69"/>
        <v>12139.406999999999</v>
      </c>
      <c r="I102" s="32">
        <f t="shared" si="69"/>
        <v>9538.1054999999997</v>
      </c>
      <c r="J102" s="31">
        <f t="shared" si="69"/>
        <v>9827.1389999999992</v>
      </c>
      <c r="K102" s="32">
        <f t="shared" si="69"/>
        <v>12139.406999999999</v>
      </c>
      <c r="L102" s="32">
        <f t="shared" si="69"/>
        <v>15029.741999999998</v>
      </c>
      <c r="M102" s="32">
        <f t="shared" si="69"/>
        <v>11272.306499999999</v>
      </c>
      <c r="N102" s="32">
        <f t="shared" si="69"/>
        <v>12139.406999999999</v>
      </c>
      <c r="O102" s="32">
        <f t="shared" si="69"/>
        <v>10405.205999999998</v>
      </c>
      <c r="P102" s="31">
        <f>IF(P87="Azul",P80*P91,P80*((P90-P91)*(1-P84)+P91))</f>
        <v>7803.9044999999996</v>
      </c>
      <c r="Q102" s="32">
        <f t="shared" ref="Q102:AA102" si="70">IF(Q87="Azul",Q80*Q91,Q80*((Q90-Q91)*(1-Q84)+Q91))</f>
        <v>8092.9379999999992</v>
      </c>
      <c r="R102" s="32">
        <f t="shared" si="70"/>
        <v>11561.34</v>
      </c>
      <c r="S102" s="32">
        <f t="shared" si="70"/>
        <v>11561.34</v>
      </c>
      <c r="T102" s="32">
        <f t="shared" si="70"/>
        <v>12428.440499999999</v>
      </c>
      <c r="U102" s="32">
        <f t="shared" si="70"/>
        <v>14740.708500000001</v>
      </c>
      <c r="V102" s="32">
        <f t="shared" si="70"/>
        <v>11561.34</v>
      </c>
      <c r="W102" s="32">
        <f t="shared" si="70"/>
        <v>12717.474</v>
      </c>
      <c r="X102" s="32">
        <f t="shared" si="70"/>
        <v>8671.0049999999992</v>
      </c>
      <c r="Y102" s="32">
        <f t="shared" si="70"/>
        <v>9538.1054999999997</v>
      </c>
      <c r="Z102" s="32">
        <f t="shared" si="70"/>
        <v>14162.641499999998</v>
      </c>
      <c r="AA102" s="32">
        <f t="shared" si="70"/>
        <v>11850.373499999998</v>
      </c>
    </row>
    <row r="103" spans="2:29" x14ac:dyDescent="0.3">
      <c r="B103" s="178"/>
      <c r="C103" s="132" t="s">
        <v>28</v>
      </c>
      <c r="D103" s="33">
        <f>D81*D91</f>
        <v>7179.8789999999999</v>
      </c>
      <c r="E103" s="34">
        <f t="shared" ref="E103:O103" si="71">E81*E91</f>
        <v>7635.1884</v>
      </c>
      <c r="F103" s="34">
        <f t="shared" si="71"/>
        <v>8896.0452000000005</v>
      </c>
      <c r="G103" s="34">
        <f t="shared" si="71"/>
        <v>12678.615599999999</v>
      </c>
      <c r="H103" s="34">
        <f t="shared" si="71"/>
        <v>12188.2824</v>
      </c>
      <c r="I103" s="34">
        <f t="shared" si="71"/>
        <v>10191.925799999999</v>
      </c>
      <c r="J103" s="33">
        <f t="shared" si="71"/>
        <v>10332.021000000001</v>
      </c>
      <c r="K103" s="34">
        <f t="shared" si="71"/>
        <v>11732.973</v>
      </c>
      <c r="L103" s="34">
        <f t="shared" si="71"/>
        <v>14289.710400000002</v>
      </c>
      <c r="M103" s="34">
        <f t="shared" si="71"/>
        <v>12118.2348</v>
      </c>
      <c r="N103" s="34">
        <f t="shared" si="71"/>
        <v>13238.9964</v>
      </c>
      <c r="O103" s="34">
        <f t="shared" si="71"/>
        <v>12363.401399999999</v>
      </c>
      <c r="P103" s="33">
        <f>P81*P91</f>
        <v>9211.259399999999</v>
      </c>
      <c r="Q103" s="34">
        <f t="shared" ref="Q103:AA103" si="72">Q81*Q91</f>
        <v>10367.0448</v>
      </c>
      <c r="R103" s="34">
        <f t="shared" si="72"/>
        <v>12188.2824</v>
      </c>
      <c r="S103" s="34">
        <f t="shared" si="72"/>
        <v>13322.386399999999</v>
      </c>
      <c r="T103" s="34">
        <f t="shared" si="72"/>
        <v>13974.496200000001</v>
      </c>
      <c r="U103" s="34">
        <f t="shared" si="72"/>
        <v>15200.3292</v>
      </c>
      <c r="V103" s="34">
        <f t="shared" si="72"/>
        <v>12503.4966</v>
      </c>
      <c r="W103" s="34">
        <f t="shared" si="72"/>
        <v>12503.4966</v>
      </c>
      <c r="X103" s="34">
        <f t="shared" si="72"/>
        <v>10717.282800000001</v>
      </c>
      <c r="Y103" s="34">
        <f t="shared" si="72"/>
        <v>11732.973</v>
      </c>
      <c r="Z103" s="34">
        <f t="shared" si="72"/>
        <v>14709.996000000001</v>
      </c>
      <c r="AA103" s="34">
        <f t="shared" si="72"/>
        <v>13449.1392</v>
      </c>
    </row>
    <row r="104" spans="2:29" x14ac:dyDescent="0.3">
      <c r="B104" s="178"/>
      <c r="C104" s="131" t="s">
        <v>29</v>
      </c>
      <c r="D104" s="27">
        <f>SUM(D98:D103)</f>
        <v>19990.5825</v>
      </c>
      <c r="E104" s="28">
        <f>SUM(E98:E103)</f>
        <v>19867.8249</v>
      </c>
      <c r="F104" s="28">
        <f>SUM(F98:F103)</f>
        <v>22862.882700000002</v>
      </c>
      <c r="G104" s="28">
        <f t="shared" ref="G104:O104" si="73">SUM(G98:G103)</f>
        <v>31848.056100000002</v>
      </c>
      <c r="H104" s="28">
        <f t="shared" si="73"/>
        <v>31068.689399999999</v>
      </c>
      <c r="I104" s="28">
        <f t="shared" si="73"/>
        <v>26471.031300000002</v>
      </c>
      <c r="J104" s="27">
        <f t="shared" si="73"/>
        <v>26900.16</v>
      </c>
      <c r="K104" s="28">
        <f t="shared" si="73"/>
        <v>30613.379999999997</v>
      </c>
      <c r="L104" s="28">
        <f t="shared" si="73"/>
        <v>38541.140400000004</v>
      </c>
      <c r="M104" s="28">
        <f t="shared" si="73"/>
        <v>30131.541299999997</v>
      </c>
      <c r="N104" s="28">
        <f t="shared" si="73"/>
        <v>32119.403399999999</v>
      </c>
      <c r="O104" s="28">
        <f t="shared" si="73"/>
        <v>29509.607399999997</v>
      </c>
      <c r="P104" s="27">
        <f>SUM(P98:P103)</f>
        <v>23756.1639</v>
      </c>
      <c r="Q104" s="28">
        <f t="shared" ref="Q104:AA104" si="74">SUM(Q98:Q103)</f>
        <v>28328.806800000002</v>
      </c>
      <c r="R104" s="28">
        <f t="shared" si="74"/>
        <v>30490.6224</v>
      </c>
      <c r="S104" s="28">
        <f t="shared" si="74"/>
        <v>31624.7264</v>
      </c>
      <c r="T104" s="28">
        <f t="shared" si="74"/>
        <v>35786.4087</v>
      </c>
      <c r="U104" s="28">
        <f t="shared" si="74"/>
        <v>36682.037700000001</v>
      </c>
      <c r="V104" s="28">
        <f t="shared" si="74"/>
        <v>30805.836600000002</v>
      </c>
      <c r="W104" s="28">
        <f t="shared" si="74"/>
        <v>31961.970600000001</v>
      </c>
      <c r="X104" s="28">
        <f t="shared" si="74"/>
        <v>26129.287800000002</v>
      </c>
      <c r="Y104" s="28">
        <f t="shared" si="74"/>
        <v>30169.198499999999</v>
      </c>
      <c r="Z104" s="28">
        <f t="shared" si="74"/>
        <v>37932.541499999999</v>
      </c>
      <c r="AA104" s="28">
        <f t="shared" si="74"/>
        <v>32040.512699999999</v>
      </c>
    </row>
    <row r="105" spans="2:29" x14ac:dyDescent="0.3">
      <c r="B105" s="178"/>
      <c r="C105" s="131" t="s">
        <v>30</v>
      </c>
      <c r="D105" s="35">
        <f>D104/(1-SUM(D95:D96))*SUM(D95:D96)+((D109+D107+D108)/(1-SUM(D95:D96)))*SUM(D95:D96)</f>
        <v>15089.781741176474</v>
      </c>
      <c r="E105" s="36">
        <f t="shared" ref="E105:AA105" si="75">E104/(1-SUM(E95:E96))*SUM(E95:E96)+((E109+E107+E108)/(1-SUM(E95:E96)))*SUM(E95:E96)</f>
        <v>14792.945505882355</v>
      </c>
      <c r="F105" s="36">
        <f t="shared" si="75"/>
        <v>16919.588329411767</v>
      </c>
      <c r="G105" s="36">
        <f t="shared" si="75"/>
        <v>23299.516800000005</v>
      </c>
      <c r="H105" s="36">
        <f t="shared" si="75"/>
        <v>22813.222023529415</v>
      </c>
      <c r="I105" s="36">
        <f t="shared" si="75"/>
        <v>19573.812423529416</v>
      </c>
      <c r="J105" s="35">
        <f t="shared" si="75"/>
        <v>19895.289317647061</v>
      </c>
      <c r="K105" s="36">
        <f t="shared" si="75"/>
        <v>22598.958776470594</v>
      </c>
      <c r="L105" s="36">
        <f t="shared" si="75"/>
        <v>27525.009317647062</v>
      </c>
      <c r="M105" s="36">
        <f t="shared" si="75"/>
        <v>22013.609223529413</v>
      </c>
      <c r="N105" s="36">
        <f t="shared" si="75"/>
        <v>23307.675670588236</v>
      </c>
      <c r="O105" s="36">
        <f t="shared" si="75"/>
        <v>21362.332517647061</v>
      </c>
      <c r="P105" s="35">
        <f t="shared" si="75"/>
        <v>17579.023905882357</v>
      </c>
      <c r="Q105" s="36">
        <f t="shared" si="75"/>
        <v>19850.389835294121</v>
      </c>
      <c r="R105" s="36">
        <f t="shared" si="75"/>
        <v>22302.122541176475</v>
      </c>
      <c r="S105" s="36">
        <f t="shared" si="75"/>
        <v>22835.818541176472</v>
      </c>
      <c r="T105" s="36">
        <f t="shared" si="75"/>
        <v>25152.859200000006</v>
      </c>
      <c r="U105" s="36">
        <f t="shared" si="75"/>
        <v>26530.603482352948</v>
      </c>
      <c r="V105" s="36">
        <f t="shared" si="75"/>
        <v>22450.458635294119</v>
      </c>
      <c r="W105" s="36">
        <f t="shared" si="75"/>
        <v>23472.657600000002</v>
      </c>
      <c r="X105" s="36">
        <f t="shared" si="75"/>
        <v>19054.390023529413</v>
      </c>
      <c r="Y105" s="36">
        <f t="shared" si="75"/>
        <v>21314.126400000001</v>
      </c>
      <c r="Z105" s="36">
        <f t="shared" si="75"/>
        <v>26880.007905882354</v>
      </c>
      <c r="AA105" s="36">
        <f t="shared" si="75"/>
        <v>23151.016658823533</v>
      </c>
    </row>
    <row r="106" spans="2:29" x14ac:dyDescent="0.3">
      <c r="B106" s="178"/>
      <c r="C106" s="107"/>
      <c r="D106" s="107"/>
      <c r="E106" s="107"/>
      <c r="F106" s="107"/>
      <c r="G106" s="107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  <c r="S106" s="107"/>
      <c r="T106" s="107"/>
      <c r="U106" s="107"/>
      <c r="V106" s="107"/>
      <c r="W106" s="107"/>
      <c r="X106" s="107"/>
      <c r="Y106" s="107"/>
      <c r="Z106" s="107"/>
      <c r="AA106" s="37"/>
    </row>
    <row r="107" spans="2:29" x14ac:dyDescent="0.3">
      <c r="B107" s="178"/>
      <c r="C107" s="131" t="s">
        <v>31</v>
      </c>
      <c r="D107" s="9">
        <f>IF(D87="Azul",D76*D88*(D84),0)</f>
        <v>0</v>
      </c>
      <c r="E107" s="10">
        <f t="shared" ref="E107:O107" si="76">IF(E87="Azul",E76*E88*(E84),0)</f>
        <v>0</v>
      </c>
      <c r="F107" s="10">
        <f t="shared" si="76"/>
        <v>0</v>
      </c>
      <c r="G107" s="10">
        <f t="shared" si="76"/>
        <v>0</v>
      </c>
      <c r="H107" s="10">
        <f t="shared" si="76"/>
        <v>0</v>
      </c>
      <c r="I107" s="10">
        <f t="shared" si="76"/>
        <v>0</v>
      </c>
      <c r="J107" s="9">
        <f t="shared" si="76"/>
        <v>0</v>
      </c>
      <c r="K107" s="10">
        <f t="shared" si="76"/>
        <v>0</v>
      </c>
      <c r="L107" s="10">
        <f t="shared" si="76"/>
        <v>0</v>
      </c>
      <c r="M107" s="10">
        <f t="shared" si="76"/>
        <v>0</v>
      </c>
      <c r="N107" s="10">
        <f t="shared" si="76"/>
        <v>0</v>
      </c>
      <c r="O107" s="10">
        <f t="shared" si="76"/>
        <v>0</v>
      </c>
      <c r="P107" s="10">
        <f>IF(P87="Azul",P76*P88*(P84),0)</f>
        <v>0</v>
      </c>
      <c r="Q107" s="10">
        <f t="shared" ref="Q107:AA107" si="77">IF(Q87="Azul",Q76*Q88*(Q84),0)</f>
        <v>0</v>
      </c>
      <c r="R107" s="10">
        <f t="shared" si="77"/>
        <v>0</v>
      </c>
      <c r="S107" s="10">
        <f t="shared" si="77"/>
        <v>0</v>
      </c>
      <c r="T107" s="10">
        <f t="shared" si="77"/>
        <v>0</v>
      </c>
      <c r="U107" s="10">
        <f t="shared" si="77"/>
        <v>0</v>
      </c>
      <c r="V107" s="10">
        <f t="shared" si="77"/>
        <v>0</v>
      </c>
      <c r="W107" s="10">
        <f t="shared" si="77"/>
        <v>0</v>
      </c>
      <c r="X107" s="10">
        <f t="shared" si="77"/>
        <v>0</v>
      </c>
      <c r="Y107" s="10">
        <f t="shared" si="77"/>
        <v>0</v>
      </c>
      <c r="Z107" s="10">
        <f t="shared" si="77"/>
        <v>0</v>
      </c>
      <c r="AA107" s="10">
        <f t="shared" si="77"/>
        <v>0</v>
      </c>
    </row>
    <row r="108" spans="2:29" x14ac:dyDescent="0.3">
      <c r="B108" s="178"/>
      <c r="C108" s="131" t="s">
        <v>32</v>
      </c>
      <c r="D108" s="11">
        <f>D77*D89*(D84)</f>
        <v>6741.0000000000009</v>
      </c>
      <c r="E108" s="12">
        <f t="shared" ref="E108:O108" si="78">E77*E89*(E84)</f>
        <v>6741.0000000000009</v>
      </c>
      <c r="F108" s="12">
        <f t="shared" si="78"/>
        <v>6741.0000000000009</v>
      </c>
      <c r="G108" s="12">
        <f t="shared" si="78"/>
        <v>6741.0000000000009</v>
      </c>
      <c r="H108" s="12">
        <f t="shared" si="78"/>
        <v>6741.0000000000009</v>
      </c>
      <c r="I108" s="12">
        <f t="shared" si="78"/>
        <v>6741.0000000000009</v>
      </c>
      <c r="J108" s="11">
        <f t="shared" si="78"/>
        <v>6741.0000000000009</v>
      </c>
      <c r="K108" s="12">
        <f t="shared" si="78"/>
        <v>6741.0000000000009</v>
      </c>
      <c r="L108" s="12">
        <f t="shared" si="78"/>
        <v>6741.0000000000009</v>
      </c>
      <c r="M108" s="12">
        <f t="shared" si="78"/>
        <v>6741.0000000000009</v>
      </c>
      <c r="N108" s="12">
        <f t="shared" si="78"/>
        <v>6741.0000000000009</v>
      </c>
      <c r="O108" s="12">
        <f t="shared" si="78"/>
        <v>6741.0000000000009</v>
      </c>
      <c r="P108" s="12">
        <f>P77*P89*(P84)</f>
        <v>6741.0000000000009</v>
      </c>
      <c r="Q108" s="12">
        <f t="shared" ref="Q108:AA108" si="79">Q77*Q89*(Q84)</f>
        <v>6741.0000000000009</v>
      </c>
      <c r="R108" s="12">
        <f t="shared" si="79"/>
        <v>6741.0000000000009</v>
      </c>
      <c r="S108" s="12">
        <f t="shared" si="79"/>
        <v>6741.0000000000009</v>
      </c>
      <c r="T108" s="12">
        <f t="shared" si="79"/>
        <v>6741.0000000000009</v>
      </c>
      <c r="U108" s="12">
        <f t="shared" si="79"/>
        <v>6741.0000000000009</v>
      </c>
      <c r="V108" s="12">
        <f t="shared" si="79"/>
        <v>6741.0000000000009</v>
      </c>
      <c r="W108" s="12">
        <f t="shared" si="79"/>
        <v>6741.0000000000009</v>
      </c>
      <c r="X108" s="12">
        <f t="shared" si="79"/>
        <v>6741.0000000000009</v>
      </c>
      <c r="Y108" s="12">
        <f t="shared" si="79"/>
        <v>6741.0000000000009</v>
      </c>
      <c r="Z108" s="12">
        <f t="shared" si="79"/>
        <v>6741.0000000000009</v>
      </c>
      <c r="AA108" s="12">
        <f t="shared" si="79"/>
        <v>6741.0000000000009</v>
      </c>
    </row>
    <row r="109" spans="2:29" x14ac:dyDescent="0.3">
      <c r="B109" s="178"/>
      <c r="C109" s="129" t="s">
        <v>33</v>
      </c>
      <c r="D109" s="19">
        <f>IF(D87="Verde",D80*(D90-D91)*(D84),0)</f>
        <v>5334.2037</v>
      </c>
      <c r="E109" s="20">
        <f t="shared" ref="E109:AA109" si="80">IF(E87="Verde",E80*(E90-E91)*(E84),0)</f>
        <v>4826.1842999999999</v>
      </c>
      <c r="F109" s="20">
        <f t="shared" si="80"/>
        <v>6350.2424999999994</v>
      </c>
      <c r="G109" s="20">
        <f t="shared" si="80"/>
        <v>10922.417099999999</v>
      </c>
      <c r="H109" s="20">
        <f t="shared" si="80"/>
        <v>10668.4074</v>
      </c>
      <c r="I109" s="20">
        <f t="shared" si="80"/>
        <v>8382.320099999999</v>
      </c>
      <c r="J109" s="19">
        <f t="shared" si="80"/>
        <v>8636.3297999999995</v>
      </c>
      <c r="K109" s="20">
        <f t="shared" si="80"/>
        <v>10668.4074</v>
      </c>
      <c r="L109" s="20">
        <f t="shared" si="80"/>
        <v>13208.5044</v>
      </c>
      <c r="M109" s="20">
        <f t="shared" si="80"/>
        <v>9906.3782999999985</v>
      </c>
      <c r="N109" s="20">
        <f t="shared" si="80"/>
        <v>10668.4074</v>
      </c>
      <c r="O109" s="20">
        <f t="shared" si="80"/>
        <v>9144.3491999999987</v>
      </c>
      <c r="P109" s="20">
        <f t="shared" si="80"/>
        <v>6858.2618999999995</v>
      </c>
      <c r="Q109" s="20">
        <f t="shared" si="80"/>
        <v>7112.2715999999991</v>
      </c>
      <c r="R109" s="20">
        <f t="shared" si="80"/>
        <v>10160.387999999999</v>
      </c>
      <c r="S109" s="20">
        <f t="shared" si="80"/>
        <v>10160.387999999999</v>
      </c>
      <c r="T109" s="20">
        <f t="shared" si="80"/>
        <v>10922.417099999999</v>
      </c>
      <c r="U109" s="20">
        <f t="shared" si="80"/>
        <v>12954.494700000001</v>
      </c>
      <c r="V109" s="20">
        <f t="shared" si="80"/>
        <v>10160.387999999999</v>
      </c>
      <c r="W109" s="20">
        <f t="shared" si="80"/>
        <v>11176.426799999999</v>
      </c>
      <c r="X109" s="20">
        <f t="shared" si="80"/>
        <v>7620.2909999999993</v>
      </c>
      <c r="Y109" s="20">
        <f t="shared" si="80"/>
        <v>8382.320099999999</v>
      </c>
      <c r="Z109" s="20">
        <f t="shared" si="80"/>
        <v>12446.475299999998</v>
      </c>
      <c r="AA109" s="20">
        <f t="shared" si="80"/>
        <v>10414.3977</v>
      </c>
      <c r="AC109" s="92"/>
    </row>
    <row r="110" spans="2:29" x14ac:dyDescent="0.3">
      <c r="B110" s="178"/>
      <c r="C110" s="109"/>
      <c r="D110" s="109"/>
      <c r="E110" s="109"/>
      <c r="F110" s="109"/>
      <c r="G110" s="109"/>
      <c r="H110" s="109"/>
      <c r="I110" s="109"/>
      <c r="J110" s="109"/>
      <c r="K110" s="109"/>
      <c r="L110" s="109"/>
      <c r="M110" s="109"/>
      <c r="N110" s="109"/>
      <c r="O110" s="109"/>
      <c r="P110" s="109"/>
      <c r="Q110" s="109"/>
      <c r="R110" s="109"/>
      <c r="S110" s="109"/>
      <c r="T110" s="109"/>
      <c r="U110" s="109"/>
      <c r="V110" s="109"/>
      <c r="W110" s="109"/>
      <c r="X110" s="109"/>
      <c r="Y110" s="109"/>
      <c r="Z110" s="109"/>
      <c r="AA110" s="38"/>
    </row>
    <row r="111" spans="2:29" x14ac:dyDescent="0.3">
      <c r="B111" s="178"/>
      <c r="C111" s="129" t="s">
        <v>34</v>
      </c>
      <c r="D111" s="98">
        <f>SUM(D80:D81)/D72</f>
        <v>0.12758064516129031</v>
      </c>
      <c r="E111" s="98">
        <f t="shared" ref="E111:O111" si="81">SUM(E80:E81)/E72</f>
        <v>0.14301724137931035</v>
      </c>
      <c r="F111" s="98">
        <f t="shared" si="81"/>
        <v>0.1575</v>
      </c>
      <c r="G111" s="98">
        <f t="shared" si="81"/>
        <v>0.23624999999999999</v>
      </c>
      <c r="H111" s="98">
        <f t="shared" si="81"/>
        <v>0.22016129032258067</v>
      </c>
      <c r="I111" s="98">
        <f t="shared" si="81"/>
        <v>0.18899999999999997</v>
      </c>
      <c r="J111" s="98">
        <f t="shared" si="81"/>
        <v>0.18572580645161291</v>
      </c>
      <c r="K111" s="98">
        <f t="shared" si="81"/>
        <v>0.21282258064516127</v>
      </c>
      <c r="L111" s="98">
        <f t="shared" si="81"/>
        <v>0.26833333333333337</v>
      </c>
      <c r="M111" s="98">
        <f t="shared" si="81"/>
        <v>0.21733870967741933</v>
      </c>
      <c r="N111" s="98">
        <f t="shared" si="81"/>
        <v>0.24499999999999997</v>
      </c>
      <c r="O111" s="98">
        <f t="shared" si="81"/>
        <v>0.21959677419354839</v>
      </c>
      <c r="P111" s="98">
        <f>SUM(P80:P81)/P72</f>
        <v>0.16370967741935483</v>
      </c>
      <c r="Q111" s="98">
        <f t="shared" ref="Q111:AA111" si="82">SUM(Q80:Q81)/Q72</f>
        <v>0.20249999999999999</v>
      </c>
      <c r="R111" s="98">
        <f t="shared" si="82"/>
        <v>0.21903225806451615</v>
      </c>
      <c r="S111" s="98">
        <f t="shared" si="82"/>
        <v>0.24522222222222223</v>
      </c>
      <c r="T111" s="98">
        <f t="shared" si="82"/>
        <v>0.24951612903225809</v>
      </c>
      <c r="U111" s="98">
        <f t="shared" si="82"/>
        <v>0.28291666666666665</v>
      </c>
      <c r="V111" s="98">
        <f t="shared" si="82"/>
        <v>0.22411290322580646</v>
      </c>
      <c r="W111" s="98">
        <f t="shared" si="82"/>
        <v>0.22637096774193546</v>
      </c>
      <c r="X111" s="98">
        <f t="shared" si="82"/>
        <v>0.19600000000000001</v>
      </c>
      <c r="Y111" s="98">
        <f t="shared" si="82"/>
        <v>0.20774193548387096</v>
      </c>
      <c r="Z111" s="98">
        <f t="shared" si="82"/>
        <v>0.27358333333333335</v>
      </c>
      <c r="AA111" s="98">
        <f t="shared" si="82"/>
        <v>0.23991935483870969</v>
      </c>
    </row>
    <row r="112" spans="2:29" x14ac:dyDescent="0.3">
      <c r="B112" s="178"/>
      <c r="C112" s="133" t="s">
        <v>35</v>
      </c>
      <c r="D112" s="97">
        <f t="shared" ref="D112:T112" si="83">D111*D72</f>
        <v>94.919999999999987</v>
      </c>
      <c r="E112" s="97">
        <f t="shared" si="83"/>
        <v>99.54</v>
      </c>
      <c r="F112" s="97">
        <f t="shared" si="83"/>
        <v>117.18</v>
      </c>
      <c r="G112" s="97">
        <f t="shared" si="83"/>
        <v>170.1</v>
      </c>
      <c r="H112" s="97">
        <f t="shared" si="83"/>
        <v>163.80000000000001</v>
      </c>
      <c r="I112" s="97">
        <f t="shared" si="83"/>
        <v>136.07999999999998</v>
      </c>
      <c r="J112" s="97">
        <f t="shared" si="83"/>
        <v>138.18</v>
      </c>
      <c r="K112" s="97">
        <f t="shared" si="83"/>
        <v>158.33999999999997</v>
      </c>
      <c r="L112" s="97">
        <f t="shared" si="83"/>
        <v>193.20000000000002</v>
      </c>
      <c r="M112" s="97">
        <f t="shared" si="83"/>
        <v>161.69999999999999</v>
      </c>
      <c r="N112" s="97">
        <f t="shared" si="83"/>
        <v>176.39999999999998</v>
      </c>
      <c r="O112" s="97">
        <f t="shared" si="83"/>
        <v>163.38</v>
      </c>
      <c r="P112" s="97">
        <f t="shared" si="83"/>
        <v>121.8</v>
      </c>
      <c r="Q112" s="97">
        <f t="shared" si="83"/>
        <v>136.07999999999998</v>
      </c>
      <c r="R112" s="97">
        <f t="shared" si="83"/>
        <v>162.96</v>
      </c>
      <c r="S112" s="97">
        <f t="shared" si="83"/>
        <v>176.56</v>
      </c>
      <c r="T112" s="97">
        <f t="shared" si="83"/>
        <v>185.64000000000001</v>
      </c>
      <c r="U112" s="97">
        <f>U111*U72</f>
        <v>203.7</v>
      </c>
      <c r="V112" s="97">
        <f t="shared" ref="V112:AA112" si="84">V111*V72</f>
        <v>166.74</v>
      </c>
      <c r="W112" s="97">
        <f t="shared" si="84"/>
        <v>168.42</v>
      </c>
      <c r="X112" s="97">
        <f t="shared" si="84"/>
        <v>141.12</v>
      </c>
      <c r="Y112" s="97">
        <f t="shared" si="84"/>
        <v>154.56</v>
      </c>
      <c r="Z112" s="97">
        <f t="shared" si="84"/>
        <v>196.98000000000002</v>
      </c>
      <c r="AA112" s="97">
        <f t="shared" si="84"/>
        <v>178.5</v>
      </c>
    </row>
    <row r="113" spans="2:29" x14ac:dyDescent="0.3">
      <c r="B113" s="178"/>
      <c r="C113" s="129" t="s">
        <v>36</v>
      </c>
      <c r="D113" s="39">
        <f t="shared" ref="D113:AA113" si="85">D112*1.1</f>
        <v>104.41199999999999</v>
      </c>
      <c r="E113" s="39">
        <f t="shared" si="85"/>
        <v>109.49400000000001</v>
      </c>
      <c r="F113" s="39">
        <f t="shared" si="85"/>
        <v>128.89800000000002</v>
      </c>
      <c r="G113" s="39">
        <f t="shared" si="85"/>
        <v>187.11</v>
      </c>
      <c r="H113" s="39">
        <f t="shared" si="85"/>
        <v>180.18000000000004</v>
      </c>
      <c r="I113" s="39">
        <f t="shared" si="85"/>
        <v>149.68799999999999</v>
      </c>
      <c r="J113" s="39">
        <f t="shared" si="85"/>
        <v>151.99800000000002</v>
      </c>
      <c r="K113" s="39">
        <f t="shared" si="85"/>
        <v>174.17399999999998</v>
      </c>
      <c r="L113" s="39">
        <f t="shared" si="85"/>
        <v>212.52000000000004</v>
      </c>
      <c r="M113" s="39">
        <f t="shared" si="85"/>
        <v>177.87</v>
      </c>
      <c r="N113" s="39">
        <f t="shared" si="85"/>
        <v>194.04</v>
      </c>
      <c r="O113" s="39">
        <f t="shared" si="85"/>
        <v>179.71800000000002</v>
      </c>
      <c r="P113" s="39">
        <f t="shared" si="85"/>
        <v>133.98000000000002</v>
      </c>
      <c r="Q113" s="39">
        <f t="shared" si="85"/>
        <v>149.68799999999999</v>
      </c>
      <c r="R113" s="39">
        <f t="shared" si="85"/>
        <v>179.25600000000003</v>
      </c>
      <c r="S113" s="39">
        <f t="shared" si="85"/>
        <v>194.21600000000001</v>
      </c>
      <c r="T113" s="39">
        <f t="shared" si="85"/>
        <v>204.20400000000004</v>
      </c>
      <c r="U113" s="39">
        <f t="shared" si="85"/>
        <v>224.07</v>
      </c>
      <c r="V113" s="39">
        <f t="shared" si="85"/>
        <v>183.41400000000002</v>
      </c>
      <c r="W113" s="39">
        <f t="shared" si="85"/>
        <v>185.262</v>
      </c>
      <c r="X113" s="39">
        <f t="shared" si="85"/>
        <v>155.23200000000003</v>
      </c>
      <c r="Y113" s="39">
        <f t="shared" si="85"/>
        <v>170.01600000000002</v>
      </c>
      <c r="Z113" s="39">
        <f t="shared" si="85"/>
        <v>216.67800000000003</v>
      </c>
      <c r="AA113" s="39">
        <f t="shared" si="85"/>
        <v>196.35000000000002</v>
      </c>
    </row>
    <row r="114" spans="2:29" x14ac:dyDescent="0.3">
      <c r="B114" s="178"/>
      <c r="C114" s="129" t="s">
        <v>37</v>
      </c>
      <c r="D114" s="40">
        <f t="shared" ref="D114:AA114" si="86">D112*0.9</f>
        <v>85.427999999999997</v>
      </c>
      <c r="E114" s="40">
        <f t="shared" si="86"/>
        <v>89.586000000000013</v>
      </c>
      <c r="F114" s="40">
        <f t="shared" si="86"/>
        <v>105.462</v>
      </c>
      <c r="G114" s="40">
        <f t="shared" si="86"/>
        <v>153.09</v>
      </c>
      <c r="H114" s="40">
        <f t="shared" si="86"/>
        <v>147.42000000000002</v>
      </c>
      <c r="I114" s="40">
        <f t="shared" si="86"/>
        <v>122.47199999999999</v>
      </c>
      <c r="J114" s="40">
        <f t="shared" si="86"/>
        <v>124.36200000000001</v>
      </c>
      <c r="K114" s="40">
        <f t="shared" si="86"/>
        <v>142.50599999999997</v>
      </c>
      <c r="L114" s="40">
        <f t="shared" si="86"/>
        <v>173.88000000000002</v>
      </c>
      <c r="M114" s="40">
        <f t="shared" si="86"/>
        <v>145.53</v>
      </c>
      <c r="N114" s="40">
        <f t="shared" si="86"/>
        <v>158.76</v>
      </c>
      <c r="O114" s="40">
        <f t="shared" si="86"/>
        <v>147.042</v>
      </c>
      <c r="P114" s="40">
        <f t="shared" si="86"/>
        <v>109.62</v>
      </c>
      <c r="Q114" s="40">
        <f t="shared" si="86"/>
        <v>122.47199999999999</v>
      </c>
      <c r="R114" s="40">
        <f t="shared" si="86"/>
        <v>146.66400000000002</v>
      </c>
      <c r="S114" s="40">
        <f t="shared" si="86"/>
        <v>158.904</v>
      </c>
      <c r="T114" s="40">
        <f t="shared" si="86"/>
        <v>167.07600000000002</v>
      </c>
      <c r="U114" s="40">
        <f t="shared" si="86"/>
        <v>183.32999999999998</v>
      </c>
      <c r="V114" s="40">
        <f t="shared" si="86"/>
        <v>150.066</v>
      </c>
      <c r="W114" s="40">
        <f t="shared" si="86"/>
        <v>151.578</v>
      </c>
      <c r="X114" s="40">
        <f t="shared" si="86"/>
        <v>127.00800000000001</v>
      </c>
      <c r="Y114" s="40">
        <f t="shared" si="86"/>
        <v>139.10400000000001</v>
      </c>
      <c r="Z114" s="40">
        <f t="shared" si="86"/>
        <v>177.28200000000001</v>
      </c>
      <c r="AA114" s="40">
        <f t="shared" si="86"/>
        <v>160.65</v>
      </c>
    </row>
    <row r="115" spans="2:29" x14ac:dyDescent="0.3">
      <c r="B115" s="178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  <c r="AA115" s="41"/>
    </row>
    <row r="116" spans="2:29" x14ac:dyDescent="0.3">
      <c r="B116" s="178"/>
      <c r="C116" s="129" t="s">
        <v>38</v>
      </c>
      <c r="D116" s="43">
        <f t="shared" ref="D116:O116" si="87">D112</f>
        <v>94.919999999999987</v>
      </c>
      <c r="E116" s="43">
        <f t="shared" si="87"/>
        <v>99.54</v>
      </c>
      <c r="F116" s="43">
        <f t="shared" si="87"/>
        <v>117.18</v>
      </c>
      <c r="G116" s="43">
        <f t="shared" si="87"/>
        <v>170.1</v>
      </c>
      <c r="H116" s="43">
        <f t="shared" si="87"/>
        <v>163.80000000000001</v>
      </c>
      <c r="I116" s="43">
        <f t="shared" si="87"/>
        <v>136.07999999999998</v>
      </c>
      <c r="J116" s="43">
        <f t="shared" si="87"/>
        <v>138.18</v>
      </c>
      <c r="K116" s="43">
        <f t="shared" si="87"/>
        <v>158.33999999999997</v>
      </c>
      <c r="L116" s="43">
        <f t="shared" si="87"/>
        <v>193.20000000000002</v>
      </c>
      <c r="M116" s="43">
        <f t="shared" si="87"/>
        <v>161.69999999999999</v>
      </c>
      <c r="N116" s="43">
        <f t="shared" si="87"/>
        <v>176.39999999999998</v>
      </c>
      <c r="O116" s="43">
        <f t="shared" si="87"/>
        <v>163.38</v>
      </c>
      <c r="P116" s="43">
        <f>P112</f>
        <v>121.8</v>
      </c>
      <c r="Q116" s="43">
        <f t="shared" ref="Q116:AA116" si="88">Q112</f>
        <v>136.07999999999998</v>
      </c>
      <c r="R116" s="43">
        <f t="shared" si="88"/>
        <v>162.96</v>
      </c>
      <c r="S116" s="43">
        <f t="shared" si="88"/>
        <v>176.56</v>
      </c>
      <c r="T116" s="43">
        <f t="shared" si="88"/>
        <v>185.64000000000001</v>
      </c>
      <c r="U116" s="43">
        <f t="shared" si="88"/>
        <v>203.7</v>
      </c>
      <c r="V116" s="43">
        <f t="shared" si="88"/>
        <v>166.74</v>
      </c>
      <c r="W116" s="43">
        <f t="shared" si="88"/>
        <v>168.42</v>
      </c>
      <c r="X116" s="43">
        <f t="shared" si="88"/>
        <v>141.12</v>
      </c>
      <c r="Y116" s="43">
        <f t="shared" si="88"/>
        <v>154.56</v>
      </c>
      <c r="Z116" s="43">
        <f t="shared" si="88"/>
        <v>196.98000000000002</v>
      </c>
      <c r="AA116" s="43">
        <f t="shared" si="88"/>
        <v>178.5</v>
      </c>
    </row>
    <row r="117" spans="2:29" x14ac:dyDescent="0.3">
      <c r="B117" s="178"/>
      <c r="C117" s="129" t="s">
        <v>39</v>
      </c>
      <c r="D117" s="127">
        <f>'SIMULAÇÃO CENÁRIOS'!$E$7</f>
        <v>220</v>
      </c>
      <c r="E117" s="127">
        <f>'SIMULAÇÃO CENÁRIOS'!$E$7</f>
        <v>220</v>
      </c>
      <c r="F117" s="127">
        <f>'SIMULAÇÃO CENÁRIOS'!$E$7</f>
        <v>220</v>
      </c>
      <c r="G117" s="127">
        <f>'SIMULAÇÃO CENÁRIOS'!$E$7</f>
        <v>220</v>
      </c>
      <c r="H117" s="127">
        <f>'SIMULAÇÃO CENÁRIOS'!$E$7</f>
        <v>220</v>
      </c>
      <c r="I117" s="127">
        <f>'SIMULAÇÃO CENÁRIOS'!$E$7</f>
        <v>220</v>
      </c>
      <c r="J117" s="127">
        <f>'SIMULAÇÃO CENÁRIOS'!$E$7</f>
        <v>220</v>
      </c>
      <c r="K117" s="127">
        <f>'SIMULAÇÃO CENÁRIOS'!$E$7</f>
        <v>220</v>
      </c>
      <c r="L117" s="127">
        <f>'SIMULAÇÃO CENÁRIOS'!$E$7</f>
        <v>220</v>
      </c>
      <c r="M117" s="127">
        <f>'SIMULAÇÃO CENÁRIOS'!$E$7</f>
        <v>220</v>
      </c>
      <c r="N117" s="127">
        <f>'SIMULAÇÃO CENÁRIOS'!$E$7</f>
        <v>220</v>
      </c>
      <c r="O117" s="127">
        <f>'SIMULAÇÃO CENÁRIOS'!$E$7</f>
        <v>220</v>
      </c>
      <c r="P117" s="127">
        <f>'SIMULAÇÃO CENÁRIOS'!$E$7</f>
        <v>220</v>
      </c>
      <c r="Q117" s="127">
        <f>'SIMULAÇÃO CENÁRIOS'!$E$7</f>
        <v>220</v>
      </c>
      <c r="R117" s="127">
        <f>'SIMULAÇÃO CENÁRIOS'!$E$7</f>
        <v>220</v>
      </c>
      <c r="S117" s="127">
        <f>'SIMULAÇÃO CENÁRIOS'!$E$7</f>
        <v>220</v>
      </c>
      <c r="T117" s="127">
        <f>'SIMULAÇÃO CENÁRIOS'!$E$7</f>
        <v>220</v>
      </c>
      <c r="U117" s="127">
        <f>'SIMULAÇÃO CENÁRIOS'!$E$7</f>
        <v>220</v>
      </c>
      <c r="V117" s="127">
        <f>'SIMULAÇÃO CENÁRIOS'!$E$7</f>
        <v>220</v>
      </c>
      <c r="W117" s="127">
        <f>'SIMULAÇÃO CENÁRIOS'!$E$7</f>
        <v>220</v>
      </c>
      <c r="X117" s="127">
        <f>'SIMULAÇÃO CENÁRIOS'!$E$7</f>
        <v>220</v>
      </c>
      <c r="Y117" s="127">
        <f>'SIMULAÇÃO CENÁRIOS'!$E$7</f>
        <v>220</v>
      </c>
      <c r="Z117" s="127">
        <f>'SIMULAÇÃO CENÁRIOS'!$E$7</f>
        <v>220</v>
      </c>
      <c r="AA117" s="127">
        <f>'SIMULAÇÃO CENÁRIOS'!$E$7</f>
        <v>220</v>
      </c>
    </row>
    <row r="118" spans="2:29" x14ac:dyDescent="0.3">
      <c r="B118" s="178"/>
      <c r="C118" s="129" t="s">
        <v>40</v>
      </c>
      <c r="D118" s="44">
        <f t="shared" ref="D118:O118" si="89">D116*D117/(1-$P$27)</f>
        <v>28606.02739726027</v>
      </c>
      <c r="E118" s="44">
        <f t="shared" si="89"/>
        <v>29998.356164383567</v>
      </c>
      <c r="F118" s="44">
        <f t="shared" si="89"/>
        <v>35314.520547945212</v>
      </c>
      <c r="G118" s="44">
        <f t="shared" si="89"/>
        <v>51263.013698630137</v>
      </c>
      <c r="H118" s="44">
        <f t="shared" si="89"/>
        <v>49364.383561643837</v>
      </c>
      <c r="I118" s="44">
        <f t="shared" si="89"/>
        <v>41010.410958904104</v>
      </c>
      <c r="J118" s="44">
        <f t="shared" si="89"/>
        <v>41643.28767123288</v>
      </c>
      <c r="K118" s="44">
        <f t="shared" si="89"/>
        <v>47718.904109589035</v>
      </c>
      <c r="L118" s="44">
        <f t="shared" si="89"/>
        <v>58224.657534246588</v>
      </c>
      <c r="M118" s="44">
        <f t="shared" si="89"/>
        <v>48731.506849315068</v>
      </c>
      <c r="N118" s="44">
        <f t="shared" si="89"/>
        <v>53161.643835616429</v>
      </c>
      <c r="O118" s="44">
        <f t="shared" si="89"/>
        <v>49237.808219178085</v>
      </c>
      <c r="P118" s="44">
        <f>P116*P117/(1-$P$27)</f>
        <v>36706.849315068495</v>
      </c>
      <c r="Q118" s="44">
        <f t="shared" ref="Q118:AA118" si="90">Q116*Q117/(1-$P$27)</f>
        <v>41010.410958904104</v>
      </c>
      <c r="R118" s="44">
        <f t="shared" si="90"/>
        <v>49111.232876712333</v>
      </c>
      <c r="S118" s="44">
        <f t="shared" si="90"/>
        <v>53209.863013698625</v>
      </c>
      <c r="T118" s="44">
        <f t="shared" si="90"/>
        <v>55946.301369863017</v>
      </c>
      <c r="U118" s="44">
        <f t="shared" si="90"/>
        <v>61389.04109589041</v>
      </c>
      <c r="V118" s="44">
        <f t="shared" si="90"/>
        <v>50250.410958904118</v>
      </c>
      <c r="W118" s="44">
        <f t="shared" si="90"/>
        <v>50756.712328767113</v>
      </c>
      <c r="X118" s="44">
        <f t="shared" si="90"/>
        <v>42529.315068493153</v>
      </c>
      <c r="Y118" s="44">
        <f t="shared" si="90"/>
        <v>46579.726027397257</v>
      </c>
      <c r="Z118" s="44">
        <f t="shared" si="90"/>
        <v>59363.835616438366</v>
      </c>
      <c r="AA118" s="44">
        <f t="shared" si="90"/>
        <v>53794.520547945205</v>
      </c>
    </row>
    <row r="119" spans="2:29" ht="17.25" thickBot="1" x14ac:dyDescent="0.35">
      <c r="B119" s="178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  <c r="AA119" s="45"/>
    </row>
    <row r="120" spans="2:29" ht="17.25" thickBot="1" x14ac:dyDescent="0.35">
      <c r="B120" s="178"/>
      <c r="C120" s="134" t="s">
        <v>98</v>
      </c>
      <c r="D120" s="46">
        <f t="shared" ref="D120:O120" si="91">+D118+D105+D104</f>
        <v>63686.391638436748</v>
      </c>
      <c r="E120" s="46">
        <f t="shared" si="91"/>
        <v>64659.126570265922</v>
      </c>
      <c r="F120" s="46">
        <f t="shared" si="91"/>
        <v>75096.991577356981</v>
      </c>
      <c r="G120" s="46">
        <f t="shared" si="91"/>
        <v>106410.58659863014</v>
      </c>
      <c r="H120" s="46">
        <f t="shared" si="91"/>
        <v>103246.29498517326</v>
      </c>
      <c r="I120" s="46">
        <f t="shared" si="91"/>
        <v>87055.25468243353</v>
      </c>
      <c r="J120" s="46">
        <f t="shared" si="91"/>
        <v>88438.736988879944</v>
      </c>
      <c r="K120" s="46">
        <f t="shared" si="91"/>
        <v>100931.24288605963</v>
      </c>
      <c r="L120" s="46">
        <f t="shared" si="91"/>
        <v>124290.80725189365</v>
      </c>
      <c r="M120" s="46">
        <f t="shared" si="91"/>
        <v>100876.65737284448</v>
      </c>
      <c r="N120" s="46">
        <f t="shared" si="91"/>
        <v>108588.72290620465</v>
      </c>
      <c r="O120" s="46">
        <f t="shared" si="91"/>
        <v>100109.74813682515</v>
      </c>
      <c r="P120" s="46">
        <f>+P118+P105+P104</f>
        <v>78042.037120950845</v>
      </c>
      <c r="Q120" s="46">
        <f t="shared" ref="Q120:AA120" si="92">+Q118+Q105+Q104</f>
        <v>89189.607594198227</v>
      </c>
      <c r="R120" s="46">
        <f t="shared" si="92"/>
        <v>101903.97781788881</v>
      </c>
      <c r="S120" s="46">
        <f t="shared" si="92"/>
        <v>107670.4079548751</v>
      </c>
      <c r="T120" s="46">
        <f t="shared" si="92"/>
        <v>116885.56926986302</v>
      </c>
      <c r="U120" s="46">
        <f t="shared" si="92"/>
        <v>124601.68227824336</v>
      </c>
      <c r="V120" s="46">
        <f t="shared" si="92"/>
        <v>103506.70619419825</v>
      </c>
      <c r="W120" s="46">
        <f t="shared" si="92"/>
        <v>106191.34052876712</v>
      </c>
      <c r="X120" s="46">
        <f t="shared" si="92"/>
        <v>87712.992892022565</v>
      </c>
      <c r="Y120" s="46">
        <f t="shared" si="92"/>
        <v>98063.050927397257</v>
      </c>
      <c r="Z120" s="46">
        <f t="shared" si="92"/>
        <v>124176.38502232073</v>
      </c>
      <c r="AA120" s="46">
        <f t="shared" si="92"/>
        <v>108986.04990676875</v>
      </c>
      <c r="AC120" s="47">
        <f>SUM(D120:AA120)</f>
        <v>2370320.3691024981</v>
      </c>
    </row>
    <row r="121" spans="2:29" x14ac:dyDescent="0.3">
      <c r="B121" s="178"/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100"/>
    </row>
    <row r="122" spans="2:29" ht="45.75" x14ac:dyDescent="0.3">
      <c r="B122" s="178"/>
      <c r="C122" s="172" t="s">
        <v>99</v>
      </c>
      <c r="D122" s="172"/>
      <c r="E122" s="172"/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3"/>
    </row>
    <row r="123" spans="2:29" x14ac:dyDescent="0.3">
      <c r="B123" s="178"/>
      <c r="C123" s="129" t="s">
        <v>101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3">
        <v>0</v>
      </c>
      <c r="R123" s="43">
        <v>0</v>
      </c>
      <c r="S123" s="43">
        <v>0</v>
      </c>
      <c r="T123" s="43">
        <v>0</v>
      </c>
      <c r="U123" s="43">
        <v>0</v>
      </c>
      <c r="V123" s="43">
        <v>0</v>
      </c>
      <c r="W123" s="43">
        <v>0</v>
      </c>
      <c r="X123" s="43">
        <v>0</v>
      </c>
      <c r="Y123" s="43">
        <v>0</v>
      </c>
      <c r="Z123" s="43">
        <v>0</v>
      </c>
      <c r="AA123" s="43">
        <v>0</v>
      </c>
    </row>
    <row r="124" spans="2:29" x14ac:dyDescent="0.3">
      <c r="B124" s="178"/>
      <c r="C124" s="129" t="s">
        <v>102</v>
      </c>
      <c r="D124" s="17">
        <f t="shared" ref="D124:O124" si="93">D77*D89+D79*D89*2</f>
        <v>13482.000000000002</v>
      </c>
      <c r="E124" s="17">
        <f t="shared" si="93"/>
        <v>13482.000000000002</v>
      </c>
      <c r="F124" s="17">
        <f t="shared" si="93"/>
        <v>13482.000000000002</v>
      </c>
      <c r="G124" s="17">
        <f t="shared" si="93"/>
        <v>13482.000000000002</v>
      </c>
      <c r="H124" s="17">
        <f t="shared" si="93"/>
        <v>13482.000000000002</v>
      </c>
      <c r="I124" s="17">
        <f t="shared" si="93"/>
        <v>13482.000000000002</v>
      </c>
      <c r="J124" s="17">
        <f t="shared" si="93"/>
        <v>13482.000000000002</v>
      </c>
      <c r="K124" s="17">
        <f t="shared" si="93"/>
        <v>13482.000000000002</v>
      </c>
      <c r="L124" s="17">
        <f t="shared" si="93"/>
        <v>15962.688000000002</v>
      </c>
      <c r="M124" s="17">
        <f t="shared" si="93"/>
        <v>13482.000000000002</v>
      </c>
      <c r="N124" s="17">
        <f t="shared" si="93"/>
        <v>13482.000000000002</v>
      </c>
      <c r="O124" s="17">
        <f t="shared" si="93"/>
        <v>13482.000000000002</v>
      </c>
      <c r="P124" s="17">
        <f>P77*P89+P79*P89*2</f>
        <v>13482.000000000002</v>
      </c>
      <c r="Q124" s="18">
        <f t="shared" ref="Q124:AA124" si="94">Q77*Q89+Q79*Q89*2</f>
        <v>16609.824000000004</v>
      </c>
      <c r="R124" s="18">
        <f t="shared" si="94"/>
        <v>13482.000000000002</v>
      </c>
      <c r="S124" s="18">
        <f t="shared" si="94"/>
        <v>13482.000000000002</v>
      </c>
      <c r="T124" s="18">
        <f t="shared" si="94"/>
        <v>16124.472000000003</v>
      </c>
      <c r="U124" s="18">
        <f t="shared" si="94"/>
        <v>13482.000000000002</v>
      </c>
      <c r="V124" s="18">
        <f t="shared" si="94"/>
        <v>13482.000000000002</v>
      </c>
      <c r="W124" s="18">
        <f t="shared" si="94"/>
        <v>13482.000000000002</v>
      </c>
      <c r="X124" s="18">
        <f t="shared" si="94"/>
        <v>13482.000000000002</v>
      </c>
      <c r="Y124" s="18">
        <f t="shared" si="94"/>
        <v>15639.120000000003</v>
      </c>
      <c r="Z124" s="18">
        <f t="shared" si="94"/>
        <v>15800.904000000004</v>
      </c>
      <c r="AA124" s="18">
        <f t="shared" si="94"/>
        <v>13482.000000000002</v>
      </c>
    </row>
    <row r="125" spans="2:29" x14ac:dyDescent="0.3">
      <c r="B125" s="178"/>
      <c r="C125" s="129" t="s">
        <v>103</v>
      </c>
      <c r="D125" s="102">
        <f t="shared" ref="D125:O125" si="95">D80*D90</f>
        <v>11403.907200000001</v>
      </c>
      <c r="E125" s="102">
        <f t="shared" si="95"/>
        <v>10317.820800000001</v>
      </c>
      <c r="F125" s="102">
        <f t="shared" si="95"/>
        <v>13576.08</v>
      </c>
      <c r="G125" s="102">
        <f t="shared" si="95"/>
        <v>23350.857599999999</v>
      </c>
      <c r="H125" s="102">
        <f t="shared" si="95"/>
        <v>22807.814400000003</v>
      </c>
      <c r="I125" s="102">
        <f t="shared" si="95"/>
        <v>17920.425599999999</v>
      </c>
      <c r="J125" s="102">
        <f t="shared" si="95"/>
        <v>18463.468799999999</v>
      </c>
      <c r="K125" s="102">
        <f t="shared" si="95"/>
        <v>22807.814400000003</v>
      </c>
      <c r="L125" s="102">
        <f t="shared" si="95"/>
        <v>28238.2464</v>
      </c>
      <c r="M125" s="102">
        <f t="shared" si="95"/>
        <v>21178.684799999999</v>
      </c>
      <c r="N125" s="102">
        <f t="shared" si="95"/>
        <v>22807.814400000003</v>
      </c>
      <c r="O125" s="102">
        <f t="shared" si="95"/>
        <v>19549.555199999999</v>
      </c>
      <c r="P125" s="102">
        <f>P80*P90</f>
        <v>14662.1664</v>
      </c>
      <c r="Q125" s="103">
        <f t="shared" ref="Q125:AA125" si="96">Q80*Q90</f>
        <v>15205.2096</v>
      </c>
      <c r="R125" s="103">
        <f t="shared" si="96"/>
        <v>21721.728000000003</v>
      </c>
      <c r="S125" s="103">
        <f t="shared" si="96"/>
        <v>21721.728000000003</v>
      </c>
      <c r="T125" s="103">
        <f t="shared" si="96"/>
        <v>23350.857599999999</v>
      </c>
      <c r="U125" s="103">
        <f t="shared" si="96"/>
        <v>27695.203200000004</v>
      </c>
      <c r="V125" s="103">
        <f t="shared" si="96"/>
        <v>21721.728000000003</v>
      </c>
      <c r="W125" s="103">
        <f t="shared" si="96"/>
        <v>23893.900799999999</v>
      </c>
      <c r="X125" s="103">
        <f t="shared" si="96"/>
        <v>16291.296</v>
      </c>
      <c r="Y125" s="103">
        <f t="shared" si="96"/>
        <v>17920.425599999999</v>
      </c>
      <c r="Z125" s="103">
        <f t="shared" si="96"/>
        <v>26609.1168</v>
      </c>
      <c r="AA125" s="103">
        <f t="shared" si="96"/>
        <v>22264.771199999999</v>
      </c>
    </row>
    <row r="126" spans="2:29" x14ac:dyDescent="0.3">
      <c r="B126" s="178"/>
      <c r="C126" s="129" t="s">
        <v>104</v>
      </c>
      <c r="D126" s="17">
        <f t="shared" ref="D126:O126" si="97">D81*D91</f>
        <v>7179.8789999999999</v>
      </c>
      <c r="E126" s="17">
        <f t="shared" si="97"/>
        <v>7635.1884</v>
      </c>
      <c r="F126" s="17">
        <f t="shared" si="97"/>
        <v>8896.0452000000005</v>
      </c>
      <c r="G126" s="17">
        <f t="shared" si="97"/>
        <v>12678.615599999999</v>
      </c>
      <c r="H126" s="17">
        <f t="shared" si="97"/>
        <v>12188.2824</v>
      </c>
      <c r="I126" s="17">
        <f t="shared" si="97"/>
        <v>10191.925799999999</v>
      </c>
      <c r="J126" s="17">
        <f t="shared" si="97"/>
        <v>10332.021000000001</v>
      </c>
      <c r="K126" s="17">
        <f t="shared" si="97"/>
        <v>11732.973</v>
      </c>
      <c r="L126" s="17">
        <f t="shared" si="97"/>
        <v>14289.710400000002</v>
      </c>
      <c r="M126" s="17">
        <f t="shared" si="97"/>
        <v>12118.2348</v>
      </c>
      <c r="N126" s="17">
        <f t="shared" si="97"/>
        <v>13238.9964</v>
      </c>
      <c r="O126" s="17">
        <f t="shared" si="97"/>
        <v>12363.401399999999</v>
      </c>
      <c r="P126" s="17">
        <f>P81*P91</f>
        <v>9211.259399999999</v>
      </c>
      <c r="Q126" s="18">
        <f t="shared" ref="Q126:AA126" si="98">Q81*Q91</f>
        <v>10367.0448</v>
      </c>
      <c r="R126" s="18">
        <f t="shared" si="98"/>
        <v>12188.2824</v>
      </c>
      <c r="S126" s="18">
        <f t="shared" si="98"/>
        <v>13322.386399999999</v>
      </c>
      <c r="T126" s="18">
        <f t="shared" si="98"/>
        <v>13974.496200000001</v>
      </c>
      <c r="U126" s="18">
        <f t="shared" si="98"/>
        <v>15200.3292</v>
      </c>
      <c r="V126" s="18">
        <f t="shared" si="98"/>
        <v>12503.4966</v>
      </c>
      <c r="W126" s="18">
        <f t="shared" si="98"/>
        <v>12503.4966</v>
      </c>
      <c r="X126" s="18">
        <f t="shared" si="98"/>
        <v>10717.282800000001</v>
      </c>
      <c r="Y126" s="18">
        <f t="shared" si="98"/>
        <v>11732.973</v>
      </c>
      <c r="Z126" s="18">
        <f t="shared" si="98"/>
        <v>14709.996000000001</v>
      </c>
      <c r="AA126" s="18">
        <f t="shared" si="98"/>
        <v>13449.1392</v>
      </c>
    </row>
    <row r="127" spans="2:29" x14ac:dyDescent="0.3">
      <c r="B127" s="178"/>
      <c r="C127" s="129" t="s">
        <v>105</v>
      </c>
      <c r="D127" s="102">
        <f t="shared" ref="D127:O127" si="99">D80*D92</f>
        <v>3710.3976000000002</v>
      </c>
      <c r="E127" s="102">
        <f t="shared" si="99"/>
        <v>3357.0264000000002</v>
      </c>
      <c r="F127" s="102">
        <f t="shared" si="99"/>
        <v>4417.1400000000003</v>
      </c>
      <c r="G127" s="102">
        <f t="shared" si="99"/>
        <v>7597.4807999999994</v>
      </c>
      <c r="H127" s="102">
        <f t="shared" si="99"/>
        <v>7420.7952000000005</v>
      </c>
      <c r="I127" s="102">
        <f t="shared" si="99"/>
        <v>5830.6247999999996</v>
      </c>
      <c r="J127" s="102">
        <f t="shared" si="99"/>
        <v>6007.3103999999994</v>
      </c>
      <c r="K127" s="102">
        <f t="shared" si="99"/>
        <v>7420.7952000000005</v>
      </c>
      <c r="L127" s="102">
        <f t="shared" si="99"/>
        <v>9187.6512000000002</v>
      </c>
      <c r="M127" s="102">
        <f t="shared" si="99"/>
        <v>6890.7383999999993</v>
      </c>
      <c r="N127" s="102">
        <f t="shared" si="99"/>
        <v>7420.7952000000005</v>
      </c>
      <c r="O127" s="102">
        <f t="shared" si="99"/>
        <v>6360.6815999999999</v>
      </c>
      <c r="P127" s="102">
        <f>P80*P92</f>
        <v>4770.5111999999999</v>
      </c>
      <c r="Q127" s="103">
        <f t="shared" ref="Q127:AA127" si="100">Q80*Q92</f>
        <v>4947.1967999999997</v>
      </c>
      <c r="R127" s="103">
        <f t="shared" si="100"/>
        <v>7067.424</v>
      </c>
      <c r="S127" s="103">
        <f t="shared" si="100"/>
        <v>7067.424</v>
      </c>
      <c r="T127" s="103">
        <f t="shared" si="100"/>
        <v>7597.4807999999994</v>
      </c>
      <c r="U127" s="103">
        <f t="shared" si="100"/>
        <v>9010.9656000000014</v>
      </c>
      <c r="V127" s="103">
        <f t="shared" si="100"/>
        <v>7067.424</v>
      </c>
      <c r="W127" s="103">
        <f t="shared" si="100"/>
        <v>7774.1664000000001</v>
      </c>
      <c r="X127" s="103">
        <f t="shared" si="100"/>
        <v>5300.5680000000002</v>
      </c>
      <c r="Y127" s="103">
        <f t="shared" si="100"/>
        <v>5830.6247999999996</v>
      </c>
      <c r="Z127" s="103">
        <f t="shared" si="100"/>
        <v>8657.5944</v>
      </c>
      <c r="AA127" s="103">
        <f t="shared" si="100"/>
        <v>7244.1095999999998</v>
      </c>
    </row>
    <row r="128" spans="2:29" x14ac:dyDescent="0.3">
      <c r="B128" s="178"/>
      <c r="C128" s="129" t="s">
        <v>106</v>
      </c>
      <c r="D128" s="17">
        <f t="shared" ref="D128:O128" si="101">D81*D93</f>
        <v>21648.983999999997</v>
      </c>
      <c r="E128" s="17">
        <f t="shared" si="101"/>
        <v>23021.846400000002</v>
      </c>
      <c r="F128" s="17">
        <f t="shared" si="101"/>
        <v>26823.619200000001</v>
      </c>
      <c r="G128" s="17">
        <f t="shared" si="101"/>
        <v>38228.937599999997</v>
      </c>
      <c r="H128" s="17">
        <f t="shared" si="101"/>
        <v>36750.470399999998</v>
      </c>
      <c r="I128" s="17">
        <f t="shared" si="101"/>
        <v>30730.996800000001</v>
      </c>
      <c r="J128" s="17">
        <f t="shared" si="101"/>
        <v>31153.416000000001</v>
      </c>
      <c r="K128" s="17">
        <f t="shared" si="101"/>
        <v>35377.608</v>
      </c>
      <c r="L128" s="17">
        <f t="shared" si="101"/>
        <v>43086.758400000006</v>
      </c>
      <c r="M128" s="17">
        <f t="shared" si="101"/>
        <v>36539.260799999996</v>
      </c>
      <c r="N128" s="17">
        <f t="shared" si="101"/>
        <v>39918.614399999999</v>
      </c>
      <c r="O128" s="17">
        <f t="shared" si="101"/>
        <v>37278.494399999996</v>
      </c>
      <c r="P128" s="17">
        <f>P81*P93</f>
        <v>27774.062399999999</v>
      </c>
      <c r="Q128" s="18">
        <f t="shared" ref="Q128:AA128" si="102">Q81*Q93</f>
        <v>31259.020799999998</v>
      </c>
      <c r="R128" s="18">
        <f t="shared" si="102"/>
        <v>36750.470399999998</v>
      </c>
      <c r="S128" s="18">
        <f t="shared" si="102"/>
        <v>40170.054400000001</v>
      </c>
      <c r="T128" s="18">
        <f t="shared" si="102"/>
        <v>42136.315200000005</v>
      </c>
      <c r="U128" s="18">
        <f t="shared" si="102"/>
        <v>45832.483200000002</v>
      </c>
      <c r="V128" s="18">
        <f t="shared" si="102"/>
        <v>37700.9136</v>
      </c>
      <c r="W128" s="18">
        <f t="shared" si="102"/>
        <v>37700.9136</v>
      </c>
      <c r="X128" s="18">
        <f t="shared" si="102"/>
        <v>32315.068800000001</v>
      </c>
      <c r="Y128" s="18">
        <f t="shared" si="102"/>
        <v>35377.608</v>
      </c>
      <c r="Z128" s="18">
        <f t="shared" si="102"/>
        <v>44354.016000000003</v>
      </c>
      <c r="AA128" s="18">
        <f t="shared" si="102"/>
        <v>40552.243199999997</v>
      </c>
    </row>
    <row r="129" spans="2:32" x14ac:dyDescent="0.3">
      <c r="B129" s="178"/>
      <c r="C129" s="130" t="s">
        <v>107</v>
      </c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3"/>
      <c r="R129" s="103"/>
      <c r="S129" s="103"/>
      <c r="T129" s="103"/>
      <c r="U129" s="103"/>
      <c r="V129" s="103"/>
      <c r="W129" s="103"/>
      <c r="X129" s="103"/>
      <c r="Y129" s="103"/>
      <c r="Z129" s="103"/>
      <c r="AA129" s="103"/>
    </row>
    <row r="130" spans="2:32" x14ac:dyDescent="0.3">
      <c r="B130" s="178"/>
      <c r="C130" s="130" t="s">
        <v>110</v>
      </c>
      <c r="D130" s="21">
        <f t="shared" ref="D130:O130" si="103">SUM(D123:D129)/(1-SUM(D95:D96))*SUM(D95:D96)</f>
        <v>27023.608376470591</v>
      </c>
      <c r="E130" s="21">
        <f t="shared" si="103"/>
        <v>27206.53270588236</v>
      </c>
      <c r="F130" s="21">
        <f t="shared" si="103"/>
        <v>31621.122070588241</v>
      </c>
      <c r="G130" s="21">
        <f t="shared" si="103"/>
        <v>44864.890164705888</v>
      </c>
      <c r="H130" s="21">
        <f t="shared" si="103"/>
        <v>43599.699952941184</v>
      </c>
      <c r="I130" s="21">
        <f t="shared" si="103"/>
        <v>36779.281411764714</v>
      </c>
      <c r="J130" s="21">
        <f t="shared" si="103"/>
        <v>37382.689976470596</v>
      </c>
      <c r="K130" s="21">
        <f t="shared" si="103"/>
        <v>42739.38381176471</v>
      </c>
      <c r="L130" s="21">
        <f t="shared" si="103"/>
        <v>52124.731482352952</v>
      </c>
      <c r="M130" s="21">
        <f t="shared" si="103"/>
        <v>42451.255905882354</v>
      </c>
      <c r="N130" s="21">
        <f t="shared" si="103"/>
        <v>45585.044894117658</v>
      </c>
      <c r="O130" s="21">
        <f t="shared" si="103"/>
        <v>41898.415341176478</v>
      </c>
      <c r="P130" s="21">
        <f>SUM(P123:P129)/(1-SUM(P95:P96))*SUM(P95:P96)</f>
        <v>32894.117364705882</v>
      </c>
      <c r="Q130" s="22">
        <f t="shared" ref="Q130:AA130" si="104">SUM(Q123:Q129)/(1-SUM(Q95:Q96))*SUM(Q95:Q96)</f>
        <v>36888.609882352946</v>
      </c>
      <c r="R130" s="22">
        <f t="shared" si="104"/>
        <v>42922.308141176465</v>
      </c>
      <c r="S130" s="22">
        <f t="shared" si="104"/>
        <v>45065.220141176476</v>
      </c>
      <c r="T130" s="22">
        <f t="shared" si="104"/>
        <v>48556.998494117652</v>
      </c>
      <c r="U130" s="22">
        <f t="shared" si="104"/>
        <v>52339.285270588247</v>
      </c>
      <c r="V130" s="22">
        <f t="shared" si="104"/>
        <v>43517.91162352942</v>
      </c>
      <c r="W130" s="22">
        <f t="shared" si="104"/>
        <v>44872.695247058829</v>
      </c>
      <c r="X130" s="22">
        <f t="shared" si="104"/>
        <v>36755.866164705883</v>
      </c>
      <c r="Y130" s="22">
        <f t="shared" si="104"/>
        <v>40706.235952941177</v>
      </c>
      <c r="Z130" s="22">
        <f t="shared" si="104"/>
        <v>51826.648094117649</v>
      </c>
      <c r="AA130" s="22">
        <f t="shared" si="104"/>
        <v>45643.417976470591</v>
      </c>
    </row>
    <row r="131" spans="2:32" ht="17.25" thickBot="1" x14ac:dyDescent="0.35">
      <c r="B131" s="178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  <c r="AA131" s="45"/>
    </row>
    <row r="132" spans="2:32" ht="17.25" thickBot="1" x14ac:dyDescent="0.35">
      <c r="B132" s="178"/>
      <c r="C132" s="134" t="s">
        <v>109</v>
      </c>
      <c r="D132" s="46">
        <f t="shared" ref="D132:O132" si="105">+SUM(D123:D130)</f>
        <v>84448.776176470594</v>
      </c>
      <c r="E132" s="46">
        <f t="shared" si="105"/>
        <v>85020.414705882373</v>
      </c>
      <c r="F132" s="46">
        <f t="shared" si="105"/>
        <v>98816.006470588254</v>
      </c>
      <c r="G132" s="46">
        <f t="shared" si="105"/>
        <v>140202.7817647059</v>
      </c>
      <c r="H132" s="46">
        <f t="shared" si="105"/>
        <v>136249.0623529412</v>
      </c>
      <c r="I132" s="46">
        <f t="shared" si="105"/>
        <v>114935.2544117647</v>
      </c>
      <c r="J132" s="46">
        <f t="shared" si="105"/>
        <v>116820.9061764706</v>
      </c>
      <c r="K132" s="46">
        <f t="shared" si="105"/>
        <v>133560.57441176471</v>
      </c>
      <c r="L132" s="46">
        <f t="shared" si="105"/>
        <v>162889.78588235297</v>
      </c>
      <c r="M132" s="46">
        <f t="shared" si="105"/>
        <v>132660.17470588235</v>
      </c>
      <c r="N132" s="46">
        <f t="shared" si="105"/>
        <v>142453.26529411768</v>
      </c>
      <c r="O132" s="46">
        <f t="shared" si="105"/>
        <v>130932.54794117648</v>
      </c>
      <c r="P132" s="46">
        <f>+SUM(P123:P130)</f>
        <v>102794.11676470589</v>
      </c>
      <c r="Q132" s="46">
        <f t="shared" ref="Q132:AA132" si="106">+SUM(Q123:Q130)</f>
        <v>115276.90588235295</v>
      </c>
      <c r="R132" s="46">
        <f t="shared" si="106"/>
        <v>134132.21294117646</v>
      </c>
      <c r="S132" s="46">
        <f t="shared" si="106"/>
        <v>140828.8129411765</v>
      </c>
      <c r="T132" s="46">
        <f t="shared" si="106"/>
        <v>151740.62029411766</v>
      </c>
      <c r="U132" s="46">
        <f t="shared" si="106"/>
        <v>163560.26647058825</v>
      </c>
      <c r="V132" s="46">
        <f t="shared" si="106"/>
        <v>135993.47382352944</v>
      </c>
      <c r="W132" s="46">
        <f t="shared" si="106"/>
        <v>140227.17264705885</v>
      </c>
      <c r="X132" s="46">
        <f t="shared" si="106"/>
        <v>114862.08176470589</v>
      </c>
      <c r="Y132" s="46">
        <f t="shared" si="106"/>
        <v>127206.98735294117</v>
      </c>
      <c r="Z132" s="46">
        <f t="shared" si="106"/>
        <v>161958.27529411766</v>
      </c>
      <c r="AA132" s="46">
        <f t="shared" si="106"/>
        <v>142635.68117647059</v>
      </c>
      <c r="AC132" s="47">
        <f>SUM(D132:AA132)</f>
        <v>3110206.1576470598</v>
      </c>
    </row>
    <row r="133" spans="2:32" ht="17.25" thickBot="1" x14ac:dyDescent="0.35">
      <c r="B133" s="178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  <c r="AA133" s="41"/>
    </row>
    <row r="134" spans="2:32" ht="17.25" thickBot="1" x14ac:dyDescent="0.35">
      <c r="B134" s="178"/>
      <c r="C134" s="134" t="s">
        <v>111</v>
      </c>
      <c r="D134" s="46">
        <f t="shared" ref="D134:O134" si="107">D132-D120</f>
        <v>20762.384538033846</v>
      </c>
      <c r="E134" s="46">
        <f t="shared" si="107"/>
        <v>20361.288135616451</v>
      </c>
      <c r="F134" s="46">
        <f t="shared" si="107"/>
        <v>23719.014893231273</v>
      </c>
      <c r="G134" s="46">
        <f t="shared" si="107"/>
        <v>33792.195166075762</v>
      </c>
      <c r="H134" s="46">
        <f t="shared" si="107"/>
        <v>33002.767367767941</v>
      </c>
      <c r="I134" s="46">
        <f t="shared" si="107"/>
        <v>27879.999729331175</v>
      </c>
      <c r="J134" s="46">
        <f t="shared" si="107"/>
        <v>28382.169187590654</v>
      </c>
      <c r="K134" s="46">
        <f t="shared" si="107"/>
        <v>32629.331525705085</v>
      </c>
      <c r="L134" s="46">
        <f t="shared" si="107"/>
        <v>38598.978630459314</v>
      </c>
      <c r="M134" s="46">
        <f t="shared" si="107"/>
        <v>31783.517333037875</v>
      </c>
      <c r="N134" s="46">
        <f t="shared" si="107"/>
        <v>33864.542387913025</v>
      </c>
      <c r="O134" s="46">
        <f t="shared" si="107"/>
        <v>30822.799804351336</v>
      </c>
      <c r="P134" s="46">
        <f>P132-P120</f>
        <v>24752.079643755045</v>
      </c>
      <c r="Q134" s="46">
        <f t="shared" ref="Q134:AA134" si="108">Q132-Q120</f>
        <v>26087.298288154721</v>
      </c>
      <c r="R134" s="46">
        <f t="shared" si="108"/>
        <v>32228.235123287654</v>
      </c>
      <c r="S134" s="46">
        <f t="shared" si="108"/>
        <v>33158.404986301393</v>
      </c>
      <c r="T134" s="46">
        <f t="shared" si="108"/>
        <v>34855.051024254644</v>
      </c>
      <c r="U134" s="46">
        <f t="shared" si="108"/>
        <v>38958.58419234489</v>
      </c>
      <c r="V134" s="46">
        <f t="shared" si="108"/>
        <v>32486.767629331182</v>
      </c>
      <c r="W134" s="46">
        <f t="shared" si="108"/>
        <v>34035.832118291728</v>
      </c>
      <c r="X134" s="46">
        <f t="shared" si="108"/>
        <v>27149.088872683322</v>
      </c>
      <c r="Y134" s="46">
        <f t="shared" si="108"/>
        <v>29143.936425543914</v>
      </c>
      <c r="Z134" s="46">
        <f t="shared" si="108"/>
        <v>37781.890271796932</v>
      </c>
      <c r="AA134" s="46">
        <f t="shared" si="108"/>
        <v>33649.631269701844</v>
      </c>
      <c r="AC134" s="47">
        <f>AC132-AC120</f>
        <v>739885.78854456171</v>
      </c>
    </row>
    <row r="135" spans="2:32" ht="17.25" thickBot="1" x14ac:dyDescent="0.35">
      <c r="B135" s="179"/>
      <c r="C135" s="134" t="s">
        <v>112</v>
      </c>
      <c r="D135" s="105">
        <f t="shared" ref="D135:O135" si="109">D134/D132</f>
        <v>0.24585773149213183</v>
      </c>
      <c r="E135" s="105">
        <f t="shared" si="109"/>
        <v>0.23948704797611037</v>
      </c>
      <c r="F135" s="105">
        <f t="shared" si="109"/>
        <v>0.24003211362615667</v>
      </c>
      <c r="G135" s="105">
        <f t="shared" si="109"/>
        <v>0.24102371394304586</v>
      </c>
      <c r="H135" s="105">
        <f t="shared" si="109"/>
        <v>0.2422238127575306</v>
      </c>
      <c r="I135" s="105">
        <f t="shared" si="109"/>
        <v>0.24257134916540798</v>
      </c>
      <c r="J135" s="105">
        <f t="shared" si="109"/>
        <v>0.242954537133245</v>
      </c>
      <c r="K135" s="105">
        <f t="shared" si="109"/>
        <v>0.24430361781096777</v>
      </c>
      <c r="L135" s="105">
        <f t="shared" si="109"/>
        <v>0.23696377536119667</v>
      </c>
      <c r="M135" s="105">
        <f t="shared" si="109"/>
        <v>0.23958597524467565</v>
      </c>
      <c r="N135" s="105">
        <f t="shared" si="109"/>
        <v>0.23772387609363835</v>
      </c>
      <c r="O135" s="105">
        <f t="shared" si="109"/>
        <v>0.23540976089611398</v>
      </c>
      <c r="P135" s="105">
        <f>P134/P132</f>
        <v>0.2407927654110027</v>
      </c>
      <c r="Q135" s="105">
        <f>Q134/Q132</f>
        <v>0.22630116664285202</v>
      </c>
      <c r="R135" s="105">
        <f t="shared" ref="R135:AA135" si="110">R134/R132</f>
        <v>0.24027214952027454</v>
      </c>
      <c r="S135" s="105">
        <f t="shared" si="110"/>
        <v>0.23545185316694742</v>
      </c>
      <c r="T135" s="105">
        <f t="shared" si="110"/>
        <v>0.22970151932090016</v>
      </c>
      <c r="U135" s="105">
        <f t="shared" si="110"/>
        <v>0.23819100465546444</v>
      </c>
      <c r="V135" s="105">
        <f t="shared" si="110"/>
        <v>0.23888475465732503</v>
      </c>
      <c r="W135" s="105">
        <f t="shared" si="110"/>
        <v>0.24271923533648743</v>
      </c>
      <c r="X135" s="105">
        <f t="shared" si="110"/>
        <v>0.23636250062312145</v>
      </c>
      <c r="Y135" s="105">
        <f t="shared" si="110"/>
        <v>0.22910641177817401</v>
      </c>
      <c r="Z135" s="105">
        <f t="shared" si="110"/>
        <v>0.2332816288836411</v>
      </c>
      <c r="AA135" s="105">
        <f t="shared" si="110"/>
        <v>0.23591313892959304</v>
      </c>
      <c r="AC135" s="106">
        <f>AC134/AC132</f>
        <v>0.23788962886765738</v>
      </c>
    </row>
    <row r="136" spans="2:32" x14ac:dyDescent="0.3"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"/>
    </row>
    <row r="137" spans="2:32" ht="17.25" thickBot="1" x14ac:dyDescent="0.35"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"/>
    </row>
    <row r="138" spans="2:32" ht="45.75" x14ac:dyDescent="0.3">
      <c r="B138" s="177" t="s">
        <v>95</v>
      </c>
      <c r="C138" s="170" t="s">
        <v>100</v>
      </c>
      <c r="D138" s="170"/>
      <c r="E138" s="170"/>
      <c r="F138" s="170"/>
      <c r="G138" s="170"/>
      <c r="H138" s="170"/>
      <c r="I138" s="170"/>
      <c r="J138" s="170"/>
      <c r="K138" s="170"/>
      <c r="L138" s="170"/>
      <c r="M138" s="170"/>
      <c r="N138" s="170"/>
      <c r="O138" s="170"/>
      <c r="P138" s="170"/>
      <c r="Q138" s="170"/>
      <c r="R138" s="170"/>
      <c r="S138" s="170"/>
      <c r="T138" s="170"/>
      <c r="U138" s="170"/>
      <c r="V138" s="170"/>
      <c r="W138" s="170"/>
      <c r="X138" s="170"/>
      <c r="Y138" s="170"/>
      <c r="Z138" s="170"/>
      <c r="AA138" s="171"/>
      <c r="AC138" s="5"/>
    </row>
    <row r="139" spans="2:32" x14ac:dyDescent="0.3">
      <c r="B139" s="178"/>
      <c r="C139" s="128" t="s">
        <v>3</v>
      </c>
      <c r="D139" s="7">
        <v>43101</v>
      </c>
      <c r="E139" s="7">
        <v>43133</v>
      </c>
      <c r="F139" s="7">
        <v>43165</v>
      </c>
      <c r="G139" s="7">
        <v>43197</v>
      </c>
      <c r="H139" s="7">
        <v>43229</v>
      </c>
      <c r="I139" s="7">
        <v>43261</v>
      </c>
      <c r="J139" s="7">
        <v>43293</v>
      </c>
      <c r="K139" s="7">
        <v>43325</v>
      </c>
      <c r="L139" s="7">
        <v>43357</v>
      </c>
      <c r="M139" s="7">
        <v>43389</v>
      </c>
      <c r="N139" s="7">
        <v>43421</v>
      </c>
      <c r="O139" s="7">
        <v>43453</v>
      </c>
      <c r="P139" s="7">
        <v>43485</v>
      </c>
      <c r="Q139" s="7">
        <v>43517</v>
      </c>
      <c r="R139" s="7">
        <v>43549</v>
      </c>
      <c r="S139" s="7">
        <v>43581</v>
      </c>
      <c r="T139" s="7">
        <v>43613</v>
      </c>
      <c r="U139" s="7">
        <v>43645</v>
      </c>
      <c r="V139" s="7">
        <v>43677</v>
      </c>
      <c r="W139" s="7">
        <v>43709</v>
      </c>
      <c r="X139" s="7">
        <v>43741</v>
      </c>
      <c r="Y139" s="7">
        <v>43773</v>
      </c>
      <c r="Z139" s="7">
        <v>43805</v>
      </c>
      <c r="AA139" s="7">
        <v>43806</v>
      </c>
    </row>
    <row r="140" spans="2:32" x14ac:dyDescent="0.3">
      <c r="B140" s="178"/>
      <c r="C140" s="128" t="s">
        <v>4</v>
      </c>
      <c r="D140" s="6">
        <v>744</v>
      </c>
      <c r="E140" s="6">
        <v>696</v>
      </c>
      <c r="F140" s="6">
        <v>744</v>
      </c>
      <c r="G140" s="6">
        <v>720</v>
      </c>
      <c r="H140" s="6">
        <v>744</v>
      </c>
      <c r="I140" s="6">
        <v>720</v>
      </c>
      <c r="J140" s="6">
        <v>744</v>
      </c>
      <c r="K140" s="6">
        <v>744</v>
      </c>
      <c r="L140" s="6">
        <v>720</v>
      </c>
      <c r="M140" s="6">
        <v>744</v>
      </c>
      <c r="N140" s="6">
        <v>720</v>
      </c>
      <c r="O140" s="6">
        <v>744</v>
      </c>
      <c r="P140" s="6">
        <v>744</v>
      </c>
      <c r="Q140" s="6">
        <v>672</v>
      </c>
      <c r="R140" s="6">
        <v>744</v>
      </c>
      <c r="S140" s="6">
        <v>720</v>
      </c>
      <c r="T140" s="6">
        <v>744</v>
      </c>
      <c r="U140" s="6">
        <v>720</v>
      </c>
      <c r="V140" s="6">
        <v>744</v>
      </c>
      <c r="W140" s="6">
        <v>744</v>
      </c>
      <c r="X140" s="6">
        <v>720</v>
      </c>
      <c r="Y140" s="6">
        <v>744</v>
      </c>
      <c r="Z140" s="6">
        <v>720</v>
      </c>
      <c r="AA140" s="6">
        <v>744</v>
      </c>
    </row>
    <row r="141" spans="2:32" x14ac:dyDescent="0.3">
      <c r="B141" s="178"/>
      <c r="C141" s="107"/>
      <c r="D141" s="107"/>
      <c r="E141" s="107"/>
      <c r="F141" s="107"/>
      <c r="G141" s="107"/>
      <c r="H141" s="107"/>
      <c r="I141" s="107"/>
      <c r="J141" s="107"/>
      <c r="K141" s="107"/>
      <c r="L141" s="107"/>
      <c r="M141" s="107"/>
      <c r="N141" s="107"/>
      <c r="O141" s="107"/>
      <c r="P141" s="107"/>
      <c r="Q141" s="107"/>
      <c r="R141" s="107"/>
      <c r="S141" s="107"/>
      <c r="T141" s="107"/>
      <c r="U141" s="107"/>
      <c r="V141" s="107"/>
      <c r="W141" s="107"/>
      <c r="X141" s="107"/>
      <c r="Y141" s="107"/>
      <c r="Z141" s="107"/>
      <c r="AA141" s="8"/>
    </row>
    <row r="142" spans="2:32" x14ac:dyDescent="0.3">
      <c r="B142" s="178"/>
      <c r="C142" s="129" t="s">
        <v>5</v>
      </c>
      <c r="D142" s="9">
        <v>302.39999999999998</v>
      </c>
      <c r="E142" s="10">
        <v>159.6</v>
      </c>
      <c r="F142" s="10">
        <v>407.4</v>
      </c>
      <c r="G142" s="10">
        <v>445.2</v>
      </c>
      <c r="H142" s="10">
        <v>403.2</v>
      </c>
      <c r="I142" s="10">
        <v>336</v>
      </c>
      <c r="J142" s="9">
        <v>373.8</v>
      </c>
      <c r="K142" s="10">
        <v>453.6</v>
      </c>
      <c r="L142" s="10">
        <v>474.6</v>
      </c>
      <c r="M142" s="10">
        <v>436.8</v>
      </c>
      <c r="N142" s="10">
        <v>403.2</v>
      </c>
      <c r="O142" s="10">
        <v>403.2</v>
      </c>
      <c r="P142" s="10">
        <v>361.2</v>
      </c>
      <c r="Q142" s="10">
        <v>516.6</v>
      </c>
      <c r="R142" s="10">
        <v>449.4</v>
      </c>
      <c r="S142" s="10">
        <v>386.4</v>
      </c>
      <c r="T142" s="10">
        <v>445.2</v>
      </c>
      <c r="U142" s="10">
        <v>441</v>
      </c>
      <c r="V142" s="10">
        <v>407.4</v>
      </c>
      <c r="W142" s="10">
        <v>386.4</v>
      </c>
      <c r="X142" s="10">
        <v>327.60000000000002</v>
      </c>
      <c r="Y142" s="10">
        <v>373.8</v>
      </c>
      <c r="Z142" s="10">
        <v>420</v>
      </c>
      <c r="AA142" s="10">
        <v>449.4</v>
      </c>
      <c r="AB142" s="2"/>
      <c r="AC142" s="94" t="s">
        <v>92</v>
      </c>
      <c r="AD142" s="96" t="s">
        <v>96</v>
      </c>
      <c r="AE142" s="94" t="s">
        <v>97</v>
      </c>
      <c r="AF142" s="104" t="s">
        <v>108</v>
      </c>
    </row>
    <row r="143" spans="2:32" x14ac:dyDescent="0.3">
      <c r="B143" s="178"/>
      <c r="C143" s="129" t="s">
        <v>41</v>
      </c>
      <c r="D143" s="11">
        <v>457.8</v>
      </c>
      <c r="E143" s="12">
        <v>336</v>
      </c>
      <c r="F143" s="12">
        <v>693</v>
      </c>
      <c r="G143" s="12">
        <v>659.4</v>
      </c>
      <c r="H143" s="12">
        <v>617.4</v>
      </c>
      <c r="I143" s="12">
        <v>512.4</v>
      </c>
      <c r="J143" s="11">
        <v>592.20000000000005</v>
      </c>
      <c r="K143" s="12">
        <v>680.4</v>
      </c>
      <c r="L143" s="12">
        <v>764.4</v>
      </c>
      <c r="M143" s="12">
        <v>701.4</v>
      </c>
      <c r="N143" s="12">
        <v>718.2</v>
      </c>
      <c r="O143" s="12">
        <v>701.4</v>
      </c>
      <c r="P143" s="12">
        <v>638.4</v>
      </c>
      <c r="Q143" s="12">
        <v>781.2</v>
      </c>
      <c r="R143" s="12">
        <v>722.4</v>
      </c>
      <c r="S143" s="12">
        <v>672</v>
      </c>
      <c r="T143" s="12">
        <v>768.6</v>
      </c>
      <c r="U143" s="12">
        <v>730.8</v>
      </c>
      <c r="V143" s="12">
        <v>709.8</v>
      </c>
      <c r="W143" s="12">
        <v>621.6</v>
      </c>
      <c r="X143" s="12">
        <v>583.79999999999995</v>
      </c>
      <c r="Y143" s="12">
        <v>756</v>
      </c>
      <c r="Z143" s="12">
        <v>760.2</v>
      </c>
      <c r="AA143" s="12">
        <v>693</v>
      </c>
      <c r="AB143" s="2"/>
      <c r="AC143" s="94" t="s">
        <v>93</v>
      </c>
      <c r="AD143" s="95">
        <v>0</v>
      </c>
      <c r="AE143" s="96">
        <v>175</v>
      </c>
      <c r="AF143" s="104">
        <v>13.43</v>
      </c>
    </row>
    <row r="144" spans="2:32" x14ac:dyDescent="0.3">
      <c r="B144" s="178"/>
      <c r="C144" s="129" t="s">
        <v>6</v>
      </c>
      <c r="D144" s="13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3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2"/>
      <c r="AC144" s="94" t="s">
        <v>94</v>
      </c>
      <c r="AD144" s="95">
        <v>0.5</v>
      </c>
      <c r="AE144" s="96">
        <v>220</v>
      </c>
      <c r="AF144" s="104">
        <v>41.69</v>
      </c>
    </row>
    <row r="145" spans="2:32" x14ac:dyDescent="0.3">
      <c r="B145" s="178"/>
      <c r="C145" s="129" t="s">
        <v>7</v>
      </c>
      <c r="D145" s="11">
        <v>700</v>
      </c>
      <c r="E145" s="12">
        <v>700</v>
      </c>
      <c r="F145" s="12">
        <v>700</v>
      </c>
      <c r="G145" s="12">
        <v>700</v>
      </c>
      <c r="H145" s="12">
        <v>700</v>
      </c>
      <c r="I145" s="12">
        <v>700</v>
      </c>
      <c r="J145" s="11">
        <v>700</v>
      </c>
      <c r="K145" s="12">
        <v>700</v>
      </c>
      <c r="L145" s="12">
        <v>700</v>
      </c>
      <c r="M145" s="12">
        <v>700</v>
      </c>
      <c r="N145" s="12">
        <v>700</v>
      </c>
      <c r="O145" s="12">
        <v>700</v>
      </c>
      <c r="P145" s="12">
        <v>700</v>
      </c>
      <c r="Q145" s="12">
        <v>700</v>
      </c>
      <c r="R145" s="12">
        <v>700</v>
      </c>
      <c r="S145" s="12">
        <v>700</v>
      </c>
      <c r="T145" s="12">
        <v>700</v>
      </c>
      <c r="U145" s="12">
        <v>700</v>
      </c>
      <c r="V145" s="12">
        <v>700</v>
      </c>
      <c r="W145" s="12">
        <v>700</v>
      </c>
      <c r="X145" s="12">
        <v>700</v>
      </c>
      <c r="Y145" s="12">
        <v>700</v>
      </c>
      <c r="Z145" s="12">
        <v>700</v>
      </c>
      <c r="AA145" s="12">
        <v>700</v>
      </c>
      <c r="AB145" s="2"/>
      <c r="AC145" s="94" t="s">
        <v>95</v>
      </c>
      <c r="AD145" s="95">
        <v>1</v>
      </c>
      <c r="AE145" s="96">
        <v>310</v>
      </c>
      <c r="AF145" s="104">
        <v>62.43</v>
      </c>
    </row>
    <row r="146" spans="2:32" x14ac:dyDescent="0.3">
      <c r="B146" s="178"/>
      <c r="C146" s="129" t="s">
        <v>8</v>
      </c>
      <c r="D146" s="16">
        <f t="shared" ref="D146:AA146" si="111">IF(D155="Verde",0,IF(D142&gt;D144*1.05,D142-D144,0))</f>
        <v>0</v>
      </c>
      <c r="E146" s="16">
        <f t="shared" si="111"/>
        <v>0</v>
      </c>
      <c r="F146" s="16">
        <f t="shared" si="111"/>
        <v>0</v>
      </c>
      <c r="G146" s="16">
        <f t="shared" si="111"/>
        <v>0</v>
      </c>
      <c r="H146" s="16">
        <f t="shared" si="111"/>
        <v>0</v>
      </c>
      <c r="I146" s="16">
        <f t="shared" si="111"/>
        <v>0</v>
      </c>
      <c r="J146" s="16">
        <f t="shared" si="111"/>
        <v>0</v>
      </c>
      <c r="K146" s="16">
        <f t="shared" si="111"/>
        <v>0</v>
      </c>
      <c r="L146" s="16">
        <f t="shared" si="111"/>
        <v>0</v>
      </c>
      <c r="M146" s="16">
        <f t="shared" si="111"/>
        <v>0</v>
      </c>
      <c r="N146" s="16">
        <f t="shared" si="111"/>
        <v>0</v>
      </c>
      <c r="O146" s="16">
        <f t="shared" si="111"/>
        <v>0</v>
      </c>
      <c r="P146" s="16">
        <f t="shared" si="111"/>
        <v>0</v>
      </c>
      <c r="Q146" s="16">
        <f t="shared" si="111"/>
        <v>0</v>
      </c>
      <c r="R146" s="16">
        <f t="shared" si="111"/>
        <v>0</v>
      </c>
      <c r="S146" s="16">
        <f t="shared" si="111"/>
        <v>0</v>
      </c>
      <c r="T146" s="16">
        <f t="shared" si="111"/>
        <v>0</v>
      </c>
      <c r="U146" s="16">
        <f t="shared" si="111"/>
        <v>0</v>
      </c>
      <c r="V146" s="16">
        <f t="shared" si="111"/>
        <v>0</v>
      </c>
      <c r="W146" s="16">
        <f t="shared" si="111"/>
        <v>0</v>
      </c>
      <c r="X146" s="16">
        <f t="shared" si="111"/>
        <v>0</v>
      </c>
      <c r="Y146" s="16">
        <f t="shared" si="111"/>
        <v>0</v>
      </c>
      <c r="Z146" s="16">
        <f t="shared" si="111"/>
        <v>0</v>
      </c>
      <c r="AA146" s="16">
        <f t="shared" si="111"/>
        <v>0</v>
      </c>
      <c r="AB146" s="2"/>
    </row>
    <row r="147" spans="2:32" x14ac:dyDescent="0.3">
      <c r="B147" s="178"/>
      <c r="C147" s="129" t="s">
        <v>9</v>
      </c>
      <c r="D147" s="18">
        <f t="shared" ref="D147:AA147" si="112">IF(D143&gt;D145*1.05,D143-D145,0)</f>
        <v>0</v>
      </c>
      <c r="E147" s="18">
        <f t="shared" si="112"/>
        <v>0</v>
      </c>
      <c r="F147" s="18">
        <f t="shared" si="112"/>
        <v>0</v>
      </c>
      <c r="G147" s="18">
        <f t="shared" si="112"/>
        <v>0</v>
      </c>
      <c r="H147" s="18">
        <f t="shared" si="112"/>
        <v>0</v>
      </c>
      <c r="I147" s="18">
        <f t="shared" si="112"/>
        <v>0</v>
      </c>
      <c r="J147" s="18">
        <f t="shared" si="112"/>
        <v>0</v>
      </c>
      <c r="K147" s="18">
        <f t="shared" si="112"/>
        <v>0</v>
      </c>
      <c r="L147" s="18">
        <f t="shared" si="112"/>
        <v>64.399999999999977</v>
      </c>
      <c r="M147" s="18">
        <f t="shared" si="112"/>
        <v>0</v>
      </c>
      <c r="N147" s="18">
        <f t="shared" si="112"/>
        <v>0</v>
      </c>
      <c r="O147" s="18">
        <f t="shared" si="112"/>
        <v>0</v>
      </c>
      <c r="P147" s="18">
        <f t="shared" si="112"/>
        <v>0</v>
      </c>
      <c r="Q147" s="18">
        <f t="shared" si="112"/>
        <v>81.200000000000045</v>
      </c>
      <c r="R147" s="18">
        <f t="shared" si="112"/>
        <v>0</v>
      </c>
      <c r="S147" s="18">
        <f t="shared" si="112"/>
        <v>0</v>
      </c>
      <c r="T147" s="18">
        <f t="shared" si="112"/>
        <v>68.600000000000023</v>
      </c>
      <c r="U147" s="18">
        <f t="shared" si="112"/>
        <v>0</v>
      </c>
      <c r="V147" s="18">
        <f t="shared" si="112"/>
        <v>0</v>
      </c>
      <c r="W147" s="18">
        <f t="shared" si="112"/>
        <v>0</v>
      </c>
      <c r="X147" s="18">
        <f t="shared" si="112"/>
        <v>0</v>
      </c>
      <c r="Y147" s="18">
        <f t="shared" si="112"/>
        <v>56</v>
      </c>
      <c r="Z147" s="18">
        <f t="shared" si="112"/>
        <v>60.200000000000045</v>
      </c>
      <c r="AA147" s="18">
        <f t="shared" si="112"/>
        <v>0</v>
      </c>
      <c r="AB147" s="1" t="s">
        <v>43</v>
      </c>
    </row>
    <row r="148" spans="2:32" x14ac:dyDescent="0.3">
      <c r="B148" s="178"/>
      <c r="C148" s="129" t="s">
        <v>10</v>
      </c>
      <c r="D148" s="15">
        <v>8.82</v>
      </c>
      <c r="E148" s="16">
        <v>7.98</v>
      </c>
      <c r="F148" s="16">
        <v>10.5</v>
      </c>
      <c r="G148" s="16">
        <v>18.059999999999999</v>
      </c>
      <c r="H148" s="16">
        <v>17.64</v>
      </c>
      <c r="I148" s="16">
        <v>13.86</v>
      </c>
      <c r="J148" s="15">
        <v>14.28</v>
      </c>
      <c r="K148" s="16">
        <v>17.64</v>
      </c>
      <c r="L148" s="16">
        <v>21.84</v>
      </c>
      <c r="M148" s="16">
        <v>16.38</v>
      </c>
      <c r="N148" s="16">
        <v>17.64</v>
      </c>
      <c r="O148" s="16">
        <v>15.12</v>
      </c>
      <c r="P148" s="16">
        <v>11.34</v>
      </c>
      <c r="Q148" s="16">
        <v>11.76</v>
      </c>
      <c r="R148" s="16">
        <v>16.8</v>
      </c>
      <c r="S148" s="16">
        <v>16.8</v>
      </c>
      <c r="T148" s="16">
        <v>18.059999999999999</v>
      </c>
      <c r="U148" s="16">
        <v>21.42</v>
      </c>
      <c r="V148" s="16">
        <v>16.8</v>
      </c>
      <c r="W148" s="16">
        <v>18.48</v>
      </c>
      <c r="X148" s="16">
        <v>12.6</v>
      </c>
      <c r="Y148" s="16">
        <v>13.86</v>
      </c>
      <c r="Z148" s="16">
        <v>20.58</v>
      </c>
      <c r="AA148" s="16">
        <v>17.22</v>
      </c>
      <c r="AB148" s="2"/>
    </row>
    <row r="149" spans="2:32" x14ac:dyDescent="0.3">
      <c r="B149" s="178"/>
      <c r="C149" s="129" t="s">
        <v>11</v>
      </c>
      <c r="D149" s="17">
        <v>86.1</v>
      </c>
      <c r="E149" s="18">
        <v>91.56</v>
      </c>
      <c r="F149" s="18">
        <v>106.68</v>
      </c>
      <c r="G149" s="18">
        <v>152.04</v>
      </c>
      <c r="H149" s="18">
        <v>146.16</v>
      </c>
      <c r="I149" s="18">
        <v>122.22</v>
      </c>
      <c r="J149" s="17">
        <v>123.9</v>
      </c>
      <c r="K149" s="18">
        <v>140.69999999999999</v>
      </c>
      <c r="L149" s="18">
        <v>171.36</v>
      </c>
      <c r="M149" s="18">
        <v>145.32</v>
      </c>
      <c r="N149" s="18">
        <v>158.76</v>
      </c>
      <c r="O149" s="18">
        <v>148.26</v>
      </c>
      <c r="P149" s="18">
        <v>110.46</v>
      </c>
      <c r="Q149" s="18">
        <v>124.32</v>
      </c>
      <c r="R149" s="18">
        <v>146.16</v>
      </c>
      <c r="S149" s="18">
        <v>159.76</v>
      </c>
      <c r="T149" s="18">
        <v>167.58</v>
      </c>
      <c r="U149" s="18">
        <v>182.28</v>
      </c>
      <c r="V149" s="18">
        <v>149.94</v>
      </c>
      <c r="W149" s="18">
        <v>149.94</v>
      </c>
      <c r="X149" s="18">
        <v>128.52000000000001</v>
      </c>
      <c r="Y149" s="18">
        <v>140.69999999999999</v>
      </c>
      <c r="Z149" s="18">
        <v>176.4</v>
      </c>
      <c r="AA149" s="18">
        <v>161.28</v>
      </c>
      <c r="AB149" s="2"/>
      <c r="AC149" s="1" t="s">
        <v>45</v>
      </c>
      <c r="AD149" s="1">
        <f>SUM(P148:AA149)/SUM(P140:AA140)</f>
        <v>0.22751826484018267</v>
      </c>
      <c r="AF149" s="1">
        <v>145</v>
      </c>
    </row>
    <row r="150" spans="2:32" x14ac:dyDescent="0.3">
      <c r="B150" s="178"/>
      <c r="C150" s="129" t="s">
        <v>0</v>
      </c>
      <c r="D150" s="19" t="s">
        <v>44</v>
      </c>
      <c r="E150" s="20" t="s">
        <v>44</v>
      </c>
      <c r="F150" s="20" t="s">
        <v>44</v>
      </c>
      <c r="G150" s="20" t="s">
        <v>44</v>
      </c>
      <c r="H150" s="20" t="s">
        <v>44</v>
      </c>
      <c r="I150" s="20" t="s">
        <v>44</v>
      </c>
      <c r="J150" s="19" t="s">
        <v>44</v>
      </c>
      <c r="K150" s="20" t="s">
        <v>44</v>
      </c>
      <c r="L150" s="20" t="s">
        <v>44</v>
      </c>
      <c r="M150" s="20" t="s">
        <v>44</v>
      </c>
      <c r="N150" s="20" t="s">
        <v>44</v>
      </c>
      <c r="O150" s="20" t="s">
        <v>44</v>
      </c>
      <c r="P150" s="20" t="s">
        <v>44</v>
      </c>
      <c r="Q150" s="20" t="s">
        <v>44</v>
      </c>
      <c r="R150" s="20" t="s">
        <v>44</v>
      </c>
      <c r="S150" s="20" t="s">
        <v>44</v>
      </c>
      <c r="T150" s="20" t="s">
        <v>44</v>
      </c>
      <c r="U150" s="20" t="s">
        <v>44</v>
      </c>
      <c r="V150" s="20" t="s">
        <v>44</v>
      </c>
      <c r="W150" s="20" t="s">
        <v>44</v>
      </c>
      <c r="X150" s="20" t="s">
        <v>44</v>
      </c>
      <c r="Y150" s="20" t="s">
        <v>44</v>
      </c>
      <c r="Z150" s="20" t="s">
        <v>44</v>
      </c>
      <c r="AA150" s="20" t="s">
        <v>44</v>
      </c>
      <c r="AB150" s="2"/>
      <c r="AC150" s="1" t="s">
        <v>91</v>
      </c>
      <c r="AD150" s="93">
        <f>SUM(P148:AA148)/SUM(P148:AA149)</f>
        <v>9.8200756625490437E-2</v>
      </c>
      <c r="AF150" s="1">
        <v>17.64</v>
      </c>
    </row>
    <row r="151" spans="2:32" x14ac:dyDescent="0.3">
      <c r="B151" s="178"/>
      <c r="C151" s="107"/>
      <c r="D151" s="107"/>
      <c r="E151" s="107"/>
      <c r="F151" s="107"/>
      <c r="G151" s="107"/>
      <c r="H151" s="107"/>
      <c r="I151" s="107"/>
      <c r="J151" s="107"/>
      <c r="K151" s="107"/>
      <c r="L151" s="107"/>
      <c r="M151" s="107"/>
      <c r="N151" s="107"/>
      <c r="O151" s="107"/>
      <c r="P151" s="107"/>
      <c r="Q151" s="107"/>
      <c r="R151" s="107"/>
      <c r="S151" s="107"/>
      <c r="T151" s="107"/>
      <c r="U151" s="107"/>
      <c r="V151" s="107"/>
      <c r="W151" s="107"/>
      <c r="X151" s="107"/>
      <c r="Y151" s="107"/>
      <c r="Z151" s="107"/>
      <c r="AA151" s="108"/>
      <c r="AD151" s="1">
        <v>0.12392200974878137</v>
      </c>
      <c r="AF151" s="1">
        <f>AF149+AF150</f>
        <v>162.63999999999999</v>
      </c>
    </row>
    <row r="152" spans="2:32" x14ac:dyDescent="0.3">
      <c r="B152" s="178"/>
      <c r="C152" s="129" t="s">
        <v>12</v>
      </c>
      <c r="D152" s="126">
        <f>'SIMULAÇÃO CENÁRIOS'!$D$8</f>
        <v>1</v>
      </c>
      <c r="E152" s="126">
        <f>'SIMULAÇÃO CENÁRIOS'!$D$8</f>
        <v>1</v>
      </c>
      <c r="F152" s="126">
        <f>'SIMULAÇÃO CENÁRIOS'!$D$8</f>
        <v>1</v>
      </c>
      <c r="G152" s="126">
        <f>'SIMULAÇÃO CENÁRIOS'!$D$8</f>
        <v>1</v>
      </c>
      <c r="H152" s="126">
        <f>'SIMULAÇÃO CENÁRIOS'!$D$8</f>
        <v>1</v>
      </c>
      <c r="I152" s="126">
        <f>'SIMULAÇÃO CENÁRIOS'!$D$8</f>
        <v>1</v>
      </c>
      <c r="J152" s="126">
        <f>'SIMULAÇÃO CENÁRIOS'!$D$8</f>
        <v>1</v>
      </c>
      <c r="K152" s="126">
        <f>'SIMULAÇÃO CENÁRIOS'!$D$8</f>
        <v>1</v>
      </c>
      <c r="L152" s="126">
        <f>'SIMULAÇÃO CENÁRIOS'!$D$8</f>
        <v>1</v>
      </c>
      <c r="M152" s="126">
        <f>'SIMULAÇÃO CENÁRIOS'!$D$8</f>
        <v>1</v>
      </c>
      <c r="N152" s="126">
        <f>'SIMULAÇÃO CENÁRIOS'!$D$8</f>
        <v>1</v>
      </c>
      <c r="O152" s="126">
        <f>'SIMULAÇÃO CENÁRIOS'!$D$8</f>
        <v>1</v>
      </c>
      <c r="P152" s="126">
        <f>'SIMULAÇÃO CENÁRIOS'!$D$8</f>
        <v>1</v>
      </c>
      <c r="Q152" s="126">
        <f>'SIMULAÇÃO CENÁRIOS'!$D$8</f>
        <v>1</v>
      </c>
      <c r="R152" s="126">
        <f>'SIMULAÇÃO CENÁRIOS'!$D$8</f>
        <v>1</v>
      </c>
      <c r="S152" s="126">
        <f>'SIMULAÇÃO CENÁRIOS'!$D$8</f>
        <v>1</v>
      </c>
      <c r="T152" s="126">
        <f>'SIMULAÇÃO CENÁRIOS'!$D$8</f>
        <v>1</v>
      </c>
      <c r="U152" s="126">
        <f>'SIMULAÇÃO CENÁRIOS'!$D$8</f>
        <v>1</v>
      </c>
      <c r="V152" s="126">
        <f>'SIMULAÇÃO CENÁRIOS'!$D$8</f>
        <v>1</v>
      </c>
      <c r="W152" s="126">
        <f>'SIMULAÇÃO CENÁRIOS'!$D$8</f>
        <v>1</v>
      </c>
      <c r="X152" s="126">
        <f>'SIMULAÇÃO CENÁRIOS'!$D$8</f>
        <v>1</v>
      </c>
      <c r="Y152" s="126">
        <f>'SIMULAÇÃO CENÁRIOS'!$D$8</f>
        <v>1</v>
      </c>
      <c r="Z152" s="126">
        <f>'SIMULAÇÃO CENÁRIOS'!$D$8</f>
        <v>1</v>
      </c>
      <c r="AA152" s="126">
        <f>'SIMULAÇÃO CENÁRIOS'!$D$8</f>
        <v>1</v>
      </c>
    </row>
    <row r="153" spans="2:32" x14ac:dyDescent="0.3">
      <c r="B153" s="178"/>
      <c r="C153" s="107"/>
      <c r="D153" s="107"/>
      <c r="E153" s="107"/>
      <c r="F153" s="107"/>
      <c r="G153" s="107"/>
      <c r="H153" s="107"/>
      <c r="I153" s="107"/>
      <c r="J153" s="107"/>
      <c r="K153" s="107"/>
      <c r="L153" s="107"/>
      <c r="M153" s="107"/>
      <c r="N153" s="107"/>
      <c r="O153" s="107"/>
      <c r="P153" s="107"/>
      <c r="Q153" s="107"/>
      <c r="R153" s="107"/>
      <c r="S153" s="107"/>
      <c r="T153" s="107"/>
      <c r="U153" s="107"/>
      <c r="V153" s="107"/>
      <c r="W153" s="107"/>
      <c r="X153" s="107"/>
      <c r="Y153" s="107"/>
      <c r="Z153" s="107"/>
      <c r="AA153" s="108"/>
    </row>
    <row r="154" spans="2:32" x14ac:dyDescent="0.3">
      <c r="B154" s="178"/>
      <c r="C154" s="129" t="s">
        <v>13</v>
      </c>
      <c r="D154" s="9" t="s">
        <v>1</v>
      </c>
      <c r="E154" s="10" t="s">
        <v>1</v>
      </c>
      <c r="F154" s="10" t="s">
        <v>1</v>
      </c>
      <c r="G154" s="10" t="s">
        <v>1</v>
      </c>
      <c r="H154" s="10" t="s">
        <v>1</v>
      </c>
      <c r="I154" s="10" t="s">
        <v>1</v>
      </c>
      <c r="J154" s="9" t="s">
        <v>1</v>
      </c>
      <c r="K154" s="10" t="s">
        <v>1</v>
      </c>
      <c r="L154" s="10" t="s">
        <v>1</v>
      </c>
      <c r="M154" s="10" t="s">
        <v>1</v>
      </c>
      <c r="N154" s="10" t="s">
        <v>1</v>
      </c>
      <c r="O154" s="10" t="s">
        <v>1</v>
      </c>
      <c r="P154" s="9" t="s">
        <v>1</v>
      </c>
      <c r="Q154" s="9" t="s">
        <v>1</v>
      </c>
      <c r="R154" s="9" t="s">
        <v>1</v>
      </c>
      <c r="S154" s="9" t="s">
        <v>1</v>
      </c>
      <c r="T154" s="9" t="s">
        <v>1</v>
      </c>
      <c r="U154" s="9" t="s">
        <v>1</v>
      </c>
      <c r="V154" s="9" t="s">
        <v>1</v>
      </c>
      <c r="W154" s="9" t="s">
        <v>1</v>
      </c>
      <c r="X154" s="9" t="s">
        <v>1</v>
      </c>
      <c r="Y154" s="9" t="s">
        <v>1</v>
      </c>
      <c r="Z154" s="9" t="s">
        <v>1</v>
      </c>
      <c r="AA154" s="9" t="s">
        <v>1</v>
      </c>
      <c r="AF154" s="92">
        <f>AF151*1000</f>
        <v>162640</v>
      </c>
    </row>
    <row r="155" spans="2:32" x14ac:dyDescent="0.3">
      <c r="B155" s="178"/>
      <c r="C155" s="129" t="s">
        <v>14</v>
      </c>
      <c r="D155" s="11" t="s">
        <v>42</v>
      </c>
      <c r="E155" s="12" t="s">
        <v>42</v>
      </c>
      <c r="F155" s="12" t="s">
        <v>42</v>
      </c>
      <c r="G155" s="12" t="s">
        <v>42</v>
      </c>
      <c r="H155" s="12" t="s">
        <v>42</v>
      </c>
      <c r="I155" s="12" t="s">
        <v>42</v>
      </c>
      <c r="J155" s="11" t="s">
        <v>42</v>
      </c>
      <c r="K155" s="12" t="s">
        <v>42</v>
      </c>
      <c r="L155" s="12" t="s">
        <v>42</v>
      </c>
      <c r="M155" s="12" t="s">
        <v>42</v>
      </c>
      <c r="N155" s="12" t="s">
        <v>42</v>
      </c>
      <c r="O155" s="12" t="s">
        <v>42</v>
      </c>
      <c r="P155" s="12" t="s">
        <v>42</v>
      </c>
      <c r="Q155" s="12" t="s">
        <v>42</v>
      </c>
      <c r="R155" s="12" t="s">
        <v>42</v>
      </c>
      <c r="S155" s="12" t="s">
        <v>42</v>
      </c>
      <c r="T155" s="12" t="s">
        <v>42</v>
      </c>
      <c r="U155" s="12" t="s">
        <v>42</v>
      </c>
      <c r="V155" s="12" t="s">
        <v>42</v>
      </c>
      <c r="W155" s="12" t="s">
        <v>42</v>
      </c>
      <c r="X155" s="12" t="s">
        <v>42</v>
      </c>
      <c r="Y155" s="12" t="s">
        <v>42</v>
      </c>
      <c r="Z155" s="12" t="s">
        <v>42</v>
      </c>
      <c r="AA155" s="12" t="s">
        <v>42</v>
      </c>
      <c r="AF155" s="92">
        <f>AF154/100</f>
        <v>1626.4</v>
      </c>
    </row>
    <row r="156" spans="2:32" x14ac:dyDescent="0.3">
      <c r="B156" s="178"/>
      <c r="C156" s="129" t="s">
        <v>15</v>
      </c>
      <c r="D156" s="13">
        <v>49.84</v>
      </c>
      <c r="E156" s="14">
        <v>49.84</v>
      </c>
      <c r="F156" s="14">
        <v>49.84</v>
      </c>
      <c r="G156" s="14">
        <v>49.84</v>
      </c>
      <c r="H156" s="14">
        <v>49.84</v>
      </c>
      <c r="I156" s="14">
        <v>49.84</v>
      </c>
      <c r="J156" s="13">
        <v>49.84</v>
      </c>
      <c r="K156" s="14">
        <v>49.84</v>
      </c>
      <c r="L156" s="14">
        <v>49.84</v>
      </c>
      <c r="M156" s="14">
        <v>49.84</v>
      </c>
      <c r="N156" s="14">
        <v>49.84</v>
      </c>
      <c r="O156" s="14">
        <v>49.84</v>
      </c>
      <c r="P156" s="14">
        <v>49.84</v>
      </c>
      <c r="Q156" s="14">
        <v>49.84</v>
      </c>
      <c r="R156" s="14">
        <v>49.84</v>
      </c>
      <c r="S156" s="14">
        <v>49.84</v>
      </c>
      <c r="T156" s="14">
        <v>49.84</v>
      </c>
      <c r="U156" s="14">
        <v>49.84</v>
      </c>
      <c r="V156" s="14">
        <v>49.84</v>
      </c>
      <c r="W156" s="14">
        <v>49.84</v>
      </c>
      <c r="X156" s="14">
        <v>49.84</v>
      </c>
      <c r="Y156" s="14">
        <v>49.84</v>
      </c>
      <c r="Z156" s="14">
        <v>49.84</v>
      </c>
      <c r="AA156" s="14">
        <v>49.84</v>
      </c>
      <c r="AF156" s="1">
        <f>AF155*1.343</f>
        <v>2184.2552000000001</v>
      </c>
    </row>
    <row r="157" spans="2:32" x14ac:dyDescent="0.3">
      <c r="B157" s="178"/>
      <c r="C157" s="129" t="s">
        <v>16</v>
      </c>
      <c r="D157" s="11">
        <v>19.260000000000002</v>
      </c>
      <c r="E157" s="12">
        <v>19.260000000000002</v>
      </c>
      <c r="F157" s="12">
        <v>19.260000000000002</v>
      </c>
      <c r="G157" s="12">
        <v>19.260000000000002</v>
      </c>
      <c r="H157" s="12">
        <v>19.260000000000002</v>
      </c>
      <c r="I157" s="12">
        <v>19.260000000000002</v>
      </c>
      <c r="J157" s="11">
        <v>19.260000000000002</v>
      </c>
      <c r="K157" s="12">
        <v>19.260000000000002</v>
      </c>
      <c r="L157" s="12">
        <v>19.260000000000002</v>
      </c>
      <c r="M157" s="12">
        <v>19.260000000000002</v>
      </c>
      <c r="N157" s="12">
        <v>19.260000000000002</v>
      </c>
      <c r="O157" s="12">
        <v>19.260000000000002</v>
      </c>
      <c r="P157" s="12">
        <v>19.260000000000002</v>
      </c>
      <c r="Q157" s="12">
        <v>19.260000000000002</v>
      </c>
      <c r="R157" s="12">
        <v>19.260000000000002</v>
      </c>
      <c r="S157" s="12">
        <v>19.260000000000002</v>
      </c>
      <c r="T157" s="12">
        <v>19.260000000000002</v>
      </c>
      <c r="U157" s="12">
        <v>19.260000000000002</v>
      </c>
      <c r="V157" s="12">
        <v>19.260000000000002</v>
      </c>
      <c r="W157" s="12">
        <v>19.260000000000002</v>
      </c>
      <c r="X157" s="12">
        <v>19.260000000000002</v>
      </c>
      <c r="Y157" s="12">
        <v>19.260000000000002</v>
      </c>
      <c r="Z157" s="12">
        <v>19.260000000000002</v>
      </c>
      <c r="AA157" s="12">
        <v>19.260000000000002</v>
      </c>
    </row>
    <row r="158" spans="2:32" x14ac:dyDescent="0.3">
      <c r="B158" s="178"/>
      <c r="C158" s="129" t="s">
        <v>17</v>
      </c>
      <c r="D158" s="15">
        <v>1292.96</v>
      </c>
      <c r="E158" s="16">
        <v>1292.96</v>
      </c>
      <c r="F158" s="16">
        <v>1292.96</v>
      </c>
      <c r="G158" s="16">
        <v>1292.96</v>
      </c>
      <c r="H158" s="16">
        <v>1292.96</v>
      </c>
      <c r="I158" s="16">
        <v>1292.96</v>
      </c>
      <c r="J158" s="15">
        <v>1292.96</v>
      </c>
      <c r="K158" s="16">
        <v>1292.96</v>
      </c>
      <c r="L158" s="16">
        <v>1292.96</v>
      </c>
      <c r="M158" s="16">
        <v>1292.96</v>
      </c>
      <c r="N158" s="16">
        <v>1292.96</v>
      </c>
      <c r="O158" s="16">
        <v>1292.96</v>
      </c>
      <c r="P158" s="16">
        <v>1292.96</v>
      </c>
      <c r="Q158" s="16">
        <v>1292.96</v>
      </c>
      <c r="R158" s="16">
        <v>1292.96</v>
      </c>
      <c r="S158" s="16">
        <v>1292.96</v>
      </c>
      <c r="T158" s="16">
        <v>1292.96</v>
      </c>
      <c r="U158" s="16">
        <v>1292.96</v>
      </c>
      <c r="V158" s="16">
        <v>1292.96</v>
      </c>
      <c r="W158" s="16">
        <v>1292.96</v>
      </c>
      <c r="X158" s="16">
        <v>1292.96</v>
      </c>
      <c r="Y158" s="16">
        <v>1292.96</v>
      </c>
      <c r="Z158" s="16">
        <v>1292.96</v>
      </c>
      <c r="AA158" s="16">
        <v>1292.96</v>
      </c>
    </row>
    <row r="159" spans="2:32" x14ac:dyDescent="0.3">
      <c r="B159" s="178"/>
      <c r="C159" s="129" t="s">
        <v>18</v>
      </c>
      <c r="D159" s="17">
        <v>83.39</v>
      </c>
      <c r="E159" s="18">
        <v>83.39</v>
      </c>
      <c r="F159" s="18">
        <v>83.39</v>
      </c>
      <c r="G159" s="18">
        <v>83.39</v>
      </c>
      <c r="H159" s="18">
        <v>83.39</v>
      </c>
      <c r="I159" s="18">
        <v>83.39</v>
      </c>
      <c r="J159" s="17">
        <v>83.39</v>
      </c>
      <c r="K159" s="18">
        <v>83.39</v>
      </c>
      <c r="L159" s="18">
        <v>83.39</v>
      </c>
      <c r="M159" s="18">
        <v>83.39</v>
      </c>
      <c r="N159" s="18">
        <v>83.39</v>
      </c>
      <c r="O159" s="18">
        <v>83.39</v>
      </c>
      <c r="P159" s="18">
        <v>83.39</v>
      </c>
      <c r="Q159" s="18">
        <v>83.39</v>
      </c>
      <c r="R159" s="18">
        <v>83.39</v>
      </c>
      <c r="S159" s="18">
        <v>83.39</v>
      </c>
      <c r="T159" s="18">
        <v>83.39</v>
      </c>
      <c r="U159" s="18">
        <v>83.39</v>
      </c>
      <c r="V159" s="18">
        <v>83.39</v>
      </c>
      <c r="W159" s="18">
        <v>83.39</v>
      </c>
      <c r="X159" s="18">
        <v>83.39</v>
      </c>
      <c r="Y159" s="18">
        <v>83.39</v>
      </c>
      <c r="Z159" s="18">
        <v>83.39</v>
      </c>
      <c r="AA159" s="18">
        <v>83.39</v>
      </c>
    </row>
    <row r="160" spans="2:32" x14ac:dyDescent="0.3">
      <c r="B160" s="178"/>
      <c r="C160" s="129" t="s">
        <v>19</v>
      </c>
      <c r="D160" s="15">
        <v>420.68</v>
      </c>
      <c r="E160" s="16">
        <v>420.68</v>
      </c>
      <c r="F160" s="16">
        <v>420.68</v>
      </c>
      <c r="G160" s="16">
        <v>420.68</v>
      </c>
      <c r="H160" s="16">
        <v>420.68</v>
      </c>
      <c r="I160" s="16">
        <v>420.68</v>
      </c>
      <c r="J160" s="15">
        <v>420.68</v>
      </c>
      <c r="K160" s="16">
        <v>420.68</v>
      </c>
      <c r="L160" s="16">
        <v>420.68</v>
      </c>
      <c r="M160" s="16">
        <v>420.68</v>
      </c>
      <c r="N160" s="16">
        <v>420.68</v>
      </c>
      <c r="O160" s="16">
        <v>420.68</v>
      </c>
      <c r="P160" s="16">
        <v>420.68</v>
      </c>
      <c r="Q160" s="16">
        <v>420.68</v>
      </c>
      <c r="R160" s="16">
        <v>420.68</v>
      </c>
      <c r="S160" s="16">
        <v>420.68</v>
      </c>
      <c r="T160" s="16">
        <v>420.68</v>
      </c>
      <c r="U160" s="16">
        <v>420.68</v>
      </c>
      <c r="V160" s="16">
        <v>420.68</v>
      </c>
      <c r="W160" s="16">
        <v>420.68</v>
      </c>
      <c r="X160" s="16">
        <v>420.68</v>
      </c>
      <c r="Y160" s="16">
        <v>420.68</v>
      </c>
      <c r="Z160" s="16">
        <v>420.68</v>
      </c>
      <c r="AA160" s="16">
        <v>420.68</v>
      </c>
    </row>
    <row r="161" spans="2:27" x14ac:dyDescent="0.3">
      <c r="B161" s="178"/>
      <c r="C161" s="130" t="s">
        <v>20</v>
      </c>
      <c r="D161" s="21">
        <v>251.44</v>
      </c>
      <c r="E161" s="22">
        <v>251.44</v>
      </c>
      <c r="F161" s="22">
        <v>251.44</v>
      </c>
      <c r="G161" s="22">
        <v>251.44</v>
      </c>
      <c r="H161" s="22">
        <v>251.44</v>
      </c>
      <c r="I161" s="22">
        <v>251.44</v>
      </c>
      <c r="J161" s="21">
        <v>251.44</v>
      </c>
      <c r="K161" s="22">
        <v>251.44</v>
      </c>
      <c r="L161" s="22">
        <v>251.44</v>
      </c>
      <c r="M161" s="22">
        <v>251.44</v>
      </c>
      <c r="N161" s="22">
        <v>251.44</v>
      </c>
      <c r="O161" s="22">
        <v>251.44</v>
      </c>
      <c r="P161" s="22">
        <v>251.44</v>
      </c>
      <c r="Q161" s="22">
        <v>251.44</v>
      </c>
      <c r="R161" s="22">
        <v>251.44</v>
      </c>
      <c r="S161" s="22">
        <v>251.44</v>
      </c>
      <c r="T161" s="22">
        <v>251.44</v>
      </c>
      <c r="U161" s="22">
        <v>251.44</v>
      </c>
      <c r="V161" s="22">
        <v>251.44</v>
      </c>
      <c r="W161" s="22">
        <v>251.44</v>
      </c>
      <c r="X161" s="22">
        <v>251.44</v>
      </c>
      <c r="Y161" s="22">
        <v>251.44</v>
      </c>
      <c r="Z161" s="22">
        <v>251.44</v>
      </c>
      <c r="AA161" s="22">
        <v>251.44</v>
      </c>
    </row>
    <row r="162" spans="2:27" x14ac:dyDescent="0.3">
      <c r="B162" s="178"/>
      <c r="C162" s="107"/>
      <c r="D162" s="107"/>
      <c r="E162" s="107"/>
      <c r="F162" s="107"/>
      <c r="G162" s="107"/>
      <c r="H162" s="107"/>
      <c r="I162" s="107"/>
      <c r="J162" s="107"/>
      <c r="K162" s="107"/>
      <c r="L162" s="107"/>
      <c r="M162" s="107"/>
      <c r="N162" s="107"/>
      <c r="O162" s="107"/>
      <c r="P162" s="107"/>
      <c r="Q162" s="107"/>
      <c r="R162" s="107"/>
      <c r="S162" s="107"/>
      <c r="T162" s="107"/>
      <c r="U162" s="107"/>
      <c r="V162" s="107"/>
      <c r="W162" s="107"/>
      <c r="X162" s="107"/>
      <c r="Y162" s="107"/>
      <c r="Z162" s="107"/>
      <c r="AA162" s="23"/>
    </row>
    <row r="163" spans="2:27" x14ac:dyDescent="0.3">
      <c r="B163" s="178"/>
      <c r="C163" s="129" t="s">
        <v>21</v>
      </c>
      <c r="D163" s="24">
        <v>0.27</v>
      </c>
      <c r="E163" s="24">
        <v>0.27</v>
      </c>
      <c r="F163" s="24">
        <v>0.27</v>
      </c>
      <c r="G163" s="24">
        <v>0.27</v>
      </c>
      <c r="H163" s="24">
        <v>0.27</v>
      </c>
      <c r="I163" s="24">
        <v>0.27</v>
      </c>
      <c r="J163" s="24">
        <v>0.27</v>
      </c>
      <c r="K163" s="24">
        <v>0.27</v>
      </c>
      <c r="L163" s="24">
        <v>0.27</v>
      </c>
      <c r="M163" s="24">
        <v>0.27</v>
      </c>
      <c r="N163" s="24">
        <v>0.27</v>
      </c>
      <c r="O163" s="24">
        <v>0.27</v>
      </c>
      <c r="P163" s="24">
        <v>0.27</v>
      </c>
      <c r="Q163" s="24">
        <v>0.27</v>
      </c>
      <c r="R163" s="24">
        <v>0.27</v>
      </c>
      <c r="S163" s="24">
        <v>0.27</v>
      </c>
      <c r="T163" s="24">
        <v>0.27</v>
      </c>
      <c r="U163" s="24">
        <v>0.27</v>
      </c>
      <c r="V163" s="24">
        <v>0.27</v>
      </c>
      <c r="W163" s="24">
        <v>0.27</v>
      </c>
      <c r="X163" s="24">
        <v>0.27</v>
      </c>
      <c r="Y163" s="24">
        <v>0.27</v>
      </c>
      <c r="Z163" s="24">
        <v>0.27</v>
      </c>
      <c r="AA163" s="24">
        <v>0.27</v>
      </c>
    </row>
    <row r="164" spans="2:27" x14ac:dyDescent="0.3">
      <c r="B164" s="178"/>
      <c r="C164" s="129" t="s">
        <v>22</v>
      </c>
      <c r="D164" s="25">
        <v>0.05</v>
      </c>
      <c r="E164" s="26">
        <v>0.05</v>
      </c>
      <c r="F164" s="26">
        <v>0.05</v>
      </c>
      <c r="G164" s="26">
        <v>0.05</v>
      </c>
      <c r="H164" s="26">
        <v>0.05</v>
      </c>
      <c r="I164" s="26">
        <v>0.05</v>
      </c>
      <c r="J164" s="25">
        <v>0.05</v>
      </c>
      <c r="K164" s="26">
        <v>0.05</v>
      </c>
      <c r="L164" s="26">
        <v>0.05</v>
      </c>
      <c r="M164" s="26">
        <v>0.05</v>
      </c>
      <c r="N164" s="26">
        <v>0.05</v>
      </c>
      <c r="O164" s="26">
        <v>0.05</v>
      </c>
      <c r="P164" s="26">
        <v>0.05</v>
      </c>
      <c r="Q164" s="26">
        <v>0.05</v>
      </c>
      <c r="R164" s="26">
        <v>0.05</v>
      </c>
      <c r="S164" s="26">
        <v>0.05</v>
      </c>
      <c r="T164" s="26">
        <v>0.05</v>
      </c>
      <c r="U164" s="26">
        <v>0.05</v>
      </c>
      <c r="V164" s="26">
        <v>0.05</v>
      </c>
      <c r="W164" s="26">
        <v>0.05</v>
      </c>
      <c r="X164" s="26">
        <v>0.05</v>
      </c>
      <c r="Y164" s="26">
        <v>0.05</v>
      </c>
      <c r="Z164" s="26">
        <v>0.05</v>
      </c>
      <c r="AA164" s="26">
        <v>0.05</v>
      </c>
    </row>
    <row r="165" spans="2:27" x14ac:dyDescent="0.3">
      <c r="B165" s="178"/>
      <c r="C165" s="107"/>
      <c r="D165" s="107"/>
      <c r="E165" s="107"/>
      <c r="F165" s="107"/>
      <c r="G165" s="107"/>
      <c r="H165" s="107"/>
      <c r="I165" s="107"/>
      <c r="J165" s="107"/>
      <c r="K165" s="107"/>
      <c r="L165" s="107"/>
      <c r="M165" s="107"/>
      <c r="N165" s="107"/>
      <c r="O165" s="107"/>
      <c r="P165" s="107"/>
      <c r="Q165" s="107"/>
      <c r="R165" s="107"/>
      <c r="S165" s="107"/>
      <c r="T165" s="107"/>
      <c r="U165" s="107"/>
      <c r="V165" s="107"/>
      <c r="W165" s="107"/>
      <c r="X165" s="107"/>
      <c r="Y165" s="107"/>
      <c r="Z165" s="107"/>
      <c r="AA165" s="23"/>
    </row>
    <row r="166" spans="2:27" x14ac:dyDescent="0.3">
      <c r="B166" s="178"/>
      <c r="C166" s="131" t="s">
        <v>23</v>
      </c>
      <c r="D166" s="27">
        <f>IF(D155="Azul",D144*D156*(1-D152),0)</f>
        <v>0</v>
      </c>
      <c r="E166" s="28">
        <f t="shared" ref="E166:O166" si="113">IF(E155="Azul",E144*E156*(1-E152),0)</f>
        <v>0</v>
      </c>
      <c r="F166" s="28">
        <f t="shared" si="113"/>
        <v>0</v>
      </c>
      <c r="G166" s="28">
        <f t="shared" si="113"/>
        <v>0</v>
      </c>
      <c r="H166" s="28">
        <f t="shared" si="113"/>
        <v>0</v>
      </c>
      <c r="I166" s="28">
        <f t="shared" si="113"/>
        <v>0</v>
      </c>
      <c r="J166" s="27">
        <f t="shared" si="113"/>
        <v>0</v>
      </c>
      <c r="K166" s="28">
        <f t="shared" si="113"/>
        <v>0</v>
      </c>
      <c r="L166" s="28">
        <f t="shared" si="113"/>
        <v>0</v>
      </c>
      <c r="M166" s="28">
        <f t="shared" si="113"/>
        <v>0</v>
      </c>
      <c r="N166" s="28">
        <f t="shared" si="113"/>
        <v>0</v>
      </c>
      <c r="O166" s="28">
        <f t="shared" si="113"/>
        <v>0</v>
      </c>
      <c r="P166" s="27">
        <f>IF(P155="Azul",P144*P156*(1-P152),0)</f>
        <v>0</v>
      </c>
      <c r="Q166" s="28">
        <f t="shared" ref="Q166:AA166" si="114">IF(Q155="Azul",Q144*Q156*(1-Q152),0)</f>
        <v>0</v>
      </c>
      <c r="R166" s="28">
        <f t="shared" si="114"/>
        <v>0</v>
      </c>
      <c r="S166" s="28">
        <f t="shared" si="114"/>
        <v>0</v>
      </c>
      <c r="T166" s="28">
        <f t="shared" si="114"/>
        <v>0</v>
      </c>
      <c r="U166" s="28">
        <f t="shared" si="114"/>
        <v>0</v>
      </c>
      <c r="V166" s="28">
        <f t="shared" si="114"/>
        <v>0</v>
      </c>
      <c r="W166" s="28">
        <f t="shared" si="114"/>
        <v>0</v>
      </c>
      <c r="X166" s="28">
        <f t="shared" si="114"/>
        <v>0</v>
      </c>
      <c r="Y166" s="28">
        <f t="shared" si="114"/>
        <v>0</v>
      </c>
      <c r="Z166" s="28">
        <f t="shared" si="114"/>
        <v>0</v>
      </c>
      <c r="AA166" s="28">
        <f t="shared" si="114"/>
        <v>0</v>
      </c>
    </row>
    <row r="167" spans="2:27" x14ac:dyDescent="0.3">
      <c r="B167" s="178"/>
      <c r="C167" s="131" t="s">
        <v>24</v>
      </c>
      <c r="D167" s="29">
        <f>D146*D156*2</f>
        <v>0</v>
      </c>
      <c r="E167" s="30">
        <f t="shared" ref="E167:O167" si="115">E146*E156*2</f>
        <v>0</v>
      </c>
      <c r="F167" s="30">
        <f t="shared" si="115"/>
        <v>0</v>
      </c>
      <c r="G167" s="30">
        <f t="shared" si="115"/>
        <v>0</v>
      </c>
      <c r="H167" s="30">
        <f t="shared" si="115"/>
        <v>0</v>
      </c>
      <c r="I167" s="30">
        <f t="shared" si="115"/>
        <v>0</v>
      </c>
      <c r="J167" s="29">
        <f t="shared" si="115"/>
        <v>0</v>
      </c>
      <c r="K167" s="30">
        <f t="shared" si="115"/>
        <v>0</v>
      </c>
      <c r="L167" s="30">
        <f t="shared" si="115"/>
        <v>0</v>
      </c>
      <c r="M167" s="30">
        <f t="shared" si="115"/>
        <v>0</v>
      </c>
      <c r="N167" s="30">
        <f t="shared" si="115"/>
        <v>0</v>
      </c>
      <c r="O167" s="30">
        <f t="shared" si="115"/>
        <v>0</v>
      </c>
      <c r="P167" s="29">
        <f>P146*P156*2</f>
        <v>0</v>
      </c>
      <c r="Q167" s="30">
        <f t="shared" ref="Q167:AA167" si="116">Q146*Q156*2</f>
        <v>0</v>
      </c>
      <c r="R167" s="30">
        <f t="shared" si="116"/>
        <v>0</v>
      </c>
      <c r="S167" s="30">
        <f t="shared" si="116"/>
        <v>0</v>
      </c>
      <c r="T167" s="30">
        <f t="shared" si="116"/>
        <v>0</v>
      </c>
      <c r="U167" s="30">
        <f t="shared" si="116"/>
        <v>0</v>
      </c>
      <c r="V167" s="30">
        <f t="shared" si="116"/>
        <v>0</v>
      </c>
      <c r="W167" s="30">
        <f t="shared" si="116"/>
        <v>0</v>
      </c>
      <c r="X167" s="30">
        <f t="shared" si="116"/>
        <v>0</v>
      </c>
      <c r="Y167" s="30">
        <f t="shared" si="116"/>
        <v>0</v>
      </c>
      <c r="Z167" s="30">
        <f t="shared" si="116"/>
        <v>0</v>
      </c>
      <c r="AA167" s="30">
        <f t="shared" si="116"/>
        <v>0</v>
      </c>
    </row>
    <row r="168" spans="2:27" x14ac:dyDescent="0.3">
      <c r="B168" s="178"/>
      <c r="C168" s="131" t="s">
        <v>25</v>
      </c>
      <c r="D168" s="31">
        <f>D145*D157*(1-D152)</f>
        <v>0</v>
      </c>
      <c r="E168" s="32">
        <f t="shared" ref="E168:O168" si="117">E145*E157*(1-E152)</f>
        <v>0</v>
      </c>
      <c r="F168" s="32">
        <f t="shared" si="117"/>
        <v>0</v>
      </c>
      <c r="G168" s="32">
        <f t="shared" si="117"/>
        <v>0</v>
      </c>
      <c r="H168" s="32">
        <f t="shared" si="117"/>
        <v>0</v>
      </c>
      <c r="I168" s="32">
        <f t="shared" si="117"/>
        <v>0</v>
      </c>
      <c r="J168" s="31">
        <f t="shared" si="117"/>
        <v>0</v>
      </c>
      <c r="K168" s="32">
        <f t="shared" si="117"/>
        <v>0</v>
      </c>
      <c r="L168" s="32">
        <f t="shared" si="117"/>
        <v>0</v>
      </c>
      <c r="M168" s="32">
        <f t="shared" si="117"/>
        <v>0</v>
      </c>
      <c r="N168" s="32">
        <f t="shared" si="117"/>
        <v>0</v>
      </c>
      <c r="O168" s="32">
        <f t="shared" si="117"/>
        <v>0</v>
      </c>
      <c r="P168" s="31">
        <f>P145*P157*(1-P152)</f>
        <v>0</v>
      </c>
      <c r="Q168" s="32">
        <f t="shared" ref="Q168:AA168" si="118">Q145*Q157*(1-Q152)</f>
        <v>0</v>
      </c>
      <c r="R168" s="32">
        <f t="shared" si="118"/>
        <v>0</v>
      </c>
      <c r="S168" s="32">
        <f t="shared" si="118"/>
        <v>0</v>
      </c>
      <c r="T168" s="32">
        <f t="shared" si="118"/>
        <v>0</v>
      </c>
      <c r="U168" s="32">
        <f t="shared" si="118"/>
        <v>0</v>
      </c>
      <c r="V168" s="32">
        <f t="shared" si="118"/>
        <v>0</v>
      </c>
      <c r="W168" s="32">
        <f t="shared" si="118"/>
        <v>0</v>
      </c>
      <c r="X168" s="32">
        <f t="shared" si="118"/>
        <v>0</v>
      </c>
      <c r="Y168" s="32">
        <f t="shared" si="118"/>
        <v>0</v>
      </c>
      <c r="Z168" s="32">
        <f t="shared" si="118"/>
        <v>0</v>
      </c>
      <c r="AA168" s="32">
        <f t="shared" si="118"/>
        <v>0</v>
      </c>
    </row>
    <row r="169" spans="2:27" x14ac:dyDescent="0.3">
      <c r="B169" s="178"/>
      <c r="C169" s="131" t="s">
        <v>26</v>
      </c>
      <c r="D169" s="29">
        <f>D147*D157*2</f>
        <v>0</v>
      </c>
      <c r="E169" s="30">
        <f t="shared" ref="E169:O169" si="119">E147*E157*2</f>
        <v>0</v>
      </c>
      <c r="F169" s="30">
        <f t="shared" si="119"/>
        <v>0</v>
      </c>
      <c r="G169" s="30">
        <f t="shared" si="119"/>
        <v>0</v>
      </c>
      <c r="H169" s="30">
        <f t="shared" si="119"/>
        <v>0</v>
      </c>
      <c r="I169" s="30">
        <f t="shared" si="119"/>
        <v>0</v>
      </c>
      <c r="J169" s="29">
        <f t="shared" si="119"/>
        <v>0</v>
      </c>
      <c r="K169" s="30">
        <f t="shared" si="119"/>
        <v>0</v>
      </c>
      <c r="L169" s="30">
        <f t="shared" si="119"/>
        <v>2480.6879999999992</v>
      </c>
      <c r="M169" s="30">
        <f t="shared" si="119"/>
        <v>0</v>
      </c>
      <c r="N169" s="30">
        <f t="shared" si="119"/>
        <v>0</v>
      </c>
      <c r="O169" s="30">
        <f t="shared" si="119"/>
        <v>0</v>
      </c>
      <c r="P169" s="29">
        <f>P147*P157*2</f>
        <v>0</v>
      </c>
      <c r="Q169" s="30">
        <f t="shared" ref="Q169:AA169" si="120">Q147*Q157*2</f>
        <v>3127.8240000000019</v>
      </c>
      <c r="R169" s="30">
        <f t="shared" si="120"/>
        <v>0</v>
      </c>
      <c r="S169" s="30">
        <f t="shared" si="120"/>
        <v>0</v>
      </c>
      <c r="T169" s="30">
        <f t="shared" si="120"/>
        <v>2642.4720000000011</v>
      </c>
      <c r="U169" s="30">
        <f t="shared" si="120"/>
        <v>0</v>
      </c>
      <c r="V169" s="30">
        <f t="shared" si="120"/>
        <v>0</v>
      </c>
      <c r="W169" s="30">
        <f t="shared" si="120"/>
        <v>0</v>
      </c>
      <c r="X169" s="30">
        <f t="shared" si="120"/>
        <v>0</v>
      </c>
      <c r="Y169" s="30">
        <f t="shared" si="120"/>
        <v>2157.1200000000003</v>
      </c>
      <c r="Z169" s="30">
        <f t="shared" si="120"/>
        <v>2318.9040000000018</v>
      </c>
      <c r="AA169" s="30">
        <f t="shared" si="120"/>
        <v>0</v>
      </c>
    </row>
    <row r="170" spans="2:27" x14ac:dyDescent="0.3">
      <c r="B170" s="178"/>
      <c r="C170" s="131" t="s">
        <v>27</v>
      </c>
      <c r="D170" s="31">
        <f>IF(D155="Azul",D148*D159,D148*((D158-D159)*(1-D152)+D159))</f>
        <v>735.49980000000005</v>
      </c>
      <c r="E170" s="32">
        <f t="shared" ref="E170:O170" si="121">IF(E155="Azul",E148*E159,E148*((E158-E159)*(1-E152)+E159))</f>
        <v>665.45220000000006</v>
      </c>
      <c r="F170" s="32">
        <f t="shared" si="121"/>
        <v>875.59500000000003</v>
      </c>
      <c r="G170" s="32">
        <f t="shared" si="121"/>
        <v>1506.0233999999998</v>
      </c>
      <c r="H170" s="32">
        <f t="shared" si="121"/>
        <v>1470.9996000000001</v>
      </c>
      <c r="I170" s="32">
        <f t="shared" si="121"/>
        <v>1155.7854</v>
      </c>
      <c r="J170" s="31">
        <f t="shared" si="121"/>
        <v>1190.8091999999999</v>
      </c>
      <c r="K170" s="32">
        <f t="shared" si="121"/>
        <v>1470.9996000000001</v>
      </c>
      <c r="L170" s="32">
        <f t="shared" si="121"/>
        <v>1821.2375999999999</v>
      </c>
      <c r="M170" s="32">
        <f t="shared" si="121"/>
        <v>1365.9281999999998</v>
      </c>
      <c r="N170" s="32">
        <f t="shared" si="121"/>
        <v>1470.9996000000001</v>
      </c>
      <c r="O170" s="32">
        <f t="shared" si="121"/>
        <v>1260.8568</v>
      </c>
      <c r="P170" s="31">
        <f>IF(P155="Azul",P148*P159,P148*((P158-P159)*(1-P152)+P159))</f>
        <v>945.64260000000002</v>
      </c>
      <c r="Q170" s="32">
        <f t="shared" ref="Q170:AA170" si="122">IF(Q155="Azul",Q148*Q159,Q148*((Q158-Q159)*(1-Q152)+Q159))</f>
        <v>980.66639999999995</v>
      </c>
      <c r="R170" s="32">
        <f t="shared" si="122"/>
        <v>1400.952</v>
      </c>
      <c r="S170" s="32">
        <f t="shared" si="122"/>
        <v>1400.952</v>
      </c>
      <c r="T170" s="32">
        <f t="shared" si="122"/>
        <v>1506.0233999999998</v>
      </c>
      <c r="U170" s="32">
        <f t="shared" si="122"/>
        <v>1786.2138000000002</v>
      </c>
      <c r="V170" s="32">
        <f t="shared" si="122"/>
        <v>1400.952</v>
      </c>
      <c r="W170" s="32">
        <f t="shared" si="122"/>
        <v>1541.0472</v>
      </c>
      <c r="X170" s="32">
        <f t="shared" si="122"/>
        <v>1050.7139999999999</v>
      </c>
      <c r="Y170" s="32">
        <f t="shared" si="122"/>
        <v>1155.7854</v>
      </c>
      <c r="Z170" s="32">
        <f t="shared" si="122"/>
        <v>1716.1661999999999</v>
      </c>
      <c r="AA170" s="32">
        <f t="shared" si="122"/>
        <v>1435.9757999999999</v>
      </c>
    </row>
    <row r="171" spans="2:27" x14ac:dyDescent="0.3">
      <c r="B171" s="178"/>
      <c r="C171" s="132" t="s">
        <v>28</v>
      </c>
      <c r="D171" s="33">
        <f>D149*D159</f>
        <v>7179.8789999999999</v>
      </c>
      <c r="E171" s="34">
        <f t="shared" ref="E171:O171" si="123">E149*E159</f>
        <v>7635.1884</v>
      </c>
      <c r="F171" s="34">
        <f t="shared" si="123"/>
        <v>8896.0452000000005</v>
      </c>
      <c r="G171" s="34">
        <f t="shared" si="123"/>
        <v>12678.615599999999</v>
      </c>
      <c r="H171" s="34">
        <f t="shared" si="123"/>
        <v>12188.2824</v>
      </c>
      <c r="I171" s="34">
        <f t="shared" si="123"/>
        <v>10191.925799999999</v>
      </c>
      <c r="J171" s="33">
        <f t="shared" si="123"/>
        <v>10332.021000000001</v>
      </c>
      <c r="K171" s="34">
        <f t="shared" si="123"/>
        <v>11732.973</v>
      </c>
      <c r="L171" s="34">
        <f t="shared" si="123"/>
        <v>14289.710400000002</v>
      </c>
      <c r="M171" s="34">
        <f t="shared" si="123"/>
        <v>12118.2348</v>
      </c>
      <c r="N171" s="34">
        <f t="shared" si="123"/>
        <v>13238.9964</v>
      </c>
      <c r="O171" s="34">
        <f t="shared" si="123"/>
        <v>12363.401399999999</v>
      </c>
      <c r="P171" s="33">
        <f>P149*P159</f>
        <v>9211.259399999999</v>
      </c>
      <c r="Q171" s="34">
        <f t="shared" ref="Q171:AA171" si="124">Q149*Q159</f>
        <v>10367.0448</v>
      </c>
      <c r="R171" s="34">
        <f t="shared" si="124"/>
        <v>12188.2824</v>
      </c>
      <c r="S171" s="34">
        <f t="shared" si="124"/>
        <v>13322.386399999999</v>
      </c>
      <c r="T171" s="34">
        <f t="shared" si="124"/>
        <v>13974.496200000001</v>
      </c>
      <c r="U171" s="34">
        <f t="shared" si="124"/>
        <v>15200.3292</v>
      </c>
      <c r="V171" s="34">
        <f t="shared" si="124"/>
        <v>12503.4966</v>
      </c>
      <c r="W171" s="34">
        <f t="shared" si="124"/>
        <v>12503.4966</v>
      </c>
      <c r="X171" s="34">
        <f t="shared" si="124"/>
        <v>10717.282800000001</v>
      </c>
      <c r="Y171" s="34">
        <f t="shared" si="124"/>
        <v>11732.973</v>
      </c>
      <c r="Z171" s="34">
        <f t="shared" si="124"/>
        <v>14709.996000000001</v>
      </c>
      <c r="AA171" s="34">
        <f t="shared" si="124"/>
        <v>13449.1392</v>
      </c>
    </row>
    <row r="172" spans="2:27" x14ac:dyDescent="0.3">
      <c r="B172" s="178"/>
      <c r="C172" s="131" t="s">
        <v>29</v>
      </c>
      <c r="D172" s="27">
        <f>SUM(D166:D171)</f>
        <v>7915.3788000000004</v>
      </c>
      <c r="E172" s="28">
        <f>SUM(E166:E171)</f>
        <v>8300.6406000000006</v>
      </c>
      <c r="F172" s="28">
        <f>SUM(F166:F171)</f>
        <v>9771.6401999999998</v>
      </c>
      <c r="G172" s="28">
        <f t="shared" ref="G172:O172" si="125">SUM(G166:G171)</f>
        <v>14184.638999999999</v>
      </c>
      <c r="H172" s="28">
        <f t="shared" si="125"/>
        <v>13659.281999999999</v>
      </c>
      <c r="I172" s="28">
        <f t="shared" si="125"/>
        <v>11347.7112</v>
      </c>
      <c r="J172" s="27">
        <f t="shared" si="125"/>
        <v>11522.8302</v>
      </c>
      <c r="K172" s="28">
        <f t="shared" si="125"/>
        <v>13203.972600000001</v>
      </c>
      <c r="L172" s="28">
        <f t="shared" si="125"/>
        <v>18591.635999999999</v>
      </c>
      <c r="M172" s="28">
        <f t="shared" si="125"/>
        <v>13484.163</v>
      </c>
      <c r="N172" s="28">
        <f t="shared" si="125"/>
        <v>14709.995999999999</v>
      </c>
      <c r="O172" s="28">
        <f t="shared" si="125"/>
        <v>13624.258199999998</v>
      </c>
      <c r="P172" s="27">
        <f>SUM(P166:P171)</f>
        <v>10156.901999999998</v>
      </c>
      <c r="Q172" s="28">
        <f t="shared" ref="Q172:AA172" si="126">SUM(Q166:Q171)</f>
        <v>14475.535200000002</v>
      </c>
      <c r="R172" s="28">
        <f t="shared" si="126"/>
        <v>13589.234399999999</v>
      </c>
      <c r="S172" s="28">
        <f t="shared" si="126"/>
        <v>14723.338399999999</v>
      </c>
      <c r="T172" s="28">
        <f t="shared" si="126"/>
        <v>18122.991600000001</v>
      </c>
      <c r="U172" s="28">
        <f t="shared" si="126"/>
        <v>16986.543000000001</v>
      </c>
      <c r="V172" s="28">
        <f t="shared" si="126"/>
        <v>13904.4486</v>
      </c>
      <c r="W172" s="28">
        <f t="shared" si="126"/>
        <v>14044.543799999999</v>
      </c>
      <c r="X172" s="28">
        <f t="shared" si="126"/>
        <v>11767.996800000001</v>
      </c>
      <c r="Y172" s="28">
        <f t="shared" si="126"/>
        <v>15045.878400000001</v>
      </c>
      <c r="Z172" s="28">
        <f t="shared" si="126"/>
        <v>18745.066200000001</v>
      </c>
      <c r="AA172" s="28">
        <f t="shared" si="126"/>
        <v>14885.115</v>
      </c>
    </row>
    <row r="173" spans="2:27" x14ac:dyDescent="0.3">
      <c r="B173" s="178"/>
      <c r="C173" s="131" t="s">
        <v>30</v>
      </c>
      <c r="D173" s="35">
        <f>D172/(1-SUM(D163:D164))*SUM(D163:D164)+((D175+D176+D177)/(1-SUM(D163:D164)))*SUM(D163:D164)</f>
        <v>15089.781741176474</v>
      </c>
      <c r="E173" s="36">
        <f t="shared" ref="E173:AA173" si="127">E172/(1-SUM(E163:E164))*SUM(E163:E164)+((E175+E176+E177)/(1-SUM(E163:E164)))*SUM(E163:E164)</f>
        <v>14792.945505882355</v>
      </c>
      <c r="F173" s="36">
        <f t="shared" si="127"/>
        <v>16919.58832941177</v>
      </c>
      <c r="G173" s="36">
        <f t="shared" si="127"/>
        <v>23299.516800000001</v>
      </c>
      <c r="H173" s="36">
        <f t="shared" si="127"/>
        <v>22813.222023529415</v>
      </c>
      <c r="I173" s="36">
        <f t="shared" si="127"/>
        <v>19573.812423529416</v>
      </c>
      <c r="J173" s="35">
        <f t="shared" si="127"/>
        <v>19895.289317647061</v>
      </c>
      <c r="K173" s="36">
        <f t="shared" si="127"/>
        <v>22598.958776470594</v>
      </c>
      <c r="L173" s="36">
        <f t="shared" si="127"/>
        <v>27525.009317647062</v>
      </c>
      <c r="M173" s="36">
        <f t="shared" si="127"/>
        <v>22013.609223529413</v>
      </c>
      <c r="N173" s="36">
        <f t="shared" si="127"/>
        <v>23307.67567058824</v>
      </c>
      <c r="O173" s="36">
        <f t="shared" si="127"/>
        <v>21362.332517647061</v>
      </c>
      <c r="P173" s="35">
        <f t="shared" si="127"/>
        <v>17579.023905882357</v>
      </c>
      <c r="Q173" s="36">
        <f t="shared" si="127"/>
        <v>19850.389835294118</v>
      </c>
      <c r="R173" s="36">
        <f t="shared" si="127"/>
        <v>22302.122541176472</v>
      </c>
      <c r="S173" s="36">
        <f t="shared" si="127"/>
        <v>22835.818541176472</v>
      </c>
      <c r="T173" s="36">
        <f t="shared" si="127"/>
        <v>25152.859199999999</v>
      </c>
      <c r="U173" s="36">
        <f t="shared" si="127"/>
        <v>26530.603482352948</v>
      </c>
      <c r="V173" s="36">
        <f t="shared" si="127"/>
        <v>22450.458635294119</v>
      </c>
      <c r="W173" s="36">
        <f t="shared" si="127"/>
        <v>23472.657600000002</v>
      </c>
      <c r="X173" s="36">
        <f t="shared" si="127"/>
        <v>19054.390023529413</v>
      </c>
      <c r="Y173" s="36">
        <f t="shared" si="127"/>
        <v>21314.126400000005</v>
      </c>
      <c r="Z173" s="36">
        <f t="shared" si="127"/>
        <v>26880.007905882354</v>
      </c>
      <c r="AA173" s="36">
        <f t="shared" si="127"/>
        <v>23151.016658823533</v>
      </c>
    </row>
    <row r="174" spans="2:27" x14ac:dyDescent="0.3">
      <c r="B174" s="178"/>
      <c r="C174" s="107"/>
      <c r="D174" s="107"/>
      <c r="E174" s="107"/>
      <c r="F174" s="107"/>
      <c r="G174" s="107"/>
      <c r="H174" s="107"/>
      <c r="I174" s="107"/>
      <c r="J174" s="107"/>
      <c r="K174" s="107"/>
      <c r="L174" s="107"/>
      <c r="M174" s="107"/>
      <c r="N174" s="107"/>
      <c r="O174" s="107"/>
      <c r="P174" s="107"/>
      <c r="Q174" s="107"/>
      <c r="R174" s="107"/>
      <c r="S174" s="107"/>
      <c r="T174" s="107"/>
      <c r="U174" s="107"/>
      <c r="V174" s="107"/>
      <c r="W174" s="107"/>
      <c r="X174" s="107"/>
      <c r="Y174" s="107"/>
      <c r="Z174" s="107"/>
      <c r="AA174" s="37"/>
    </row>
    <row r="175" spans="2:27" x14ac:dyDescent="0.3">
      <c r="B175" s="178"/>
      <c r="C175" s="131" t="s">
        <v>31</v>
      </c>
      <c r="D175" s="9">
        <f>IF(D155="Azul",D144*D156*(D152),0)</f>
        <v>0</v>
      </c>
      <c r="E175" s="10">
        <f t="shared" ref="E175:O175" si="128">IF(E155="Azul",E144*E156*(E152),0)</f>
        <v>0</v>
      </c>
      <c r="F175" s="10">
        <f t="shared" si="128"/>
        <v>0</v>
      </c>
      <c r="G175" s="10">
        <f t="shared" si="128"/>
        <v>0</v>
      </c>
      <c r="H175" s="10">
        <f t="shared" si="128"/>
        <v>0</v>
      </c>
      <c r="I175" s="10">
        <f t="shared" si="128"/>
        <v>0</v>
      </c>
      <c r="J175" s="9">
        <f t="shared" si="128"/>
        <v>0</v>
      </c>
      <c r="K175" s="10">
        <f t="shared" si="128"/>
        <v>0</v>
      </c>
      <c r="L175" s="10">
        <f t="shared" si="128"/>
        <v>0</v>
      </c>
      <c r="M175" s="10">
        <f t="shared" si="128"/>
        <v>0</v>
      </c>
      <c r="N175" s="10">
        <f t="shared" si="128"/>
        <v>0</v>
      </c>
      <c r="O175" s="10">
        <f t="shared" si="128"/>
        <v>0</v>
      </c>
      <c r="P175" s="10">
        <f>IF(P155="Azul",P144*P156*(P152),0)</f>
        <v>0</v>
      </c>
      <c r="Q175" s="10">
        <f t="shared" ref="Q175:AA175" si="129">IF(Q155="Azul",Q144*Q156*(Q152),0)</f>
        <v>0</v>
      </c>
      <c r="R175" s="10">
        <f t="shared" si="129"/>
        <v>0</v>
      </c>
      <c r="S175" s="10">
        <f t="shared" si="129"/>
        <v>0</v>
      </c>
      <c r="T175" s="10">
        <f t="shared" si="129"/>
        <v>0</v>
      </c>
      <c r="U175" s="10">
        <f t="shared" si="129"/>
        <v>0</v>
      </c>
      <c r="V175" s="10">
        <f t="shared" si="129"/>
        <v>0</v>
      </c>
      <c r="W175" s="10">
        <f t="shared" si="129"/>
        <v>0</v>
      </c>
      <c r="X175" s="10">
        <f t="shared" si="129"/>
        <v>0</v>
      </c>
      <c r="Y175" s="10">
        <f t="shared" si="129"/>
        <v>0</v>
      </c>
      <c r="Z175" s="10">
        <f t="shared" si="129"/>
        <v>0</v>
      </c>
      <c r="AA175" s="10">
        <f t="shared" si="129"/>
        <v>0</v>
      </c>
    </row>
    <row r="176" spans="2:27" x14ac:dyDescent="0.3">
      <c r="B176" s="178"/>
      <c r="C176" s="131" t="s">
        <v>32</v>
      </c>
      <c r="D176" s="11">
        <f>D145*D157*(D152)</f>
        <v>13482.000000000002</v>
      </c>
      <c r="E176" s="12">
        <f t="shared" ref="E176:O176" si="130">E145*E157*(E152)</f>
        <v>13482.000000000002</v>
      </c>
      <c r="F176" s="12">
        <f t="shared" si="130"/>
        <v>13482.000000000002</v>
      </c>
      <c r="G176" s="12">
        <f t="shared" si="130"/>
        <v>13482.000000000002</v>
      </c>
      <c r="H176" s="12">
        <f t="shared" si="130"/>
        <v>13482.000000000002</v>
      </c>
      <c r="I176" s="12">
        <f t="shared" si="130"/>
        <v>13482.000000000002</v>
      </c>
      <c r="J176" s="11">
        <f t="shared" si="130"/>
        <v>13482.000000000002</v>
      </c>
      <c r="K176" s="12">
        <f t="shared" si="130"/>
        <v>13482.000000000002</v>
      </c>
      <c r="L176" s="12">
        <f t="shared" si="130"/>
        <v>13482.000000000002</v>
      </c>
      <c r="M176" s="12">
        <f t="shared" si="130"/>
        <v>13482.000000000002</v>
      </c>
      <c r="N176" s="12">
        <f t="shared" si="130"/>
        <v>13482.000000000002</v>
      </c>
      <c r="O176" s="12">
        <f t="shared" si="130"/>
        <v>13482.000000000002</v>
      </c>
      <c r="P176" s="12">
        <f>P145*P157*(P152)</f>
        <v>13482.000000000002</v>
      </c>
      <c r="Q176" s="12">
        <f t="shared" ref="Q176:AA176" si="131">Q145*Q157*(Q152)</f>
        <v>13482.000000000002</v>
      </c>
      <c r="R176" s="12">
        <f t="shared" si="131"/>
        <v>13482.000000000002</v>
      </c>
      <c r="S176" s="12">
        <f t="shared" si="131"/>
        <v>13482.000000000002</v>
      </c>
      <c r="T176" s="12">
        <f t="shared" si="131"/>
        <v>13482.000000000002</v>
      </c>
      <c r="U176" s="12">
        <f t="shared" si="131"/>
        <v>13482.000000000002</v>
      </c>
      <c r="V176" s="12">
        <f t="shared" si="131"/>
        <v>13482.000000000002</v>
      </c>
      <c r="W176" s="12">
        <f t="shared" si="131"/>
        <v>13482.000000000002</v>
      </c>
      <c r="X176" s="12">
        <f t="shared" si="131"/>
        <v>13482.000000000002</v>
      </c>
      <c r="Y176" s="12">
        <f t="shared" si="131"/>
        <v>13482.000000000002</v>
      </c>
      <c r="Z176" s="12">
        <f t="shared" si="131"/>
        <v>13482.000000000002</v>
      </c>
      <c r="AA176" s="12">
        <f t="shared" si="131"/>
        <v>13482.000000000002</v>
      </c>
    </row>
    <row r="177" spans="2:29" x14ac:dyDescent="0.3">
      <c r="B177" s="178"/>
      <c r="C177" s="129" t="s">
        <v>33</v>
      </c>
      <c r="D177" s="19">
        <f>IF(D155="Verde",D148*(D158-D159)*(D152),0)</f>
        <v>10668.4074</v>
      </c>
      <c r="E177" s="20">
        <f t="shared" ref="E177:AA177" si="132">IF(E155="Verde",E148*(E158-E159)*(E152),0)</f>
        <v>9652.3685999999998</v>
      </c>
      <c r="F177" s="20">
        <f t="shared" si="132"/>
        <v>12700.484999999999</v>
      </c>
      <c r="G177" s="20">
        <f t="shared" si="132"/>
        <v>21844.834199999998</v>
      </c>
      <c r="H177" s="20">
        <f t="shared" si="132"/>
        <v>21336.8148</v>
      </c>
      <c r="I177" s="20">
        <f t="shared" si="132"/>
        <v>16764.640199999998</v>
      </c>
      <c r="J177" s="19">
        <f t="shared" si="132"/>
        <v>17272.659599999999</v>
      </c>
      <c r="K177" s="20">
        <f t="shared" si="132"/>
        <v>21336.8148</v>
      </c>
      <c r="L177" s="20">
        <f t="shared" si="132"/>
        <v>26417.0088</v>
      </c>
      <c r="M177" s="20">
        <f t="shared" si="132"/>
        <v>19812.756599999997</v>
      </c>
      <c r="N177" s="20">
        <f t="shared" si="132"/>
        <v>21336.8148</v>
      </c>
      <c r="O177" s="20">
        <f t="shared" si="132"/>
        <v>18288.698399999997</v>
      </c>
      <c r="P177" s="20">
        <f t="shared" si="132"/>
        <v>13716.523799999999</v>
      </c>
      <c r="Q177" s="20">
        <f t="shared" si="132"/>
        <v>14224.543199999998</v>
      </c>
      <c r="R177" s="20">
        <f t="shared" si="132"/>
        <v>20320.775999999998</v>
      </c>
      <c r="S177" s="20">
        <f t="shared" si="132"/>
        <v>20320.775999999998</v>
      </c>
      <c r="T177" s="20">
        <f t="shared" si="132"/>
        <v>21844.834199999998</v>
      </c>
      <c r="U177" s="20">
        <f t="shared" si="132"/>
        <v>25908.989400000002</v>
      </c>
      <c r="V177" s="20">
        <f t="shared" si="132"/>
        <v>20320.775999999998</v>
      </c>
      <c r="W177" s="20">
        <f t="shared" si="132"/>
        <v>22352.853599999999</v>
      </c>
      <c r="X177" s="20">
        <f t="shared" si="132"/>
        <v>15240.581999999999</v>
      </c>
      <c r="Y177" s="20">
        <f t="shared" si="132"/>
        <v>16764.640199999998</v>
      </c>
      <c r="Z177" s="20">
        <f t="shared" si="132"/>
        <v>24892.950599999996</v>
      </c>
      <c r="AA177" s="20">
        <f t="shared" si="132"/>
        <v>20828.795399999999</v>
      </c>
      <c r="AC177" s="92"/>
    </row>
    <row r="178" spans="2:29" x14ac:dyDescent="0.3">
      <c r="B178" s="178"/>
      <c r="C178" s="109"/>
      <c r="D178" s="109"/>
      <c r="E178" s="109"/>
      <c r="F178" s="109"/>
      <c r="G178" s="109"/>
      <c r="H178" s="109"/>
      <c r="I178" s="109"/>
      <c r="J178" s="109"/>
      <c r="K178" s="109"/>
      <c r="L178" s="109"/>
      <c r="M178" s="109"/>
      <c r="N178" s="109"/>
      <c r="O178" s="109"/>
      <c r="P178" s="109"/>
      <c r="Q178" s="109"/>
      <c r="R178" s="109"/>
      <c r="S178" s="109"/>
      <c r="T178" s="109"/>
      <c r="U178" s="109"/>
      <c r="V178" s="109"/>
      <c r="W178" s="109"/>
      <c r="X178" s="109"/>
      <c r="Y178" s="109"/>
      <c r="Z178" s="109"/>
      <c r="AA178" s="38"/>
    </row>
    <row r="179" spans="2:29" x14ac:dyDescent="0.3">
      <c r="B179" s="178"/>
      <c r="C179" s="129" t="s">
        <v>34</v>
      </c>
      <c r="D179" s="98">
        <f>SUM(D148:D149)/D140</f>
        <v>0.12758064516129031</v>
      </c>
      <c r="E179" s="98">
        <f t="shared" ref="E179:O179" si="133">SUM(E148:E149)/E140</f>
        <v>0.14301724137931035</v>
      </c>
      <c r="F179" s="98">
        <f t="shared" si="133"/>
        <v>0.1575</v>
      </c>
      <c r="G179" s="98">
        <f t="shared" si="133"/>
        <v>0.23624999999999999</v>
      </c>
      <c r="H179" s="98">
        <f t="shared" si="133"/>
        <v>0.22016129032258067</v>
      </c>
      <c r="I179" s="98">
        <f t="shared" si="133"/>
        <v>0.18899999999999997</v>
      </c>
      <c r="J179" s="98">
        <f t="shared" si="133"/>
        <v>0.18572580645161291</v>
      </c>
      <c r="K179" s="98">
        <f t="shared" si="133"/>
        <v>0.21282258064516127</v>
      </c>
      <c r="L179" s="98">
        <f t="shared" si="133"/>
        <v>0.26833333333333337</v>
      </c>
      <c r="M179" s="98">
        <f t="shared" si="133"/>
        <v>0.21733870967741933</v>
      </c>
      <c r="N179" s="98">
        <f t="shared" si="133"/>
        <v>0.24499999999999997</v>
      </c>
      <c r="O179" s="98">
        <f t="shared" si="133"/>
        <v>0.21959677419354839</v>
      </c>
      <c r="P179" s="98">
        <f>SUM(P148:P149)/P140</f>
        <v>0.16370967741935483</v>
      </c>
      <c r="Q179" s="98">
        <f t="shared" ref="Q179:AA179" si="134">SUM(Q148:Q149)/Q140</f>
        <v>0.20249999999999999</v>
      </c>
      <c r="R179" s="98">
        <f t="shared" si="134"/>
        <v>0.21903225806451615</v>
      </c>
      <c r="S179" s="98">
        <f t="shared" si="134"/>
        <v>0.24522222222222223</v>
      </c>
      <c r="T179" s="98">
        <f t="shared" si="134"/>
        <v>0.24951612903225809</v>
      </c>
      <c r="U179" s="98">
        <f t="shared" si="134"/>
        <v>0.28291666666666665</v>
      </c>
      <c r="V179" s="98">
        <f t="shared" si="134"/>
        <v>0.22411290322580646</v>
      </c>
      <c r="W179" s="98">
        <f t="shared" si="134"/>
        <v>0.22637096774193546</v>
      </c>
      <c r="X179" s="98">
        <f t="shared" si="134"/>
        <v>0.19600000000000001</v>
      </c>
      <c r="Y179" s="98">
        <f t="shared" si="134"/>
        <v>0.20774193548387096</v>
      </c>
      <c r="Z179" s="98">
        <f t="shared" si="134"/>
        <v>0.27358333333333335</v>
      </c>
      <c r="AA179" s="98">
        <f t="shared" si="134"/>
        <v>0.23991935483870969</v>
      </c>
    </row>
    <row r="180" spans="2:29" x14ac:dyDescent="0.3">
      <c r="B180" s="178"/>
      <c r="C180" s="133" t="s">
        <v>35</v>
      </c>
      <c r="D180" s="97">
        <f t="shared" ref="D180:T180" si="135">D179*D140</f>
        <v>94.919999999999987</v>
      </c>
      <c r="E180" s="97">
        <f t="shared" si="135"/>
        <v>99.54</v>
      </c>
      <c r="F180" s="97">
        <f t="shared" si="135"/>
        <v>117.18</v>
      </c>
      <c r="G180" s="97">
        <f t="shared" si="135"/>
        <v>170.1</v>
      </c>
      <c r="H180" s="97">
        <f t="shared" si="135"/>
        <v>163.80000000000001</v>
      </c>
      <c r="I180" s="97">
        <f t="shared" si="135"/>
        <v>136.07999999999998</v>
      </c>
      <c r="J180" s="97">
        <f t="shared" si="135"/>
        <v>138.18</v>
      </c>
      <c r="K180" s="97">
        <f t="shared" si="135"/>
        <v>158.33999999999997</v>
      </c>
      <c r="L180" s="97">
        <f t="shared" si="135"/>
        <v>193.20000000000002</v>
      </c>
      <c r="M180" s="97">
        <f t="shared" si="135"/>
        <v>161.69999999999999</v>
      </c>
      <c r="N180" s="97">
        <f t="shared" si="135"/>
        <v>176.39999999999998</v>
      </c>
      <c r="O180" s="97">
        <f t="shared" si="135"/>
        <v>163.38</v>
      </c>
      <c r="P180" s="97">
        <f t="shared" si="135"/>
        <v>121.8</v>
      </c>
      <c r="Q180" s="97">
        <f t="shared" si="135"/>
        <v>136.07999999999998</v>
      </c>
      <c r="R180" s="97">
        <f t="shared" si="135"/>
        <v>162.96</v>
      </c>
      <c r="S180" s="97">
        <f t="shared" si="135"/>
        <v>176.56</v>
      </c>
      <c r="T180" s="97">
        <f t="shared" si="135"/>
        <v>185.64000000000001</v>
      </c>
      <c r="U180" s="97">
        <f>U179*U140</f>
        <v>203.7</v>
      </c>
      <c r="V180" s="97">
        <f t="shared" ref="V180:AA180" si="136">V179*V140</f>
        <v>166.74</v>
      </c>
      <c r="W180" s="97">
        <f t="shared" si="136"/>
        <v>168.42</v>
      </c>
      <c r="X180" s="97">
        <f t="shared" si="136"/>
        <v>141.12</v>
      </c>
      <c r="Y180" s="97">
        <f t="shared" si="136"/>
        <v>154.56</v>
      </c>
      <c r="Z180" s="97">
        <f t="shared" si="136"/>
        <v>196.98000000000002</v>
      </c>
      <c r="AA180" s="97">
        <f t="shared" si="136"/>
        <v>178.5</v>
      </c>
    </row>
    <row r="181" spans="2:29" x14ac:dyDescent="0.3">
      <c r="B181" s="178"/>
      <c r="C181" s="129" t="s">
        <v>36</v>
      </c>
      <c r="D181" s="39">
        <f t="shared" ref="D181:AA181" si="137">D180*1.1</f>
        <v>104.41199999999999</v>
      </c>
      <c r="E181" s="39">
        <f t="shared" si="137"/>
        <v>109.49400000000001</v>
      </c>
      <c r="F181" s="39">
        <f t="shared" si="137"/>
        <v>128.89800000000002</v>
      </c>
      <c r="G181" s="39">
        <f t="shared" si="137"/>
        <v>187.11</v>
      </c>
      <c r="H181" s="39">
        <f t="shared" si="137"/>
        <v>180.18000000000004</v>
      </c>
      <c r="I181" s="39">
        <f t="shared" si="137"/>
        <v>149.68799999999999</v>
      </c>
      <c r="J181" s="39">
        <f t="shared" si="137"/>
        <v>151.99800000000002</v>
      </c>
      <c r="K181" s="39">
        <f t="shared" si="137"/>
        <v>174.17399999999998</v>
      </c>
      <c r="L181" s="39">
        <f t="shared" si="137"/>
        <v>212.52000000000004</v>
      </c>
      <c r="M181" s="39">
        <f t="shared" si="137"/>
        <v>177.87</v>
      </c>
      <c r="N181" s="39">
        <f t="shared" si="137"/>
        <v>194.04</v>
      </c>
      <c r="O181" s="39">
        <f t="shared" si="137"/>
        <v>179.71800000000002</v>
      </c>
      <c r="P181" s="39">
        <f t="shared" si="137"/>
        <v>133.98000000000002</v>
      </c>
      <c r="Q181" s="39">
        <f t="shared" si="137"/>
        <v>149.68799999999999</v>
      </c>
      <c r="R181" s="39">
        <f t="shared" si="137"/>
        <v>179.25600000000003</v>
      </c>
      <c r="S181" s="39">
        <f t="shared" si="137"/>
        <v>194.21600000000001</v>
      </c>
      <c r="T181" s="39">
        <f t="shared" si="137"/>
        <v>204.20400000000004</v>
      </c>
      <c r="U181" s="39">
        <f t="shared" si="137"/>
        <v>224.07</v>
      </c>
      <c r="V181" s="39">
        <f t="shared" si="137"/>
        <v>183.41400000000002</v>
      </c>
      <c r="W181" s="39">
        <f t="shared" si="137"/>
        <v>185.262</v>
      </c>
      <c r="X181" s="39">
        <f t="shared" si="137"/>
        <v>155.23200000000003</v>
      </c>
      <c r="Y181" s="39">
        <f t="shared" si="137"/>
        <v>170.01600000000002</v>
      </c>
      <c r="Z181" s="39">
        <f t="shared" si="137"/>
        <v>216.67800000000003</v>
      </c>
      <c r="AA181" s="39">
        <f t="shared" si="137"/>
        <v>196.35000000000002</v>
      </c>
    </row>
    <row r="182" spans="2:29" x14ac:dyDescent="0.3">
      <c r="B182" s="178"/>
      <c r="C182" s="129" t="s">
        <v>37</v>
      </c>
      <c r="D182" s="40">
        <f t="shared" ref="D182:AA182" si="138">D180*0.9</f>
        <v>85.427999999999997</v>
      </c>
      <c r="E182" s="40">
        <f t="shared" si="138"/>
        <v>89.586000000000013</v>
      </c>
      <c r="F182" s="40">
        <f t="shared" si="138"/>
        <v>105.462</v>
      </c>
      <c r="G182" s="40">
        <f t="shared" si="138"/>
        <v>153.09</v>
      </c>
      <c r="H182" s="40">
        <f t="shared" si="138"/>
        <v>147.42000000000002</v>
      </c>
      <c r="I182" s="40">
        <f t="shared" si="138"/>
        <v>122.47199999999999</v>
      </c>
      <c r="J182" s="40">
        <f t="shared" si="138"/>
        <v>124.36200000000001</v>
      </c>
      <c r="K182" s="40">
        <f t="shared" si="138"/>
        <v>142.50599999999997</v>
      </c>
      <c r="L182" s="40">
        <f t="shared" si="138"/>
        <v>173.88000000000002</v>
      </c>
      <c r="M182" s="40">
        <f t="shared" si="138"/>
        <v>145.53</v>
      </c>
      <c r="N182" s="40">
        <f t="shared" si="138"/>
        <v>158.76</v>
      </c>
      <c r="O182" s="40">
        <f t="shared" si="138"/>
        <v>147.042</v>
      </c>
      <c r="P182" s="40">
        <f t="shared" si="138"/>
        <v>109.62</v>
      </c>
      <c r="Q182" s="40">
        <f t="shared" si="138"/>
        <v>122.47199999999999</v>
      </c>
      <c r="R182" s="40">
        <f t="shared" si="138"/>
        <v>146.66400000000002</v>
      </c>
      <c r="S182" s="40">
        <f t="shared" si="138"/>
        <v>158.904</v>
      </c>
      <c r="T182" s="40">
        <f t="shared" si="138"/>
        <v>167.07600000000002</v>
      </c>
      <c r="U182" s="40">
        <f t="shared" si="138"/>
        <v>183.32999999999998</v>
      </c>
      <c r="V182" s="40">
        <f t="shared" si="138"/>
        <v>150.066</v>
      </c>
      <c r="W182" s="40">
        <f t="shared" si="138"/>
        <v>151.578</v>
      </c>
      <c r="X182" s="40">
        <f t="shared" si="138"/>
        <v>127.00800000000001</v>
      </c>
      <c r="Y182" s="40">
        <f t="shared" si="138"/>
        <v>139.10400000000001</v>
      </c>
      <c r="Z182" s="40">
        <f t="shared" si="138"/>
        <v>177.28200000000001</v>
      </c>
      <c r="AA182" s="40">
        <f t="shared" si="138"/>
        <v>160.65</v>
      </c>
    </row>
    <row r="183" spans="2:29" x14ac:dyDescent="0.3">
      <c r="B183" s="178"/>
      <c r="C183" s="101"/>
      <c r="D183" s="101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1"/>
      <c r="AA183" s="41"/>
    </row>
    <row r="184" spans="2:29" x14ac:dyDescent="0.3">
      <c r="B184" s="178"/>
      <c r="C184" s="129" t="s">
        <v>38</v>
      </c>
      <c r="D184" s="43">
        <f t="shared" ref="D184:O184" si="139">D180</f>
        <v>94.919999999999987</v>
      </c>
      <c r="E184" s="43">
        <f t="shared" si="139"/>
        <v>99.54</v>
      </c>
      <c r="F184" s="43">
        <f t="shared" si="139"/>
        <v>117.18</v>
      </c>
      <c r="G184" s="43">
        <f t="shared" si="139"/>
        <v>170.1</v>
      </c>
      <c r="H184" s="43">
        <f t="shared" si="139"/>
        <v>163.80000000000001</v>
      </c>
      <c r="I184" s="43">
        <f t="shared" si="139"/>
        <v>136.07999999999998</v>
      </c>
      <c r="J184" s="43">
        <f t="shared" si="139"/>
        <v>138.18</v>
      </c>
      <c r="K184" s="43">
        <f t="shared" si="139"/>
        <v>158.33999999999997</v>
      </c>
      <c r="L184" s="43">
        <f t="shared" si="139"/>
        <v>193.20000000000002</v>
      </c>
      <c r="M184" s="43">
        <f t="shared" si="139"/>
        <v>161.69999999999999</v>
      </c>
      <c r="N184" s="43">
        <f t="shared" si="139"/>
        <v>176.39999999999998</v>
      </c>
      <c r="O184" s="43">
        <f t="shared" si="139"/>
        <v>163.38</v>
      </c>
      <c r="P184" s="43">
        <f>P180</f>
        <v>121.8</v>
      </c>
      <c r="Q184" s="43">
        <f t="shared" ref="Q184:AA184" si="140">Q180</f>
        <v>136.07999999999998</v>
      </c>
      <c r="R184" s="43">
        <f t="shared" si="140"/>
        <v>162.96</v>
      </c>
      <c r="S184" s="43">
        <f t="shared" si="140"/>
        <v>176.56</v>
      </c>
      <c r="T184" s="43">
        <f t="shared" si="140"/>
        <v>185.64000000000001</v>
      </c>
      <c r="U184" s="43">
        <f t="shared" si="140"/>
        <v>203.7</v>
      </c>
      <c r="V184" s="43">
        <f t="shared" si="140"/>
        <v>166.74</v>
      </c>
      <c r="W184" s="43">
        <f t="shared" si="140"/>
        <v>168.42</v>
      </c>
      <c r="X184" s="43">
        <f t="shared" si="140"/>
        <v>141.12</v>
      </c>
      <c r="Y184" s="43">
        <f t="shared" si="140"/>
        <v>154.56</v>
      </c>
      <c r="Z184" s="43">
        <f t="shared" si="140"/>
        <v>196.98000000000002</v>
      </c>
      <c r="AA184" s="43">
        <f t="shared" si="140"/>
        <v>178.5</v>
      </c>
    </row>
    <row r="185" spans="2:29" x14ac:dyDescent="0.3">
      <c r="B185" s="178"/>
      <c r="C185" s="129" t="s">
        <v>39</v>
      </c>
      <c r="D185" s="127">
        <f>'SIMULAÇÃO CENÁRIOS'!$E$8</f>
        <v>310</v>
      </c>
      <c r="E185" s="127">
        <f>'SIMULAÇÃO CENÁRIOS'!$E$8</f>
        <v>310</v>
      </c>
      <c r="F185" s="127">
        <f>'SIMULAÇÃO CENÁRIOS'!$E$8</f>
        <v>310</v>
      </c>
      <c r="G185" s="127">
        <f>'SIMULAÇÃO CENÁRIOS'!$E$8</f>
        <v>310</v>
      </c>
      <c r="H185" s="127">
        <f>'SIMULAÇÃO CENÁRIOS'!$E$8</f>
        <v>310</v>
      </c>
      <c r="I185" s="127">
        <f>'SIMULAÇÃO CENÁRIOS'!$E$8</f>
        <v>310</v>
      </c>
      <c r="J185" s="127">
        <f>'SIMULAÇÃO CENÁRIOS'!$E$8</f>
        <v>310</v>
      </c>
      <c r="K185" s="127">
        <f>'SIMULAÇÃO CENÁRIOS'!$E$8</f>
        <v>310</v>
      </c>
      <c r="L185" s="127">
        <f>'SIMULAÇÃO CENÁRIOS'!$E$8</f>
        <v>310</v>
      </c>
      <c r="M185" s="127">
        <f>'SIMULAÇÃO CENÁRIOS'!$E$8</f>
        <v>310</v>
      </c>
      <c r="N185" s="127">
        <f>'SIMULAÇÃO CENÁRIOS'!$E$8</f>
        <v>310</v>
      </c>
      <c r="O185" s="127">
        <f>'SIMULAÇÃO CENÁRIOS'!$E$8</f>
        <v>310</v>
      </c>
      <c r="P185" s="127">
        <f>'SIMULAÇÃO CENÁRIOS'!$E$8</f>
        <v>310</v>
      </c>
      <c r="Q185" s="127">
        <f>'SIMULAÇÃO CENÁRIOS'!$E$8</f>
        <v>310</v>
      </c>
      <c r="R185" s="127">
        <f>'SIMULAÇÃO CENÁRIOS'!$E$8</f>
        <v>310</v>
      </c>
      <c r="S185" s="127">
        <f>'SIMULAÇÃO CENÁRIOS'!$E$8</f>
        <v>310</v>
      </c>
      <c r="T185" s="127">
        <f>'SIMULAÇÃO CENÁRIOS'!$E$8</f>
        <v>310</v>
      </c>
      <c r="U185" s="127">
        <f>'SIMULAÇÃO CENÁRIOS'!$E$8</f>
        <v>310</v>
      </c>
      <c r="V185" s="127">
        <f>'SIMULAÇÃO CENÁRIOS'!$E$8</f>
        <v>310</v>
      </c>
      <c r="W185" s="127">
        <f>'SIMULAÇÃO CENÁRIOS'!$E$8</f>
        <v>310</v>
      </c>
      <c r="X185" s="127">
        <f>'SIMULAÇÃO CENÁRIOS'!$E$8</f>
        <v>310</v>
      </c>
      <c r="Y185" s="127">
        <f>'SIMULAÇÃO CENÁRIOS'!$E$8</f>
        <v>310</v>
      </c>
      <c r="Z185" s="127">
        <f>'SIMULAÇÃO CENÁRIOS'!$E$8</f>
        <v>310</v>
      </c>
      <c r="AA185" s="127">
        <f>'SIMULAÇÃO CENÁRIOS'!$E$8</f>
        <v>310</v>
      </c>
    </row>
    <row r="186" spans="2:29" x14ac:dyDescent="0.3">
      <c r="B186" s="178"/>
      <c r="C186" s="129" t="s">
        <v>40</v>
      </c>
      <c r="D186" s="44">
        <f t="shared" ref="D186:O186" si="141">D184*D185/(1-$P$27)</f>
        <v>40308.493150684932</v>
      </c>
      <c r="E186" s="44">
        <f t="shared" si="141"/>
        <v>42270.410958904111</v>
      </c>
      <c r="F186" s="44">
        <f t="shared" si="141"/>
        <v>49761.369863013701</v>
      </c>
      <c r="G186" s="44">
        <f t="shared" si="141"/>
        <v>72234.246575342462</v>
      </c>
      <c r="H186" s="44">
        <f t="shared" si="141"/>
        <v>69558.904109589042</v>
      </c>
      <c r="I186" s="44">
        <f t="shared" si="141"/>
        <v>57787.397260273967</v>
      </c>
      <c r="J186" s="44">
        <f t="shared" si="141"/>
        <v>58679.178082191786</v>
      </c>
      <c r="K186" s="44">
        <f t="shared" si="141"/>
        <v>67240.273972602736</v>
      </c>
      <c r="L186" s="44">
        <f t="shared" si="141"/>
        <v>82043.835616438373</v>
      </c>
      <c r="M186" s="44">
        <f t="shared" si="141"/>
        <v>68667.123287671231</v>
      </c>
      <c r="N186" s="44">
        <f t="shared" si="141"/>
        <v>74909.589041095882</v>
      </c>
      <c r="O186" s="44">
        <f t="shared" si="141"/>
        <v>69380.547945205471</v>
      </c>
      <c r="P186" s="44">
        <f>P184*P185/(1-$P$27)</f>
        <v>51723.28767123288</v>
      </c>
      <c r="Q186" s="44">
        <f t="shared" ref="Q186:AA186" si="142">Q184*Q185/(1-$P$27)</f>
        <v>57787.397260273967</v>
      </c>
      <c r="R186" s="44">
        <f t="shared" si="142"/>
        <v>69202.19178082193</v>
      </c>
      <c r="S186" s="44">
        <f t="shared" si="142"/>
        <v>74977.534246575349</v>
      </c>
      <c r="T186" s="44">
        <f t="shared" si="142"/>
        <v>78833.424657534255</v>
      </c>
      <c r="U186" s="44">
        <f t="shared" si="142"/>
        <v>86502.739726027401</v>
      </c>
      <c r="V186" s="44">
        <f t="shared" si="142"/>
        <v>70807.397260273981</v>
      </c>
      <c r="W186" s="44">
        <f t="shared" si="142"/>
        <v>71520.821917808222</v>
      </c>
      <c r="X186" s="44">
        <f t="shared" si="142"/>
        <v>59927.671232876717</v>
      </c>
      <c r="Y186" s="44">
        <f t="shared" si="142"/>
        <v>65635.068493150684</v>
      </c>
      <c r="Z186" s="44">
        <f t="shared" si="142"/>
        <v>83649.04109589041</v>
      </c>
      <c r="AA186" s="44">
        <f t="shared" si="142"/>
        <v>75801.369863013693</v>
      </c>
    </row>
    <row r="187" spans="2:29" ht="17.25" thickBot="1" x14ac:dyDescent="0.35">
      <c r="B187" s="178"/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1"/>
      <c r="AA187" s="45"/>
    </row>
    <row r="188" spans="2:29" ht="17.25" thickBot="1" x14ac:dyDescent="0.35">
      <c r="B188" s="178"/>
      <c r="C188" s="134" t="s">
        <v>98</v>
      </c>
      <c r="D188" s="46">
        <f t="shared" ref="D188:O188" si="143">+D186+D173+D172</f>
        <v>63313.653691861407</v>
      </c>
      <c r="E188" s="46">
        <f t="shared" si="143"/>
        <v>65363.997064786468</v>
      </c>
      <c r="F188" s="46">
        <f t="shared" si="143"/>
        <v>76452.598392425469</v>
      </c>
      <c r="G188" s="46">
        <f t="shared" si="143"/>
        <v>109718.40237534246</v>
      </c>
      <c r="H188" s="46">
        <f t="shared" si="143"/>
        <v>106031.40813311847</v>
      </c>
      <c r="I188" s="46">
        <f t="shared" si="143"/>
        <v>88708.920883803381</v>
      </c>
      <c r="J188" s="46">
        <f t="shared" si="143"/>
        <v>90097.297599838843</v>
      </c>
      <c r="K188" s="46">
        <f t="shared" si="143"/>
        <v>103043.20534907334</v>
      </c>
      <c r="L188" s="46">
        <f t="shared" si="143"/>
        <v>128160.48093408544</v>
      </c>
      <c r="M188" s="46">
        <f t="shared" si="143"/>
        <v>104164.89551120065</v>
      </c>
      <c r="N188" s="46">
        <f t="shared" si="143"/>
        <v>112927.26071168412</v>
      </c>
      <c r="O188" s="46">
        <f t="shared" si="143"/>
        <v>104367.13866285254</v>
      </c>
      <c r="P188" s="46">
        <f>+P186+P173+P172</f>
        <v>79459.213577115239</v>
      </c>
      <c r="Q188" s="46">
        <f t="shared" ref="Q188:AA188" si="144">+Q186+Q173+Q172</f>
        <v>92113.322295568083</v>
      </c>
      <c r="R188" s="46">
        <f t="shared" si="144"/>
        <v>105093.54872199841</v>
      </c>
      <c r="S188" s="46">
        <f t="shared" si="144"/>
        <v>112536.69118775181</v>
      </c>
      <c r="T188" s="46">
        <f t="shared" si="144"/>
        <v>122109.27545753427</v>
      </c>
      <c r="U188" s="46">
        <f t="shared" si="144"/>
        <v>130019.88620838035</v>
      </c>
      <c r="V188" s="46">
        <f t="shared" si="144"/>
        <v>107162.3044955681</v>
      </c>
      <c r="W188" s="46">
        <f t="shared" si="144"/>
        <v>109038.02331780823</v>
      </c>
      <c r="X188" s="46">
        <f t="shared" si="144"/>
        <v>90750.058056406124</v>
      </c>
      <c r="Y188" s="46">
        <f t="shared" si="144"/>
        <v>101995.07329315069</v>
      </c>
      <c r="Z188" s="46">
        <f t="shared" si="144"/>
        <v>129274.11520177277</v>
      </c>
      <c r="AA188" s="46">
        <f t="shared" si="144"/>
        <v>113837.50152183723</v>
      </c>
      <c r="AC188" s="47">
        <f>SUM(D188:AA188)</f>
        <v>2445738.272644964</v>
      </c>
    </row>
    <row r="189" spans="2:29" x14ac:dyDescent="0.3">
      <c r="B189" s="178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100"/>
    </row>
    <row r="190" spans="2:29" ht="45.75" x14ac:dyDescent="0.3">
      <c r="B190" s="178"/>
      <c r="C190" s="172" t="s">
        <v>99</v>
      </c>
      <c r="D190" s="172"/>
      <c r="E190" s="172"/>
      <c r="F190" s="172"/>
      <c r="G190" s="172"/>
      <c r="H190" s="172"/>
      <c r="I190" s="172"/>
      <c r="J190" s="172"/>
      <c r="K190" s="172"/>
      <c r="L190" s="172"/>
      <c r="M190" s="172"/>
      <c r="N190" s="172"/>
      <c r="O190" s="172"/>
      <c r="P190" s="172"/>
      <c r="Q190" s="172"/>
      <c r="R190" s="172"/>
      <c r="S190" s="172"/>
      <c r="T190" s="172"/>
      <c r="U190" s="172"/>
      <c r="V190" s="172"/>
      <c r="W190" s="172"/>
      <c r="X190" s="172"/>
      <c r="Y190" s="172"/>
      <c r="Z190" s="172"/>
      <c r="AA190" s="173"/>
    </row>
    <row r="191" spans="2:29" x14ac:dyDescent="0.3">
      <c r="B191" s="178"/>
      <c r="C191" s="129" t="s">
        <v>101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3">
        <v>0</v>
      </c>
      <c r="R191" s="43">
        <v>0</v>
      </c>
      <c r="S191" s="43">
        <v>0</v>
      </c>
      <c r="T191" s="43">
        <v>0</v>
      </c>
      <c r="U191" s="43">
        <v>0</v>
      </c>
      <c r="V191" s="43">
        <v>0</v>
      </c>
      <c r="W191" s="43">
        <v>0</v>
      </c>
      <c r="X191" s="43">
        <v>0</v>
      </c>
      <c r="Y191" s="43">
        <v>0</v>
      </c>
      <c r="Z191" s="43">
        <v>0</v>
      </c>
      <c r="AA191" s="43">
        <v>0</v>
      </c>
    </row>
    <row r="192" spans="2:29" x14ac:dyDescent="0.3">
      <c r="B192" s="178"/>
      <c r="C192" s="129" t="s">
        <v>102</v>
      </c>
      <c r="D192" s="17">
        <f t="shared" ref="D192:O192" si="145">D145*D157+D147*D157*2</f>
        <v>13482.000000000002</v>
      </c>
      <c r="E192" s="17">
        <f t="shared" si="145"/>
        <v>13482.000000000002</v>
      </c>
      <c r="F192" s="17">
        <f t="shared" si="145"/>
        <v>13482.000000000002</v>
      </c>
      <c r="G192" s="17">
        <f t="shared" si="145"/>
        <v>13482.000000000002</v>
      </c>
      <c r="H192" s="17">
        <f t="shared" si="145"/>
        <v>13482.000000000002</v>
      </c>
      <c r="I192" s="17">
        <f t="shared" si="145"/>
        <v>13482.000000000002</v>
      </c>
      <c r="J192" s="17">
        <f t="shared" si="145"/>
        <v>13482.000000000002</v>
      </c>
      <c r="K192" s="17">
        <f t="shared" si="145"/>
        <v>13482.000000000002</v>
      </c>
      <c r="L192" s="17">
        <f t="shared" si="145"/>
        <v>15962.688000000002</v>
      </c>
      <c r="M192" s="17">
        <f t="shared" si="145"/>
        <v>13482.000000000002</v>
      </c>
      <c r="N192" s="17">
        <f t="shared" si="145"/>
        <v>13482.000000000002</v>
      </c>
      <c r="O192" s="17">
        <f t="shared" si="145"/>
        <v>13482.000000000002</v>
      </c>
      <c r="P192" s="17">
        <f>P145*P157+P147*P157*2</f>
        <v>13482.000000000002</v>
      </c>
      <c r="Q192" s="18">
        <f t="shared" ref="Q192:AA192" si="146">Q145*Q157+Q147*Q157*2</f>
        <v>16609.824000000004</v>
      </c>
      <c r="R192" s="18">
        <f t="shared" si="146"/>
        <v>13482.000000000002</v>
      </c>
      <c r="S192" s="18">
        <f t="shared" si="146"/>
        <v>13482.000000000002</v>
      </c>
      <c r="T192" s="18">
        <f t="shared" si="146"/>
        <v>16124.472000000003</v>
      </c>
      <c r="U192" s="18">
        <f t="shared" si="146"/>
        <v>13482.000000000002</v>
      </c>
      <c r="V192" s="18">
        <f t="shared" si="146"/>
        <v>13482.000000000002</v>
      </c>
      <c r="W192" s="18">
        <f t="shared" si="146"/>
        <v>13482.000000000002</v>
      </c>
      <c r="X192" s="18">
        <f t="shared" si="146"/>
        <v>13482.000000000002</v>
      </c>
      <c r="Y192" s="18">
        <f t="shared" si="146"/>
        <v>15639.120000000003</v>
      </c>
      <c r="Z192" s="18">
        <f t="shared" si="146"/>
        <v>15800.904000000004</v>
      </c>
      <c r="AA192" s="18">
        <f t="shared" si="146"/>
        <v>13482.000000000002</v>
      </c>
    </row>
    <row r="193" spans="2:29" x14ac:dyDescent="0.3">
      <c r="B193" s="178"/>
      <c r="C193" s="129" t="s">
        <v>103</v>
      </c>
      <c r="D193" s="102">
        <f t="shared" ref="D193:O193" si="147">D148*D158</f>
        <v>11403.907200000001</v>
      </c>
      <c r="E193" s="102">
        <f t="shared" si="147"/>
        <v>10317.820800000001</v>
      </c>
      <c r="F193" s="102">
        <f t="shared" si="147"/>
        <v>13576.08</v>
      </c>
      <c r="G193" s="102">
        <f t="shared" si="147"/>
        <v>23350.857599999999</v>
      </c>
      <c r="H193" s="102">
        <f t="shared" si="147"/>
        <v>22807.814400000003</v>
      </c>
      <c r="I193" s="102">
        <f t="shared" si="147"/>
        <v>17920.425599999999</v>
      </c>
      <c r="J193" s="102">
        <f t="shared" si="147"/>
        <v>18463.468799999999</v>
      </c>
      <c r="K193" s="102">
        <f t="shared" si="147"/>
        <v>22807.814400000003</v>
      </c>
      <c r="L193" s="102">
        <f t="shared" si="147"/>
        <v>28238.2464</v>
      </c>
      <c r="M193" s="102">
        <f t="shared" si="147"/>
        <v>21178.684799999999</v>
      </c>
      <c r="N193" s="102">
        <f t="shared" si="147"/>
        <v>22807.814400000003</v>
      </c>
      <c r="O193" s="102">
        <f t="shared" si="147"/>
        <v>19549.555199999999</v>
      </c>
      <c r="P193" s="102">
        <f>P148*P158</f>
        <v>14662.1664</v>
      </c>
      <c r="Q193" s="103">
        <f t="shared" ref="Q193:AA193" si="148">Q148*Q158</f>
        <v>15205.2096</v>
      </c>
      <c r="R193" s="103">
        <f t="shared" si="148"/>
        <v>21721.728000000003</v>
      </c>
      <c r="S193" s="103">
        <f t="shared" si="148"/>
        <v>21721.728000000003</v>
      </c>
      <c r="T193" s="103">
        <f t="shared" si="148"/>
        <v>23350.857599999999</v>
      </c>
      <c r="U193" s="103">
        <f t="shared" si="148"/>
        <v>27695.203200000004</v>
      </c>
      <c r="V193" s="103">
        <f t="shared" si="148"/>
        <v>21721.728000000003</v>
      </c>
      <c r="W193" s="103">
        <f t="shared" si="148"/>
        <v>23893.900799999999</v>
      </c>
      <c r="X193" s="103">
        <f t="shared" si="148"/>
        <v>16291.296</v>
      </c>
      <c r="Y193" s="103">
        <f t="shared" si="148"/>
        <v>17920.425599999999</v>
      </c>
      <c r="Z193" s="103">
        <f t="shared" si="148"/>
        <v>26609.1168</v>
      </c>
      <c r="AA193" s="103">
        <f t="shared" si="148"/>
        <v>22264.771199999999</v>
      </c>
    </row>
    <row r="194" spans="2:29" x14ac:dyDescent="0.3">
      <c r="B194" s="178"/>
      <c r="C194" s="129" t="s">
        <v>104</v>
      </c>
      <c r="D194" s="17">
        <f t="shared" ref="D194:O194" si="149">D149*D159</f>
        <v>7179.8789999999999</v>
      </c>
      <c r="E194" s="17">
        <f t="shared" si="149"/>
        <v>7635.1884</v>
      </c>
      <c r="F194" s="17">
        <f t="shared" si="149"/>
        <v>8896.0452000000005</v>
      </c>
      <c r="G194" s="17">
        <f t="shared" si="149"/>
        <v>12678.615599999999</v>
      </c>
      <c r="H194" s="17">
        <f t="shared" si="149"/>
        <v>12188.2824</v>
      </c>
      <c r="I194" s="17">
        <f t="shared" si="149"/>
        <v>10191.925799999999</v>
      </c>
      <c r="J194" s="17">
        <f t="shared" si="149"/>
        <v>10332.021000000001</v>
      </c>
      <c r="K194" s="17">
        <f t="shared" si="149"/>
        <v>11732.973</v>
      </c>
      <c r="L194" s="17">
        <f t="shared" si="149"/>
        <v>14289.710400000002</v>
      </c>
      <c r="M194" s="17">
        <f t="shared" si="149"/>
        <v>12118.2348</v>
      </c>
      <c r="N194" s="17">
        <f t="shared" si="149"/>
        <v>13238.9964</v>
      </c>
      <c r="O194" s="17">
        <f t="shared" si="149"/>
        <v>12363.401399999999</v>
      </c>
      <c r="P194" s="17">
        <f>P149*P159</f>
        <v>9211.259399999999</v>
      </c>
      <c r="Q194" s="18">
        <f t="shared" ref="Q194:AA194" si="150">Q149*Q159</f>
        <v>10367.0448</v>
      </c>
      <c r="R194" s="18">
        <f t="shared" si="150"/>
        <v>12188.2824</v>
      </c>
      <c r="S194" s="18">
        <f t="shared" si="150"/>
        <v>13322.386399999999</v>
      </c>
      <c r="T194" s="18">
        <f t="shared" si="150"/>
        <v>13974.496200000001</v>
      </c>
      <c r="U194" s="18">
        <f t="shared" si="150"/>
        <v>15200.3292</v>
      </c>
      <c r="V194" s="18">
        <f t="shared" si="150"/>
        <v>12503.4966</v>
      </c>
      <c r="W194" s="18">
        <f t="shared" si="150"/>
        <v>12503.4966</v>
      </c>
      <c r="X194" s="18">
        <f t="shared" si="150"/>
        <v>10717.282800000001</v>
      </c>
      <c r="Y194" s="18">
        <f t="shared" si="150"/>
        <v>11732.973</v>
      </c>
      <c r="Z194" s="18">
        <f t="shared" si="150"/>
        <v>14709.996000000001</v>
      </c>
      <c r="AA194" s="18">
        <f t="shared" si="150"/>
        <v>13449.1392</v>
      </c>
    </row>
    <row r="195" spans="2:29" x14ac:dyDescent="0.3">
      <c r="B195" s="178"/>
      <c r="C195" s="129" t="s">
        <v>105</v>
      </c>
      <c r="D195" s="102">
        <f t="shared" ref="D195:O195" si="151">D148*D160</f>
        <v>3710.3976000000002</v>
      </c>
      <c r="E195" s="102">
        <f t="shared" si="151"/>
        <v>3357.0264000000002</v>
      </c>
      <c r="F195" s="102">
        <f t="shared" si="151"/>
        <v>4417.1400000000003</v>
      </c>
      <c r="G195" s="102">
        <f t="shared" si="151"/>
        <v>7597.4807999999994</v>
      </c>
      <c r="H195" s="102">
        <f t="shared" si="151"/>
        <v>7420.7952000000005</v>
      </c>
      <c r="I195" s="102">
        <f t="shared" si="151"/>
        <v>5830.6247999999996</v>
      </c>
      <c r="J195" s="102">
        <f t="shared" si="151"/>
        <v>6007.3103999999994</v>
      </c>
      <c r="K195" s="102">
        <f t="shared" si="151"/>
        <v>7420.7952000000005</v>
      </c>
      <c r="L195" s="102">
        <f t="shared" si="151"/>
        <v>9187.6512000000002</v>
      </c>
      <c r="M195" s="102">
        <f t="shared" si="151"/>
        <v>6890.7383999999993</v>
      </c>
      <c r="N195" s="102">
        <f t="shared" si="151"/>
        <v>7420.7952000000005</v>
      </c>
      <c r="O195" s="102">
        <f t="shared" si="151"/>
        <v>6360.6815999999999</v>
      </c>
      <c r="P195" s="102">
        <f>P148*P160</f>
        <v>4770.5111999999999</v>
      </c>
      <c r="Q195" s="103">
        <f t="shared" ref="Q195:AA195" si="152">Q148*Q160</f>
        <v>4947.1967999999997</v>
      </c>
      <c r="R195" s="103">
        <f t="shared" si="152"/>
        <v>7067.424</v>
      </c>
      <c r="S195" s="103">
        <f t="shared" si="152"/>
        <v>7067.424</v>
      </c>
      <c r="T195" s="103">
        <f t="shared" si="152"/>
        <v>7597.4807999999994</v>
      </c>
      <c r="U195" s="103">
        <f t="shared" si="152"/>
        <v>9010.9656000000014</v>
      </c>
      <c r="V195" s="103">
        <f t="shared" si="152"/>
        <v>7067.424</v>
      </c>
      <c r="W195" s="103">
        <f t="shared" si="152"/>
        <v>7774.1664000000001</v>
      </c>
      <c r="X195" s="103">
        <f t="shared" si="152"/>
        <v>5300.5680000000002</v>
      </c>
      <c r="Y195" s="103">
        <f t="shared" si="152"/>
        <v>5830.6247999999996</v>
      </c>
      <c r="Z195" s="103">
        <f t="shared" si="152"/>
        <v>8657.5944</v>
      </c>
      <c r="AA195" s="103">
        <f t="shared" si="152"/>
        <v>7244.1095999999998</v>
      </c>
    </row>
    <row r="196" spans="2:29" x14ac:dyDescent="0.3">
      <c r="B196" s="178"/>
      <c r="C196" s="129" t="s">
        <v>106</v>
      </c>
      <c r="D196" s="17">
        <f t="shared" ref="D196:O196" si="153">D149*D161</f>
        <v>21648.983999999997</v>
      </c>
      <c r="E196" s="17">
        <f t="shared" si="153"/>
        <v>23021.846400000002</v>
      </c>
      <c r="F196" s="17">
        <f t="shared" si="153"/>
        <v>26823.619200000001</v>
      </c>
      <c r="G196" s="17">
        <f t="shared" si="153"/>
        <v>38228.937599999997</v>
      </c>
      <c r="H196" s="17">
        <f t="shared" si="153"/>
        <v>36750.470399999998</v>
      </c>
      <c r="I196" s="17">
        <f t="shared" si="153"/>
        <v>30730.996800000001</v>
      </c>
      <c r="J196" s="17">
        <f t="shared" si="153"/>
        <v>31153.416000000001</v>
      </c>
      <c r="K196" s="17">
        <f t="shared" si="153"/>
        <v>35377.608</v>
      </c>
      <c r="L196" s="17">
        <f t="shared" si="153"/>
        <v>43086.758400000006</v>
      </c>
      <c r="M196" s="17">
        <f t="shared" si="153"/>
        <v>36539.260799999996</v>
      </c>
      <c r="N196" s="17">
        <f t="shared" si="153"/>
        <v>39918.614399999999</v>
      </c>
      <c r="O196" s="17">
        <f t="shared" si="153"/>
        <v>37278.494399999996</v>
      </c>
      <c r="P196" s="17">
        <f>P149*P161</f>
        <v>27774.062399999999</v>
      </c>
      <c r="Q196" s="18">
        <f t="shared" ref="Q196:AA196" si="154">Q149*Q161</f>
        <v>31259.020799999998</v>
      </c>
      <c r="R196" s="18">
        <f t="shared" si="154"/>
        <v>36750.470399999998</v>
      </c>
      <c r="S196" s="18">
        <f t="shared" si="154"/>
        <v>40170.054400000001</v>
      </c>
      <c r="T196" s="18">
        <f t="shared" si="154"/>
        <v>42136.315200000005</v>
      </c>
      <c r="U196" s="18">
        <f t="shared" si="154"/>
        <v>45832.483200000002</v>
      </c>
      <c r="V196" s="18">
        <f t="shared" si="154"/>
        <v>37700.9136</v>
      </c>
      <c r="W196" s="18">
        <f t="shared" si="154"/>
        <v>37700.9136</v>
      </c>
      <c r="X196" s="18">
        <f t="shared" si="154"/>
        <v>32315.068800000001</v>
      </c>
      <c r="Y196" s="18">
        <f t="shared" si="154"/>
        <v>35377.608</v>
      </c>
      <c r="Z196" s="18">
        <f t="shared" si="154"/>
        <v>44354.016000000003</v>
      </c>
      <c r="AA196" s="18">
        <f t="shared" si="154"/>
        <v>40552.243199999997</v>
      </c>
    </row>
    <row r="197" spans="2:29" x14ac:dyDescent="0.3">
      <c r="B197" s="178"/>
      <c r="C197" s="130" t="s">
        <v>107</v>
      </c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3"/>
      <c r="R197" s="103"/>
      <c r="S197" s="103"/>
      <c r="T197" s="103"/>
      <c r="U197" s="103"/>
      <c r="V197" s="103"/>
      <c r="W197" s="103"/>
      <c r="X197" s="103"/>
      <c r="Y197" s="103"/>
      <c r="Z197" s="103"/>
      <c r="AA197" s="103"/>
    </row>
    <row r="198" spans="2:29" x14ac:dyDescent="0.3">
      <c r="B198" s="178"/>
      <c r="C198" s="130" t="s">
        <v>110</v>
      </c>
      <c r="D198" s="21">
        <f t="shared" ref="D198:O198" si="155">SUM(D191:D197)/(1-SUM(D163:D164))*SUM(D163:D164)</f>
        <v>27023.608376470591</v>
      </c>
      <c r="E198" s="21">
        <f t="shared" si="155"/>
        <v>27206.53270588236</v>
      </c>
      <c r="F198" s="21">
        <f t="shared" si="155"/>
        <v>31621.122070588241</v>
      </c>
      <c r="G198" s="21">
        <f t="shared" si="155"/>
        <v>44864.890164705888</v>
      </c>
      <c r="H198" s="21">
        <f t="shared" si="155"/>
        <v>43599.699952941184</v>
      </c>
      <c r="I198" s="21">
        <f t="shared" si="155"/>
        <v>36779.281411764714</v>
      </c>
      <c r="J198" s="21">
        <f t="shared" si="155"/>
        <v>37382.689976470596</v>
      </c>
      <c r="K198" s="21">
        <f t="shared" si="155"/>
        <v>42739.38381176471</v>
      </c>
      <c r="L198" s="21">
        <f t="shared" si="155"/>
        <v>52124.731482352952</v>
      </c>
      <c r="M198" s="21">
        <f t="shared" si="155"/>
        <v>42451.255905882354</v>
      </c>
      <c r="N198" s="21">
        <f t="shared" si="155"/>
        <v>45585.044894117658</v>
      </c>
      <c r="O198" s="21">
        <f t="shared" si="155"/>
        <v>41898.415341176478</v>
      </c>
      <c r="P198" s="21">
        <f>SUM(P191:P197)/(1-SUM(P163:P164))*SUM(P163:P164)</f>
        <v>32894.117364705882</v>
      </c>
      <c r="Q198" s="22">
        <f t="shared" ref="Q198:AA198" si="156">SUM(Q191:Q197)/(1-SUM(Q163:Q164))*SUM(Q163:Q164)</f>
        <v>36888.609882352946</v>
      </c>
      <c r="R198" s="22">
        <f t="shared" si="156"/>
        <v>42922.308141176465</v>
      </c>
      <c r="S198" s="22">
        <f t="shared" si="156"/>
        <v>45065.220141176476</v>
      </c>
      <c r="T198" s="22">
        <f t="shared" si="156"/>
        <v>48556.998494117652</v>
      </c>
      <c r="U198" s="22">
        <f t="shared" si="156"/>
        <v>52339.285270588247</v>
      </c>
      <c r="V198" s="22">
        <f t="shared" si="156"/>
        <v>43517.91162352942</v>
      </c>
      <c r="W198" s="22">
        <f t="shared" si="156"/>
        <v>44872.695247058829</v>
      </c>
      <c r="X198" s="22">
        <f t="shared" si="156"/>
        <v>36755.866164705883</v>
      </c>
      <c r="Y198" s="22">
        <f t="shared" si="156"/>
        <v>40706.235952941177</v>
      </c>
      <c r="Z198" s="22">
        <f t="shared" si="156"/>
        <v>51826.648094117649</v>
      </c>
      <c r="AA198" s="22">
        <f t="shared" si="156"/>
        <v>45643.417976470591</v>
      </c>
    </row>
    <row r="199" spans="2:29" ht="17.25" thickBot="1" x14ac:dyDescent="0.35">
      <c r="B199" s="178"/>
      <c r="C199" s="101"/>
      <c r="D199" s="101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  <c r="Z199" s="101"/>
      <c r="AA199" s="45"/>
    </row>
    <row r="200" spans="2:29" ht="17.25" thickBot="1" x14ac:dyDescent="0.35">
      <c r="B200" s="178"/>
      <c r="C200" s="134" t="s">
        <v>109</v>
      </c>
      <c r="D200" s="46">
        <f t="shared" ref="D200:O200" si="157">+SUM(D191:D198)</f>
        <v>84448.776176470594</v>
      </c>
      <c r="E200" s="46">
        <f t="shared" si="157"/>
        <v>85020.414705882373</v>
      </c>
      <c r="F200" s="46">
        <f t="shared" si="157"/>
        <v>98816.006470588254</v>
      </c>
      <c r="G200" s="46">
        <f t="shared" si="157"/>
        <v>140202.7817647059</v>
      </c>
      <c r="H200" s="46">
        <f t="shared" si="157"/>
        <v>136249.0623529412</v>
      </c>
      <c r="I200" s="46">
        <f t="shared" si="157"/>
        <v>114935.2544117647</v>
      </c>
      <c r="J200" s="46">
        <f t="shared" si="157"/>
        <v>116820.9061764706</v>
      </c>
      <c r="K200" s="46">
        <f t="shared" si="157"/>
        <v>133560.57441176471</v>
      </c>
      <c r="L200" s="46">
        <f t="shared" si="157"/>
        <v>162889.78588235297</v>
      </c>
      <c r="M200" s="46">
        <f t="shared" si="157"/>
        <v>132660.17470588235</v>
      </c>
      <c r="N200" s="46">
        <f t="shared" si="157"/>
        <v>142453.26529411768</v>
      </c>
      <c r="O200" s="46">
        <f t="shared" si="157"/>
        <v>130932.54794117648</v>
      </c>
      <c r="P200" s="46">
        <f>+SUM(P191:P198)</f>
        <v>102794.11676470589</v>
      </c>
      <c r="Q200" s="46">
        <f t="shared" ref="Q200:AA200" si="158">+SUM(Q191:Q198)</f>
        <v>115276.90588235295</v>
      </c>
      <c r="R200" s="46">
        <f t="shared" si="158"/>
        <v>134132.21294117646</v>
      </c>
      <c r="S200" s="46">
        <f t="shared" si="158"/>
        <v>140828.8129411765</v>
      </c>
      <c r="T200" s="46">
        <f t="shared" si="158"/>
        <v>151740.62029411766</v>
      </c>
      <c r="U200" s="46">
        <f t="shared" si="158"/>
        <v>163560.26647058825</v>
      </c>
      <c r="V200" s="46">
        <f t="shared" si="158"/>
        <v>135993.47382352944</v>
      </c>
      <c r="W200" s="46">
        <f t="shared" si="158"/>
        <v>140227.17264705885</v>
      </c>
      <c r="X200" s="46">
        <f t="shared" si="158"/>
        <v>114862.08176470589</v>
      </c>
      <c r="Y200" s="46">
        <f t="shared" si="158"/>
        <v>127206.98735294117</v>
      </c>
      <c r="Z200" s="46">
        <f t="shared" si="158"/>
        <v>161958.27529411766</v>
      </c>
      <c r="AA200" s="46">
        <f t="shared" si="158"/>
        <v>142635.68117647059</v>
      </c>
      <c r="AC200" s="47">
        <f>SUM(D200:AA200)</f>
        <v>3110206.1576470598</v>
      </c>
    </row>
    <row r="201" spans="2:29" ht="17.25" thickBot="1" x14ac:dyDescent="0.35">
      <c r="B201" s="178"/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101"/>
      <c r="AA201" s="41"/>
    </row>
    <row r="202" spans="2:29" ht="17.25" thickBot="1" x14ac:dyDescent="0.35">
      <c r="B202" s="178"/>
      <c r="C202" s="134" t="s">
        <v>111</v>
      </c>
      <c r="D202" s="46">
        <f t="shared" ref="D202:O202" si="159">D200-D188</f>
        <v>21135.122484609186</v>
      </c>
      <c r="E202" s="46">
        <f t="shared" si="159"/>
        <v>19656.417641095904</v>
      </c>
      <c r="F202" s="46">
        <f t="shared" si="159"/>
        <v>22363.408078162785</v>
      </c>
      <c r="G202" s="46">
        <f t="shared" si="159"/>
        <v>30484.379389363443</v>
      </c>
      <c r="H202" s="46">
        <f t="shared" si="159"/>
        <v>30217.654219822725</v>
      </c>
      <c r="I202" s="46">
        <f t="shared" si="159"/>
        <v>26226.333527961324</v>
      </c>
      <c r="J202" s="46">
        <f t="shared" si="159"/>
        <v>26723.608576631756</v>
      </c>
      <c r="K202" s="46">
        <f t="shared" si="159"/>
        <v>30517.369062691374</v>
      </c>
      <c r="L202" s="46">
        <f t="shared" si="159"/>
        <v>34729.304948267527</v>
      </c>
      <c r="M202" s="46">
        <f t="shared" si="159"/>
        <v>28495.279194681701</v>
      </c>
      <c r="N202" s="46">
        <f t="shared" si="159"/>
        <v>29526.004582433554</v>
      </c>
      <c r="O202" s="46">
        <f t="shared" si="159"/>
        <v>26565.409278323947</v>
      </c>
      <c r="P202" s="46">
        <f>P200-P188</f>
        <v>23334.903187590651</v>
      </c>
      <c r="Q202" s="46">
        <f t="shared" ref="Q202:AA202" si="160">Q200-Q188</f>
        <v>23163.583586784865</v>
      </c>
      <c r="R202" s="46">
        <f t="shared" si="160"/>
        <v>29038.664219178056</v>
      </c>
      <c r="S202" s="46">
        <f t="shared" si="160"/>
        <v>28292.121753424683</v>
      </c>
      <c r="T202" s="46">
        <f t="shared" si="160"/>
        <v>29631.34483658339</v>
      </c>
      <c r="U202" s="46">
        <f t="shared" si="160"/>
        <v>33540.380262207895</v>
      </c>
      <c r="V202" s="46">
        <f t="shared" si="160"/>
        <v>28831.169327961339</v>
      </c>
      <c r="W202" s="46">
        <f t="shared" si="160"/>
        <v>31189.14932925062</v>
      </c>
      <c r="X202" s="46">
        <f t="shared" si="160"/>
        <v>24112.023708299763</v>
      </c>
      <c r="Y202" s="46">
        <f t="shared" si="160"/>
        <v>25211.914059790477</v>
      </c>
      <c r="Z202" s="46">
        <f t="shared" si="160"/>
        <v>32684.160092344886</v>
      </c>
      <c r="AA202" s="46">
        <f t="shared" si="160"/>
        <v>28798.179654633364</v>
      </c>
      <c r="AC202" s="47">
        <f>AC200-AC188</f>
        <v>664467.88500209572</v>
      </c>
    </row>
    <row r="203" spans="2:29" ht="17.25" thickBot="1" x14ac:dyDescent="0.35">
      <c r="B203" s="179"/>
      <c r="C203" s="134" t="s">
        <v>112</v>
      </c>
      <c r="D203" s="105">
        <f t="shared" ref="D203:O203" si="161">D202/D200</f>
        <v>0.25027150707836932</v>
      </c>
      <c r="E203" s="105">
        <f t="shared" si="161"/>
        <v>0.23119644510197762</v>
      </c>
      <c r="F203" s="105">
        <f t="shared" si="161"/>
        <v>0.22631361939139955</v>
      </c>
      <c r="G203" s="105">
        <f t="shared" si="161"/>
        <v>0.21743063158706499</v>
      </c>
      <c r="H203" s="105">
        <f t="shared" si="161"/>
        <v>0.22178247466794709</v>
      </c>
      <c r="I203" s="105">
        <f t="shared" si="161"/>
        <v>0.22818354265788107</v>
      </c>
      <c r="J203" s="105">
        <f t="shared" si="161"/>
        <v>0.22875707312407642</v>
      </c>
      <c r="K203" s="105">
        <f t="shared" si="161"/>
        <v>0.22849084916786075</v>
      </c>
      <c r="L203" s="105">
        <f t="shared" si="161"/>
        <v>0.21320738289477981</v>
      </c>
      <c r="M203" s="105">
        <f t="shared" si="161"/>
        <v>0.2147990477010745</v>
      </c>
      <c r="N203" s="105">
        <f t="shared" si="161"/>
        <v>0.20726800836381229</v>
      </c>
      <c r="O203" s="105">
        <f t="shared" si="161"/>
        <v>0.20289385409546049</v>
      </c>
      <c r="P203" s="105">
        <f>P202/P200</f>
        <v>0.22700621321552747</v>
      </c>
      <c r="Q203" s="105">
        <f>Q202/Q200</f>
        <v>0.20093863041765453</v>
      </c>
      <c r="R203" s="105">
        <f t="shared" ref="R203:AA203" si="162">R202/R200</f>
        <v>0.21649284375791913</v>
      </c>
      <c r="S203" s="105">
        <f t="shared" si="162"/>
        <v>0.20089725364114347</v>
      </c>
      <c r="T203" s="105">
        <f t="shared" si="162"/>
        <v>0.19527628646270975</v>
      </c>
      <c r="U203" s="105">
        <f t="shared" si="162"/>
        <v>0.20506435325623046</v>
      </c>
      <c r="V203" s="105">
        <f t="shared" si="162"/>
        <v>0.21200406546989023</v>
      </c>
      <c r="W203" s="105">
        <f t="shared" si="162"/>
        <v>0.22241872770088106</v>
      </c>
      <c r="X203" s="105">
        <f t="shared" si="162"/>
        <v>0.20992152795639785</v>
      </c>
      <c r="Y203" s="105">
        <f t="shared" si="162"/>
        <v>0.19819598423346788</v>
      </c>
      <c r="Z203" s="105">
        <f t="shared" si="162"/>
        <v>0.20180605179321751</v>
      </c>
      <c r="AA203" s="105">
        <f t="shared" si="162"/>
        <v>0.20190024976291807</v>
      </c>
      <c r="AC203" s="106">
        <f>AC202/AC200</f>
        <v>0.21364110651262438</v>
      </c>
    </row>
    <row r="204" spans="2:29" x14ac:dyDescent="0.3"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"/>
    </row>
    <row r="205" spans="2:29" x14ac:dyDescent="0.3"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"/>
    </row>
    <row r="206" spans="2:29" x14ac:dyDescent="0.3"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"/>
    </row>
    <row r="207" spans="2:29" x14ac:dyDescent="0.3"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"/>
    </row>
    <row r="208" spans="2:29" x14ac:dyDescent="0.3"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"/>
    </row>
    <row r="209" spans="2:27" x14ac:dyDescent="0.3"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"/>
    </row>
    <row r="210" spans="2:27" x14ac:dyDescent="0.3"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"/>
    </row>
    <row r="211" spans="2:27" x14ac:dyDescent="0.3"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"/>
    </row>
    <row r="212" spans="2:27" x14ac:dyDescent="0.3"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"/>
    </row>
    <row r="213" spans="2:27" x14ac:dyDescent="0.3"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"/>
    </row>
    <row r="214" spans="2:27" x14ac:dyDescent="0.3"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"/>
    </row>
    <row r="215" spans="2:27" x14ac:dyDescent="0.3"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"/>
    </row>
    <row r="216" spans="2:27" x14ac:dyDescent="0.3"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"/>
    </row>
    <row r="217" spans="2:27" x14ac:dyDescent="0.3"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"/>
    </row>
    <row r="218" spans="2:27" x14ac:dyDescent="0.3"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"/>
    </row>
    <row r="219" spans="2:27" x14ac:dyDescent="0.3"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"/>
    </row>
    <row r="220" spans="2:27" x14ac:dyDescent="0.3"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"/>
    </row>
    <row r="221" spans="2:27" x14ac:dyDescent="0.3"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"/>
    </row>
    <row r="222" spans="2:27" x14ac:dyDescent="0.3"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"/>
    </row>
    <row r="223" spans="2:27" x14ac:dyDescent="0.3"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"/>
    </row>
    <row r="224" spans="2:27" x14ac:dyDescent="0.3"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"/>
    </row>
    <row r="225" spans="2:27" x14ac:dyDescent="0.3"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"/>
    </row>
    <row r="226" spans="2:27" x14ac:dyDescent="0.3"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"/>
    </row>
    <row r="227" spans="2:27" x14ac:dyDescent="0.3"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"/>
    </row>
    <row r="228" spans="2:27" x14ac:dyDescent="0.3"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"/>
    </row>
    <row r="229" spans="2:27" x14ac:dyDescent="0.3"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"/>
    </row>
    <row r="230" spans="2:27" x14ac:dyDescent="0.3"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"/>
    </row>
    <row r="231" spans="2:27" x14ac:dyDescent="0.3"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"/>
    </row>
    <row r="232" spans="2:27" x14ac:dyDescent="0.3"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"/>
    </row>
    <row r="233" spans="2:27" x14ac:dyDescent="0.3"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"/>
    </row>
    <row r="234" spans="2:27" x14ac:dyDescent="0.3"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"/>
    </row>
    <row r="235" spans="2:27" x14ac:dyDescent="0.3"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"/>
    </row>
    <row r="236" spans="2:27" x14ac:dyDescent="0.3"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"/>
    </row>
    <row r="237" spans="2:27" x14ac:dyDescent="0.3"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"/>
    </row>
    <row r="238" spans="2:27" x14ac:dyDescent="0.3"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"/>
    </row>
    <row r="239" spans="2:27" x14ac:dyDescent="0.3"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"/>
    </row>
    <row r="240" spans="2:27" x14ac:dyDescent="0.3"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"/>
    </row>
    <row r="241" spans="2:27" x14ac:dyDescent="0.3"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"/>
    </row>
    <row r="242" spans="2:27" x14ac:dyDescent="0.3"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"/>
    </row>
    <row r="243" spans="2:27" x14ac:dyDescent="0.3"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"/>
    </row>
    <row r="244" spans="2:27" x14ac:dyDescent="0.3"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"/>
    </row>
    <row r="245" spans="2:27" x14ac:dyDescent="0.3"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"/>
    </row>
    <row r="246" spans="2:27" x14ac:dyDescent="0.3"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"/>
    </row>
    <row r="247" spans="2:27" x14ac:dyDescent="0.3"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"/>
    </row>
    <row r="248" spans="2:27" x14ac:dyDescent="0.3"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"/>
    </row>
    <row r="249" spans="2:27" x14ac:dyDescent="0.3"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"/>
    </row>
    <row r="250" spans="2:27" x14ac:dyDescent="0.3"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"/>
    </row>
    <row r="251" spans="2:27" x14ac:dyDescent="0.3"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"/>
    </row>
    <row r="252" spans="2:27" x14ac:dyDescent="0.3"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"/>
    </row>
    <row r="253" spans="2:27" x14ac:dyDescent="0.3"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"/>
    </row>
    <row r="254" spans="2:27" x14ac:dyDescent="0.3"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"/>
    </row>
    <row r="255" spans="2:27" x14ac:dyDescent="0.3"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"/>
    </row>
    <row r="256" spans="2:27" x14ac:dyDescent="0.3"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"/>
    </row>
    <row r="257" spans="2:27" x14ac:dyDescent="0.3"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"/>
    </row>
    <row r="258" spans="2:27" x14ac:dyDescent="0.3"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"/>
    </row>
    <row r="259" spans="2:27" x14ac:dyDescent="0.3"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"/>
    </row>
    <row r="260" spans="2:27" x14ac:dyDescent="0.3"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"/>
    </row>
    <row r="261" spans="2:27" x14ac:dyDescent="0.3"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"/>
    </row>
    <row r="262" spans="2:27" x14ac:dyDescent="0.3"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"/>
    </row>
    <row r="263" spans="2:27" x14ac:dyDescent="0.3"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"/>
    </row>
    <row r="264" spans="2:27" x14ac:dyDescent="0.3"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"/>
    </row>
    <row r="265" spans="2:27" x14ac:dyDescent="0.3"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"/>
    </row>
    <row r="266" spans="2:27" x14ac:dyDescent="0.3"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"/>
    </row>
    <row r="267" spans="2:27" x14ac:dyDescent="0.3"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"/>
    </row>
    <row r="268" spans="2:27" x14ac:dyDescent="0.3"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"/>
    </row>
    <row r="269" spans="2:27" x14ac:dyDescent="0.3"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"/>
    </row>
    <row r="270" spans="2:27" x14ac:dyDescent="0.3"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"/>
    </row>
    <row r="271" spans="2:27" x14ac:dyDescent="0.3"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"/>
    </row>
    <row r="272" spans="2:27" x14ac:dyDescent="0.3"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"/>
    </row>
    <row r="273" spans="2:27" x14ac:dyDescent="0.3"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"/>
    </row>
    <row r="274" spans="2:27" x14ac:dyDescent="0.3"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"/>
    </row>
    <row r="275" spans="2:27" x14ac:dyDescent="0.3"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"/>
    </row>
    <row r="276" spans="2:27" x14ac:dyDescent="0.3"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"/>
    </row>
    <row r="277" spans="2:27" x14ac:dyDescent="0.3"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"/>
    </row>
    <row r="278" spans="2:27" x14ac:dyDescent="0.3"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"/>
    </row>
    <row r="279" spans="2:27" x14ac:dyDescent="0.3"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"/>
    </row>
    <row r="280" spans="2:27" x14ac:dyDescent="0.3"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"/>
    </row>
    <row r="281" spans="2:27" x14ac:dyDescent="0.3"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"/>
    </row>
    <row r="282" spans="2:27" x14ac:dyDescent="0.3"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"/>
    </row>
    <row r="283" spans="2:27" x14ac:dyDescent="0.3"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"/>
    </row>
    <row r="284" spans="2:27" x14ac:dyDescent="0.3"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"/>
    </row>
    <row r="285" spans="2:27" x14ac:dyDescent="0.3"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"/>
    </row>
    <row r="286" spans="2:27" x14ac:dyDescent="0.3"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"/>
    </row>
    <row r="287" spans="2:27" x14ac:dyDescent="0.3"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"/>
    </row>
    <row r="288" spans="2:27" x14ac:dyDescent="0.3"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"/>
    </row>
    <row r="289" spans="2:27" x14ac:dyDescent="0.3"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"/>
    </row>
    <row r="290" spans="2:27" x14ac:dyDescent="0.3"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"/>
    </row>
    <row r="291" spans="2:27" x14ac:dyDescent="0.3"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"/>
    </row>
    <row r="292" spans="2:27" x14ac:dyDescent="0.3"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"/>
    </row>
    <row r="293" spans="2:27" x14ac:dyDescent="0.3"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"/>
    </row>
    <row r="294" spans="2:27" x14ac:dyDescent="0.3"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"/>
    </row>
    <row r="295" spans="2:27" x14ac:dyDescent="0.3"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"/>
    </row>
    <row r="296" spans="2:27" x14ac:dyDescent="0.3"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"/>
    </row>
    <row r="297" spans="2:27" x14ac:dyDescent="0.3"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"/>
    </row>
    <row r="298" spans="2:27" x14ac:dyDescent="0.3"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"/>
    </row>
    <row r="299" spans="2:27" x14ac:dyDescent="0.3"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"/>
    </row>
    <row r="300" spans="2:27" x14ac:dyDescent="0.3"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"/>
    </row>
    <row r="301" spans="2:27" x14ac:dyDescent="0.3"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"/>
    </row>
    <row r="302" spans="2:27" x14ac:dyDescent="0.3"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"/>
    </row>
    <row r="303" spans="2:27" x14ac:dyDescent="0.3"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"/>
    </row>
    <row r="304" spans="2:27" x14ac:dyDescent="0.3"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"/>
    </row>
    <row r="305" spans="2:27" x14ac:dyDescent="0.3"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"/>
    </row>
    <row r="306" spans="2:27" x14ac:dyDescent="0.3"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"/>
    </row>
    <row r="307" spans="2:27" x14ac:dyDescent="0.3"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"/>
    </row>
    <row r="308" spans="2:27" x14ac:dyDescent="0.3"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"/>
    </row>
    <row r="309" spans="2:27" x14ac:dyDescent="0.3"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"/>
    </row>
    <row r="310" spans="2:27" x14ac:dyDescent="0.3"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"/>
    </row>
    <row r="311" spans="2:27" x14ac:dyDescent="0.3"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"/>
    </row>
    <row r="312" spans="2:27" x14ac:dyDescent="0.3"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"/>
    </row>
    <row r="313" spans="2:27" x14ac:dyDescent="0.3"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"/>
    </row>
    <row r="314" spans="2:27" x14ac:dyDescent="0.3"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"/>
    </row>
    <row r="315" spans="2:27" x14ac:dyDescent="0.3"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"/>
    </row>
    <row r="316" spans="2:27" x14ac:dyDescent="0.3"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"/>
    </row>
    <row r="317" spans="2:27" x14ac:dyDescent="0.3"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"/>
    </row>
    <row r="318" spans="2:27" x14ac:dyDescent="0.3"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"/>
    </row>
    <row r="319" spans="2:27" x14ac:dyDescent="0.3"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"/>
    </row>
    <row r="320" spans="2:27" x14ac:dyDescent="0.3"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"/>
    </row>
    <row r="321" spans="2:27" x14ac:dyDescent="0.3"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"/>
    </row>
    <row r="322" spans="2:27" x14ac:dyDescent="0.3"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"/>
    </row>
    <row r="323" spans="2:27" x14ac:dyDescent="0.3"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"/>
    </row>
    <row r="324" spans="2:27" x14ac:dyDescent="0.3"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"/>
    </row>
    <row r="325" spans="2:27" x14ac:dyDescent="0.3"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"/>
    </row>
    <row r="326" spans="2:27" x14ac:dyDescent="0.3"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"/>
    </row>
    <row r="327" spans="2:27" x14ac:dyDescent="0.3"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"/>
    </row>
    <row r="328" spans="2:27" x14ac:dyDescent="0.3"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"/>
    </row>
    <row r="329" spans="2:27" x14ac:dyDescent="0.3"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"/>
    </row>
    <row r="330" spans="2:27" x14ac:dyDescent="0.3"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"/>
    </row>
    <row r="331" spans="2:27" x14ac:dyDescent="0.3"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"/>
    </row>
    <row r="332" spans="2:27" x14ac:dyDescent="0.3"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"/>
    </row>
    <row r="333" spans="2:27" x14ac:dyDescent="0.3"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"/>
    </row>
    <row r="334" spans="2:27" x14ac:dyDescent="0.3"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"/>
    </row>
    <row r="335" spans="2:27" x14ac:dyDescent="0.3"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"/>
    </row>
    <row r="336" spans="2:27" x14ac:dyDescent="0.3"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"/>
    </row>
    <row r="337" spans="2:27" x14ac:dyDescent="0.3"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"/>
    </row>
    <row r="338" spans="2:27" x14ac:dyDescent="0.3"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"/>
    </row>
    <row r="339" spans="2:27" x14ac:dyDescent="0.3"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"/>
    </row>
    <row r="340" spans="2:27" x14ac:dyDescent="0.3"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"/>
    </row>
    <row r="341" spans="2:27" x14ac:dyDescent="0.3"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"/>
    </row>
    <row r="342" spans="2:27" x14ac:dyDescent="0.3"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"/>
    </row>
    <row r="343" spans="2:27" x14ac:dyDescent="0.3"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"/>
    </row>
    <row r="344" spans="2:27" x14ac:dyDescent="0.3"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"/>
    </row>
    <row r="345" spans="2:27" x14ac:dyDescent="0.3"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"/>
    </row>
    <row r="346" spans="2:27" x14ac:dyDescent="0.3"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"/>
    </row>
    <row r="347" spans="2:27" x14ac:dyDescent="0.3"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"/>
    </row>
    <row r="348" spans="2:27" x14ac:dyDescent="0.3"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"/>
    </row>
    <row r="349" spans="2:27" x14ac:dyDescent="0.3"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"/>
    </row>
    <row r="350" spans="2:27" x14ac:dyDescent="0.3"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"/>
    </row>
    <row r="351" spans="2:27" x14ac:dyDescent="0.3"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"/>
    </row>
    <row r="352" spans="2:27" x14ac:dyDescent="0.3"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"/>
    </row>
    <row r="353" spans="2:27" x14ac:dyDescent="0.3"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"/>
    </row>
    <row r="354" spans="2:27" x14ac:dyDescent="0.3"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"/>
    </row>
    <row r="355" spans="2:27" x14ac:dyDescent="0.3"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"/>
    </row>
    <row r="356" spans="2:27" x14ac:dyDescent="0.3"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"/>
    </row>
    <row r="357" spans="2:27" x14ac:dyDescent="0.3"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"/>
    </row>
    <row r="358" spans="2:27" x14ac:dyDescent="0.3"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"/>
    </row>
    <row r="359" spans="2:27" x14ac:dyDescent="0.3"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"/>
    </row>
    <row r="360" spans="2:27" x14ac:dyDescent="0.3"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"/>
    </row>
    <row r="361" spans="2:27" x14ac:dyDescent="0.3"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"/>
    </row>
    <row r="362" spans="2:27" x14ac:dyDescent="0.3"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"/>
    </row>
    <row r="363" spans="2:27" x14ac:dyDescent="0.3"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"/>
    </row>
    <row r="364" spans="2:27" x14ac:dyDescent="0.3"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"/>
    </row>
    <row r="365" spans="2:27" x14ac:dyDescent="0.3"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"/>
    </row>
    <row r="366" spans="2:27" x14ac:dyDescent="0.3"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"/>
    </row>
    <row r="367" spans="2:27" x14ac:dyDescent="0.3"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"/>
    </row>
    <row r="368" spans="2:27" x14ac:dyDescent="0.3"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"/>
    </row>
    <row r="369" spans="2:27" x14ac:dyDescent="0.3"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"/>
    </row>
    <row r="370" spans="2:27" x14ac:dyDescent="0.3"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"/>
    </row>
    <row r="371" spans="2:27" x14ac:dyDescent="0.3"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"/>
    </row>
    <row r="372" spans="2:27" x14ac:dyDescent="0.3"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"/>
    </row>
    <row r="373" spans="2:27" x14ac:dyDescent="0.3"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"/>
    </row>
    <row r="374" spans="2:27" x14ac:dyDescent="0.3"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"/>
    </row>
    <row r="375" spans="2:27" x14ac:dyDescent="0.3"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"/>
    </row>
    <row r="376" spans="2:27" x14ac:dyDescent="0.3"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"/>
    </row>
    <row r="377" spans="2:27" x14ac:dyDescent="0.3"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"/>
    </row>
    <row r="378" spans="2:27" x14ac:dyDescent="0.3"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"/>
    </row>
    <row r="379" spans="2:27" x14ac:dyDescent="0.3"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"/>
    </row>
    <row r="380" spans="2:27" x14ac:dyDescent="0.3"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"/>
    </row>
    <row r="381" spans="2:27" x14ac:dyDescent="0.3"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"/>
    </row>
    <row r="382" spans="2:27" x14ac:dyDescent="0.3"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"/>
    </row>
    <row r="383" spans="2:27" x14ac:dyDescent="0.3"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"/>
    </row>
    <row r="384" spans="2:27" x14ac:dyDescent="0.3"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"/>
    </row>
    <row r="385" spans="2:27" x14ac:dyDescent="0.3"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"/>
    </row>
    <row r="386" spans="2:27" x14ac:dyDescent="0.3"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"/>
    </row>
    <row r="387" spans="2:27" x14ac:dyDescent="0.3"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"/>
    </row>
    <row r="388" spans="2:27" x14ac:dyDescent="0.3"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"/>
    </row>
    <row r="389" spans="2:27" x14ac:dyDescent="0.3"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"/>
    </row>
    <row r="390" spans="2:27" x14ac:dyDescent="0.3"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"/>
    </row>
    <row r="391" spans="2:27" x14ac:dyDescent="0.3"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"/>
    </row>
    <row r="392" spans="2:27" x14ac:dyDescent="0.3"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"/>
    </row>
    <row r="393" spans="2:27" x14ac:dyDescent="0.3"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"/>
    </row>
    <row r="394" spans="2:27" x14ac:dyDescent="0.3"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"/>
    </row>
    <row r="395" spans="2:27" x14ac:dyDescent="0.3"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"/>
    </row>
    <row r="396" spans="2:27" x14ac:dyDescent="0.3"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"/>
    </row>
    <row r="397" spans="2:27" x14ac:dyDescent="0.3"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"/>
    </row>
    <row r="398" spans="2:27" x14ac:dyDescent="0.3"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"/>
    </row>
    <row r="399" spans="2:27" x14ac:dyDescent="0.3"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"/>
    </row>
    <row r="400" spans="2:27" x14ac:dyDescent="0.3"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"/>
    </row>
    <row r="401" spans="2:27" x14ac:dyDescent="0.3"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"/>
    </row>
    <row r="402" spans="2:27" x14ac:dyDescent="0.3"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"/>
    </row>
    <row r="403" spans="2:27" x14ac:dyDescent="0.3"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"/>
    </row>
    <row r="404" spans="2:27" x14ac:dyDescent="0.3"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"/>
    </row>
    <row r="405" spans="2:27" x14ac:dyDescent="0.3"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"/>
    </row>
    <row r="406" spans="2:27" x14ac:dyDescent="0.3"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"/>
    </row>
    <row r="407" spans="2:27" x14ac:dyDescent="0.3"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"/>
    </row>
    <row r="408" spans="2:27" x14ac:dyDescent="0.3"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"/>
    </row>
    <row r="409" spans="2:27" x14ac:dyDescent="0.3"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"/>
    </row>
    <row r="410" spans="2:27" x14ac:dyDescent="0.3"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"/>
    </row>
    <row r="411" spans="2:27" x14ac:dyDescent="0.3"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"/>
    </row>
    <row r="412" spans="2:27" x14ac:dyDescent="0.3"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"/>
    </row>
    <row r="413" spans="2:27" x14ac:dyDescent="0.3"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"/>
    </row>
    <row r="414" spans="2:27" x14ac:dyDescent="0.3"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"/>
    </row>
    <row r="415" spans="2:27" x14ac:dyDescent="0.3"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"/>
    </row>
    <row r="416" spans="2:27" x14ac:dyDescent="0.3"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"/>
    </row>
    <row r="417" spans="2:27" x14ac:dyDescent="0.3"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"/>
    </row>
    <row r="418" spans="2:27" x14ac:dyDescent="0.3"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"/>
    </row>
    <row r="419" spans="2:27" x14ac:dyDescent="0.3"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"/>
    </row>
    <row r="420" spans="2:27" x14ac:dyDescent="0.3"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"/>
    </row>
    <row r="421" spans="2:27" x14ac:dyDescent="0.3"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"/>
    </row>
    <row r="422" spans="2:27" x14ac:dyDescent="0.3"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"/>
    </row>
    <row r="423" spans="2:27" x14ac:dyDescent="0.3"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"/>
    </row>
    <row r="424" spans="2:27" x14ac:dyDescent="0.3"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"/>
    </row>
    <row r="425" spans="2:27" x14ac:dyDescent="0.3"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"/>
    </row>
    <row r="426" spans="2:27" x14ac:dyDescent="0.3"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"/>
    </row>
    <row r="427" spans="2:27" x14ac:dyDescent="0.3"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"/>
    </row>
    <row r="428" spans="2:27" x14ac:dyDescent="0.3"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"/>
    </row>
    <row r="429" spans="2:27" x14ac:dyDescent="0.3"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"/>
    </row>
    <row r="430" spans="2:27" x14ac:dyDescent="0.3"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"/>
    </row>
    <row r="431" spans="2:27" x14ac:dyDescent="0.3"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"/>
    </row>
    <row r="432" spans="2:27" x14ac:dyDescent="0.3"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"/>
    </row>
    <row r="433" spans="2:27" x14ac:dyDescent="0.3"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"/>
    </row>
    <row r="434" spans="2:27" x14ac:dyDescent="0.3"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"/>
    </row>
    <row r="435" spans="2:27" x14ac:dyDescent="0.3"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"/>
    </row>
    <row r="436" spans="2:27" x14ac:dyDescent="0.3"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"/>
    </row>
    <row r="437" spans="2:27" x14ac:dyDescent="0.3"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"/>
    </row>
    <row r="438" spans="2:27" x14ac:dyDescent="0.3"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"/>
    </row>
    <row r="439" spans="2:27" x14ac:dyDescent="0.3"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"/>
    </row>
    <row r="440" spans="2:27" x14ac:dyDescent="0.3"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"/>
    </row>
    <row r="441" spans="2:27" x14ac:dyDescent="0.3"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"/>
    </row>
    <row r="442" spans="2:27" x14ac:dyDescent="0.3"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"/>
    </row>
    <row r="443" spans="2:27" x14ac:dyDescent="0.3"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"/>
    </row>
    <row r="444" spans="2:27" x14ac:dyDescent="0.3"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"/>
    </row>
    <row r="445" spans="2:27" x14ac:dyDescent="0.3"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"/>
    </row>
    <row r="446" spans="2:27" x14ac:dyDescent="0.3"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"/>
    </row>
    <row r="447" spans="2:27" x14ac:dyDescent="0.3"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"/>
    </row>
    <row r="448" spans="2:27" x14ac:dyDescent="0.3"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"/>
    </row>
    <row r="449" spans="2:27" x14ac:dyDescent="0.3"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"/>
    </row>
    <row r="450" spans="2:27" x14ac:dyDescent="0.3"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"/>
    </row>
    <row r="451" spans="2:27" x14ac:dyDescent="0.3"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"/>
    </row>
    <row r="452" spans="2:27" x14ac:dyDescent="0.3"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"/>
    </row>
    <row r="453" spans="2:27" x14ac:dyDescent="0.3"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"/>
    </row>
    <row r="454" spans="2:27" x14ac:dyDescent="0.3"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"/>
    </row>
    <row r="455" spans="2:27" x14ac:dyDescent="0.3"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"/>
    </row>
    <row r="456" spans="2:27" x14ac:dyDescent="0.3"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"/>
    </row>
    <row r="457" spans="2:27" x14ac:dyDescent="0.3"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"/>
    </row>
    <row r="458" spans="2:27" x14ac:dyDescent="0.3"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"/>
    </row>
    <row r="459" spans="2:27" x14ac:dyDescent="0.3"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"/>
    </row>
    <row r="460" spans="2:27" x14ac:dyDescent="0.3"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"/>
    </row>
    <row r="461" spans="2:27" x14ac:dyDescent="0.3"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"/>
    </row>
    <row r="462" spans="2:27" x14ac:dyDescent="0.3"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"/>
    </row>
    <row r="463" spans="2:27" x14ac:dyDescent="0.3"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"/>
    </row>
    <row r="464" spans="2:27" x14ac:dyDescent="0.3"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"/>
    </row>
    <row r="465" spans="2:27" x14ac:dyDescent="0.3"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"/>
    </row>
    <row r="466" spans="2:27" x14ac:dyDescent="0.3"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"/>
    </row>
    <row r="467" spans="2:27" x14ac:dyDescent="0.3"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"/>
    </row>
    <row r="468" spans="2:27" x14ac:dyDescent="0.3"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"/>
    </row>
    <row r="469" spans="2:27" x14ac:dyDescent="0.3"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"/>
    </row>
    <row r="470" spans="2:27" x14ac:dyDescent="0.3"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"/>
    </row>
    <row r="471" spans="2:27" x14ac:dyDescent="0.3"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"/>
    </row>
    <row r="472" spans="2:27" x14ac:dyDescent="0.3"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"/>
    </row>
    <row r="473" spans="2:27" x14ac:dyDescent="0.3"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"/>
    </row>
    <row r="474" spans="2:27" x14ac:dyDescent="0.3"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"/>
    </row>
    <row r="475" spans="2:27" x14ac:dyDescent="0.3"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"/>
    </row>
    <row r="476" spans="2:27" x14ac:dyDescent="0.3"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"/>
    </row>
    <row r="477" spans="2:27" x14ac:dyDescent="0.3"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"/>
    </row>
    <row r="478" spans="2:27" x14ac:dyDescent="0.3"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"/>
    </row>
    <row r="479" spans="2:27" x14ac:dyDescent="0.3"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"/>
    </row>
    <row r="480" spans="2:27" x14ac:dyDescent="0.3"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"/>
    </row>
    <row r="481" spans="2:27" x14ac:dyDescent="0.3"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"/>
    </row>
    <row r="482" spans="2:27" x14ac:dyDescent="0.3"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"/>
    </row>
    <row r="483" spans="2:27" x14ac:dyDescent="0.3"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"/>
    </row>
    <row r="484" spans="2:27" x14ac:dyDescent="0.3"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"/>
    </row>
    <row r="485" spans="2:27" x14ac:dyDescent="0.3"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"/>
    </row>
    <row r="486" spans="2:27" x14ac:dyDescent="0.3"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"/>
    </row>
    <row r="487" spans="2:27" x14ac:dyDescent="0.3"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"/>
    </row>
    <row r="488" spans="2:27" x14ac:dyDescent="0.3"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"/>
    </row>
    <row r="489" spans="2:27" x14ac:dyDescent="0.3"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"/>
    </row>
    <row r="490" spans="2:27" x14ac:dyDescent="0.3"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"/>
    </row>
    <row r="491" spans="2:27" x14ac:dyDescent="0.3"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"/>
    </row>
    <row r="492" spans="2:27" x14ac:dyDescent="0.3"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"/>
    </row>
    <row r="493" spans="2:27" x14ac:dyDescent="0.3"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"/>
    </row>
    <row r="494" spans="2:27" x14ac:dyDescent="0.3"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"/>
    </row>
    <row r="495" spans="2:27" x14ac:dyDescent="0.3"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"/>
    </row>
    <row r="496" spans="2:27" x14ac:dyDescent="0.3"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"/>
    </row>
    <row r="497" spans="2:27" x14ac:dyDescent="0.3"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"/>
    </row>
    <row r="498" spans="2:27" x14ac:dyDescent="0.3"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"/>
    </row>
    <row r="499" spans="2:27" x14ac:dyDescent="0.3"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"/>
    </row>
    <row r="500" spans="2:27" x14ac:dyDescent="0.3"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"/>
    </row>
    <row r="501" spans="2:27" x14ac:dyDescent="0.3"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"/>
    </row>
    <row r="502" spans="2:27" x14ac:dyDescent="0.3"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"/>
    </row>
    <row r="503" spans="2:27" x14ac:dyDescent="0.3"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"/>
    </row>
    <row r="504" spans="2:27" x14ac:dyDescent="0.3"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"/>
    </row>
    <row r="505" spans="2:27" x14ac:dyDescent="0.3"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"/>
    </row>
    <row r="506" spans="2:27" x14ac:dyDescent="0.3"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"/>
    </row>
    <row r="507" spans="2:27" x14ac:dyDescent="0.3"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"/>
    </row>
    <row r="508" spans="2:27" x14ac:dyDescent="0.3"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"/>
    </row>
    <row r="509" spans="2:27" x14ac:dyDescent="0.3"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"/>
    </row>
    <row r="510" spans="2:27" x14ac:dyDescent="0.3"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"/>
    </row>
    <row r="511" spans="2:27" x14ac:dyDescent="0.3"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"/>
    </row>
    <row r="512" spans="2:27" x14ac:dyDescent="0.3"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"/>
    </row>
    <row r="513" spans="2:27" x14ac:dyDescent="0.3"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"/>
    </row>
    <row r="514" spans="2:27" x14ac:dyDescent="0.3"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"/>
    </row>
    <row r="515" spans="2:27" x14ac:dyDescent="0.3"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"/>
    </row>
    <row r="516" spans="2:27" x14ac:dyDescent="0.3"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"/>
    </row>
    <row r="517" spans="2:27" x14ac:dyDescent="0.3"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"/>
    </row>
    <row r="518" spans="2:27" x14ac:dyDescent="0.3"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"/>
    </row>
    <row r="519" spans="2:27" x14ac:dyDescent="0.3"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"/>
    </row>
    <row r="520" spans="2:27" x14ac:dyDescent="0.3"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"/>
    </row>
    <row r="521" spans="2:27" x14ac:dyDescent="0.3"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"/>
    </row>
    <row r="522" spans="2:27" x14ac:dyDescent="0.3"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"/>
    </row>
    <row r="523" spans="2:27" x14ac:dyDescent="0.3"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"/>
    </row>
    <row r="524" spans="2:27" x14ac:dyDescent="0.3"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"/>
    </row>
    <row r="525" spans="2:27" x14ac:dyDescent="0.3"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"/>
    </row>
    <row r="526" spans="2:27" x14ac:dyDescent="0.3"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"/>
    </row>
    <row r="527" spans="2:27" x14ac:dyDescent="0.3"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"/>
    </row>
    <row r="528" spans="2:27" x14ac:dyDescent="0.3"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"/>
    </row>
    <row r="529" spans="2:27" x14ac:dyDescent="0.3"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"/>
    </row>
    <row r="530" spans="2:27" x14ac:dyDescent="0.3"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"/>
    </row>
    <row r="531" spans="2:27" x14ac:dyDescent="0.3"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"/>
    </row>
    <row r="532" spans="2:27" x14ac:dyDescent="0.3"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"/>
    </row>
    <row r="533" spans="2:27" x14ac:dyDescent="0.3"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"/>
    </row>
    <row r="534" spans="2:27" x14ac:dyDescent="0.3"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"/>
    </row>
    <row r="535" spans="2:27" x14ac:dyDescent="0.3"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"/>
    </row>
    <row r="536" spans="2:27" x14ac:dyDescent="0.3"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"/>
    </row>
    <row r="537" spans="2:27" x14ac:dyDescent="0.3"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"/>
    </row>
    <row r="538" spans="2:27" x14ac:dyDescent="0.3"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"/>
    </row>
    <row r="539" spans="2:27" x14ac:dyDescent="0.3"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"/>
    </row>
    <row r="540" spans="2:27" x14ac:dyDescent="0.3"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"/>
    </row>
    <row r="541" spans="2:27" x14ac:dyDescent="0.3"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"/>
    </row>
    <row r="542" spans="2:27" x14ac:dyDescent="0.3"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"/>
    </row>
    <row r="543" spans="2:27" x14ac:dyDescent="0.3"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"/>
    </row>
    <row r="544" spans="2:27" x14ac:dyDescent="0.3"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"/>
    </row>
    <row r="545" spans="2:27" x14ac:dyDescent="0.3"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"/>
    </row>
    <row r="546" spans="2:27" x14ac:dyDescent="0.3"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"/>
    </row>
    <row r="547" spans="2:27" x14ac:dyDescent="0.3"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"/>
    </row>
    <row r="548" spans="2:27" x14ac:dyDescent="0.3"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"/>
    </row>
    <row r="549" spans="2:27" x14ac:dyDescent="0.3"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"/>
    </row>
    <row r="550" spans="2:27" x14ac:dyDescent="0.3"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"/>
    </row>
    <row r="551" spans="2:27" x14ac:dyDescent="0.3"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"/>
    </row>
    <row r="552" spans="2:27" x14ac:dyDescent="0.3"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"/>
    </row>
    <row r="553" spans="2:27" x14ac:dyDescent="0.3"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"/>
    </row>
    <row r="554" spans="2:27" x14ac:dyDescent="0.3"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"/>
    </row>
    <row r="555" spans="2:27" x14ac:dyDescent="0.3"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"/>
    </row>
    <row r="556" spans="2:27" x14ac:dyDescent="0.3"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"/>
    </row>
    <row r="557" spans="2:27" x14ac:dyDescent="0.3"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"/>
    </row>
    <row r="558" spans="2:27" x14ac:dyDescent="0.3"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"/>
    </row>
    <row r="559" spans="2:27" x14ac:dyDescent="0.3"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"/>
    </row>
    <row r="560" spans="2:27" x14ac:dyDescent="0.3"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"/>
    </row>
    <row r="561" spans="2:27" x14ac:dyDescent="0.3"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"/>
    </row>
    <row r="562" spans="2:27" x14ac:dyDescent="0.3"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"/>
    </row>
    <row r="563" spans="2:27" x14ac:dyDescent="0.3"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"/>
    </row>
    <row r="564" spans="2:27" x14ac:dyDescent="0.3"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"/>
    </row>
    <row r="565" spans="2:27" x14ac:dyDescent="0.3"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"/>
    </row>
    <row r="566" spans="2:27" x14ac:dyDescent="0.3"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"/>
    </row>
    <row r="567" spans="2:27" x14ac:dyDescent="0.3"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"/>
    </row>
    <row r="568" spans="2:27" x14ac:dyDescent="0.3"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"/>
    </row>
    <row r="569" spans="2:27" x14ac:dyDescent="0.3"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"/>
    </row>
    <row r="570" spans="2:27" x14ac:dyDescent="0.3"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"/>
    </row>
    <row r="670" spans="2:27" x14ac:dyDescent="0.3"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"/>
    </row>
    <row r="671" spans="2:27" x14ac:dyDescent="0.3"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"/>
    </row>
    <row r="672" spans="2:27" x14ac:dyDescent="0.3"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"/>
    </row>
    <row r="673" spans="2:27" x14ac:dyDescent="0.3"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"/>
    </row>
    <row r="674" spans="2:27" x14ac:dyDescent="0.3"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"/>
    </row>
    <row r="675" spans="2:27" x14ac:dyDescent="0.3"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"/>
    </row>
    <row r="676" spans="2:27" x14ac:dyDescent="0.3"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"/>
    </row>
    <row r="677" spans="2:27" x14ac:dyDescent="0.3"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"/>
    </row>
    <row r="678" spans="2:27" x14ac:dyDescent="0.3"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"/>
    </row>
    <row r="679" spans="2:27" x14ac:dyDescent="0.3"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"/>
    </row>
    <row r="680" spans="2:27" x14ac:dyDescent="0.3"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"/>
    </row>
    <row r="681" spans="2:27" x14ac:dyDescent="0.3"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"/>
    </row>
    <row r="682" spans="2:27" x14ac:dyDescent="0.3"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"/>
    </row>
    <row r="683" spans="2:27" x14ac:dyDescent="0.3"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"/>
    </row>
    <row r="684" spans="2:27" x14ac:dyDescent="0.3"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"/>
    </row>
    <row r="685" spans="2:27" x14ac:dyDescent="0.3"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"/>
    </row>
    <row r="686" spans="2:27" x14ac:dyDescent="0.3"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"/>
    </row>
    <row r="687" spans="2:27" x14ac:dyDescent="0.3"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"/>
    </row>
    <row r="688" spans="2:27" x14ac:dyDescent="0.3"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"/>
    </row>
    <row r="689" spans="2:27" x14ac:dyDescent="0.3"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"/>
    </row>
    <row r="690" spans="2:27" x14ac:dyDescent="0.3"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"/>
    </row>
    <row r="691" spans="2:27" x14ac:dyDescent="0.3"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"/>
    </row>
    <row r="692" spans="2:27" x14ac:dyDescent="0.3"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"/>
    </row>
    <row r="693" spans="2:27" x14ac:dyDescent="0.3"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"/>
    </row>
    <row r="694" spans="2:27" x14ac:dyDescent="0.3"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"/>
    </row>
    <row r="695" spans="2:27" x14ac:dyDescent="0.3"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"/>
    </row>
    <row r="696" spans="2:27" x14ac:dyDescent="0.3"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"/>
    </row>
    <row r="697" spans="2:27" x14ac:dyDescent="0.3"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"/>
    </row>
    <row r="698" spans="2:27" x14ac:dyDescent="0.3"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"/>
    </row>
    <row r="699" spans="2:27" x14ac:dyDescent="0.3"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"/>
    </row>
    <row r="700" spans="2:27" x14ac:dyDescent="0.3"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"/>
    </row>
    <row r="701" spans="2:27" x14ac:dyDescent="0.3"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"/>
    </row>
    <row r="702" spans="2:27" x14ac:dyDescent="0.3"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"/>
    </row>
    <row r="703" spans="2:27" x14ac:dyDescent="0.3"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"/>
    </row>
    <row r="704" spans="2:27" x14ac:dyDescent="0.3"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"/>
    </row>
    <row r="705" spans="2:27" x14ac:dyDescent="0.3"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"/>
    </row>
    <row r="706" spans="2:27" x14ac:dyDescent="0.3"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"/>
    </row>
    <row r="707" spans="2:27" x14ac:dyDescent="0.3"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"/>
    </row>
    <row r="708" spans="2:27" x14ac:dyDescent="0.3"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"/>
    </row>
    <row r="709" spans="2:27" x14ac:dyDescent="0.3"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"/>
    </row>
    <row r="710" spans="2:27" x14ac:dyDescent="0.3"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"/>
    </row>
    <row r="711" spans="2:27" x14ac:dyDescent="0.3"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"/>
    </row>
    <row r="712" spans="2:27" x14ac:dyDescent="0.3"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"/>
    </row>
    <row r="713" spans="2:27" x14ac:dyDescent="0.3"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"/>
    </row>
    <row r="714" spans="2:27" x14ac:dyDescent="0.3"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"/>
    </row>
    <row r="715" spans="2:27" x14ac:dyDescent="0.3"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"/>
    </row>
    <row r="716" spans="2:27" x14ac:dyDescent="0.3"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"/>
    </row>
    <row r="717" spans="2:27" x14ac:dyDescent="0.3"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"/>
    </row>
    <row r="718" spans="2:27" x14ac:dyDescent="0.3"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"/>
    </row>
    <row r="719" spans="2:27" x14ac:dyDescent="0.3"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"/>
    </row>
    <row r="720" spans="2:27" x14ac:dyDescent="0.3"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"/>
    </row>
    <row r="721" spans="2:27" x14ac:dyDescent="0.3"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"/>
    </row>
    <row r="722" spans="2:27" x14ac:dyDescent="0.3"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"/>
    </row>
    <row r="723" spans="2:27" x14ac:dyDescent="0.3"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"/>
    </row>
    <row r="724" spans="2:27" x14ac:dyDescent="0.3"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"/>
    </row>
    <row r="725" spans="2:27" x14ac:dyDescent="0.3"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"/>
    </row>
    <row r="726" spans="2:27" x14ac:dyDescent="0.3"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"/>
    </row>
    <row r="727" spans="2:27" x14ac:dyDescent="0.3"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"/>
    </row>
    <row r="728" spans="2:27" x14ac:dyDescent="0.3"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"/>
    </row>
    <row r="729" spans="2:27" x14ac:dyDescent="0.3"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"/>
    </row>
    <row r="730" spans="2:27" x14ac:dyDescent="0.3"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"/>
    </row>
    <row r="731" spans="2:27" x14ac:dyDescent="0.3"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"/>
    </row>
    <row r="732" spans="2:27" x14ac:dyDescent="0.3"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"/>
    </row>
    <row r="733" spans="2:27" x14ac:dyDescent="0.3"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"/>
    </row>
    <row r="734" spans="2:27" x14ac:dyDescent="0.3"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"/>
    </row>
    <row r="735" spans="2:27" x14ac:dyDescent="0.3"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"/>
    </row>
    <row r="736" spans="2:27" x14ac:dyDescent="0.3"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"/>
    </row>
    <row r="737" spans="2:27" x14ac:dyDescent="0.3"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"/>
    </row>
    <row r="738" spans="2:27" x14ac:dyDescent="0.3"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"/>
    </row>
    <row r="739" spans="2:27" x14ac:dyDescent="0.3"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"/>
    </row>
    <row r="740" spans="2:27" x14ac:dyDescent="0.3">
      <c r="AA740" s="4"/>
    </row>
    <row r="741" spans="2:27" x14ac:dyDescent="0.3">
      <c r="AA741" s="4"/>
    </row>
    <row r="742" spans="2:27" x14ac:dyDescent="0.3">
      <c r="AA742" s="4"/>
    </row>
    <row r="743" spans="2:27" x14ac:dyDescent="0.3">
      <c r="AA743" s="4"/>
    </row>
    <row r="744" spans="2:27" x14ac:dyDescent="0.3">
      <c r="AA744" s="4"/>
    </row>
    <row r="745" spans="2:27" x14ac:dyDescent="0.3">
      <c r="AA745" s="4"/>
    </row>
    <row r="746" spans="2:27" x14ac:dyDescent="0.3">
      <c r="AA746" s="4"/>
    </row>
    <row r="747" spans="2:27" x14ac:dyDescent="0.3">
      <c r="AA747" s="4"/>
    </row>
    <row r="748" spans="2:27" x14ac:dyDescent="0.3">
      <c r="AA748" s="4"/>
    </row>
    <row r="749" spans="2:27" x14ac:dyDescent="0.3">
      <c r="AA749" s="4"/>
    </row>
    <row r="750" spans="2:27" x14ac:dyDescent="0.3">
      <c r="AA750" s="4"/>
    </row>
    <row r="751" spans="2:27" x14ac:dyDescent="0.3">
      <c r="AA751" s="4"/>
    </row>
    <row r="752" spans="2:27" x14ac:dyDescent="0.3">
      <c r="AA752" s="4"/>
    </row>
    <row r="753" spans="27:27" x14ac:dyDescent="0.3">
      <c r="AA753" s="4"/>
    </row>
    <row r="754" spans="27:27" x14ac:dyDescent="0.3">
      <c r="AA754" s="4"/>
    </row>
    <row r="755" spans="27:27" x14ac:dyDescent="0.3">
      <c r="AA755" s="4"/>
    </row>
    <row r="756" spans="27:27" x14ac:dyDescent="0.3">
      <c r="AA756" s="4"/>
    </row>
    <row r="757" spans="27:27" x14ac:dyDescent="0.3">
      <c r="AA757" s="4"/>
    </row>
    <row r="758" spans="27:27" x14ac:dyDescent="0.3">
      <c r="AA758" s="4"/>
    </row>
    <row r="759" spans="27:27" x14ac:dyDescent="0.3">
      <c r="AA759" s="4"/>
    </row>
    <row r="760" spans="27:27" x14ac:dyDescent="0.3">
      <c r="AA760" s="4"/>
    </row>
    <row r="761" spans="27:27" x14ac:dyDescent="0.3">
      <c r="AA761" s="4"/>
    </row>
    <row r="762" spans="27:27" x14ac:dyDescent="0.3">
      <c r="AA762" s="4"/>
    </row>
    <row r="763" spans="27:27" x14ac:dyDescent="0.3">
      <c r="AA763" s="4"/>
    </row>
    <row r="764" spans="27:27" x14ac:dyDescent="0.3">
      <c r="AA764" s="4"/>
    </row>
    <row r="765" spans="27:27" x14ac:dyDescent="0.3">
      <c r="AA765" s="4"/>
    </row>
    <row r="766" spans="27:27" x14ac:dyDescent="0.3">
      <c r="AA766" s="4"/>
    </row>
    <row r="767" spans="27:27" x14ac:dyDescent="0.3">
      <c r="AA767" s="4"/>
    </row>
    <row r="768" spans="27:27" x14ac:dyDescent="0.3">
      <c r="AA768" s="4"/>
    </row>
    <row r="769" spans="27:27" x14ac:dyDescent="0.3">
      <c r="AA769" s="4"/>
    </row>
    <row r="770" spans="27:27" x14ac:dyDescent="0.3">
      <c r="AA770" s="4"/>
    </row>
    <row r="771" spans="27:27" x14ac:dyDescent="0.3">
      <c r="AA771" s="4"/>
    </row>
    <row r="772" spans="27:27" x14ac:dyDescent="0.3">
      <c r="AA772" s="4"/>
    </row>
    <row r="773" spans="27:27" x14ac:dyDescent="0.3">
      <c r="AA773" s="4"/>
    </row>
    <row r="774" spans="27:27" x14ac:dyDescent="0.3">
      <c r="AA774" s="4"/>
    </row>
    <row r="775" spans="27:27" x14ac:dyDescent="0.3">
      <c r="AA775" s="4"/>
    </row>
    <row r="776" spans="27:27" x14ac:dyDescent="0.3">
      <c r="AA776" s="4"/>
    </row>
    <row r="777" spans="27:27" x14ac:dyDescent="0.3">
      <c r="AA777" s="4"/>
    </row>
    <row r="778" spans="27:27" x14ac:dyDescent="0.3">
      <c r="AA778" s="4"/>
    </row>
    <row r="779" spans="27:27" x14ac:dyDescent="0.3">
      <c r="AA779" s="4"/>
    </row>
    <row r="780" spans="27:27" x14ac:dyDescent="0.3">
      <c r="AA780" s="4"/>
    </row>
    <row r="781" spans="27:27" x14ac:dyDescent="0.3">
      <c r="AA781" s="4"/>
    </row>
    <row r="782" spans="27:27" x14ac:dyDescent="0.3">
      <c r="AA782" s="4"/>
    </row>
    <row r="783" spans="27:27" x14ac:dyDescent="0.3">
      <c r="AA783" s="4"/>
    </row>
    <row r="784" spans="27:27" x14ac:dyDescent="0.3">
      <c r="AA784" s="4"/>
    </row>
    <row r="785" spans="27:27" x14ac:dyDescent="0.3">
      <c r="AA785" s="4"/>
    </row>
    <row r="786" spans="27:27" x14ac:dyDescent="0.3">
      <c r="AA786" s="4"/>
    </row>
    <row r="787" spans="27:27" x14ac:dyDescent="0.3">
      <c r="AA787" s="4"/>
    </row>
    <row r="788" spans="27:27" x14ac:dyDescent="0.3">
      <c r="AA788" s="4"/>
    </row>
    <row r="789" spans="27:27" x14ac:dyDescent="0.3">
      <c r="AA789" s="4"/>
    </row>
    <row r="790" spans="27:27" x14ac:dyDescent="0.3">
      <c r="AA790" s="4"/>
    </row>
    <row r="791" spans="27:27" x14ac:dyDescent="0.3">
      <c r="AA791" s="4"/>
    </row>
    <row r="792" spans="27:27" x14ac:dyDescent="0.3">
      <c r="AA792" s="4"/>
    </row>
    <row r="793" spans="27:27" x14ac:dyDescent="0.3">
      <c r="AA793" s="4"/>
    </row>
    <row r="794" spans="27:27" x14ac:dyDescent="0.3">
      <c r="AA794" s="4"/>
    </row>
    <row r="795" spans="27:27" x14ac:dyDescent="0.3">
      <c r="AA795" s="4"/>
    </row>
    <row r="796" spans="27:27" x14ac:dyDescent="0.3">
      <c r="AA796" s="4"/>
    </row>
    <row r="797" spans="27:27" x14ac:dyDescent="0.3">
      <c r="AA797" s="4"/>
    </row>
    <row r="798" spans="27:27" x14ac:dyDescent="0.3">
      <c r="AA798" s="4"/>
    </row>
    <row r="799" spans="27:27" x14ac:dyDescent="0.3">
      <c r="AA799" s="4"/>
    </row>
    <row r="800" spans="27:27" x14ac:dyDescent="0.3">
      <c r="AA800" s="4"/>
    </row>
    <row r="801" spans="27:27" x14ac:dyDescent="0.3">
      <c r="AA801" s="4"/>
    </row>
    <row r="802" spans="27:27" x14ac:dyDescent="0.3">
      <c r="AA802" s="4"/>
    </row>
    <row r="803" spans="27:27" x14ac:dyDescent="0.3">
      <c r="AA803" s="4"/>
    </row>
    <row r="804" spans="27:27" x14ac:dyDescent="0.3">
      <c r="AA804" s="4"/>
    </row>
    <row r="805" spans="27:27" x14ac:dyDescent="0.3">
      <c r="AA805" s="4"/>
    </row>
    <row r="806" spans="27:27" x14ac:dyDescent="0.3">
      <c r="AA806" s="4"/>
    </row>
    <row r="807" spans="27:27" x14ac:dyDescent="0.3">
      <c r="AA807" s="4"/>
    </row>
    <row r="808" spans="27:27" x14ac:dyDescent="0.3">
      <c r="AA808" s="4"/>
    </row>
    <row r="809" spans="27:27" x14ac:dyDescent="0.3">
      <c r="AA809" s="4"/>
    </row>
    <row r="810" spans="27:27" x14ac:dyDescent="0.3">
      <c r="AA810" s="4"/>
    </row>
    <row r="811" spans="27:27" x14ac:dyDescent="0.3">
      <c r="AA811" s="4"/>
    </row>
    <row r="812" spans="27:27" x14ac:dyDescent="0.3">
      <c r="AA812" s="4"/>
    </row>
    <row r="813" spans="27:27" x14ac:dyDescent="0.3">
      <c r="AA813" s="4"/>
    </row>
    <row r="814" spans="27:27" x14ac:dyDescent="0.3">
      <c r="AA814" s="4"/>
    </row>
    <row r="815" spans="27:27" x14ac:dyDescent="0.3">
      <c r="AA815" s="4"/>
    </row>
    <row r="816" spans="27:27" x14ac:dyDescent="0.3">
      <c r="AA816" s="4"/>
    </row>
    <row r="817" spans="27:27" x14ac:dyDescent="0.3">
      <c r="AA817" s="4"/>
    </row>
    <row r="818" spans="27:27" x14ac:dyDescent="0.3">
      <c r="AA818" s="4"/>
    </row>
    <row r="819" spans="27:27" x14ac:dyDescent="0.3">
      <c r="AA819" s="4"/>
    </row>
    <row r="820" spans="27:27" x14ac:dyDescent="0.3">
      <c r="AA820" s="4"/>
    </row>
    <row r="821" spans="27:27" x14ac:dyDescent="0.3">
      <c r="AA821" s="4"/>
    </row>
    <row r="822" spans="27:27" x14ac:dyDescent="0.3">
      <c r="AA822" s="4"/>
    </row>
    <row r="823" spans="27:27" x14ac:dyDescent="0.3">
      <c r="AA823" s="4"/>
    </row>
    <row r="824" spans="27:27" x14ac:dyDescent="0.3">
      <c r="AA824" s="4"/>
    </row>
    <row r="825" spans="27:27" x14ac:dyDescent="0.3">
      <c r="AA825" s="4"/>
    </row>
    <row r="826" spans="27:27" x14ac:dyDescent="0.3">
      <c r="AA826" s="4"/>
    </row>
    <row r="827" spans="27:27" x14ac:dyDescent="0.3">
      <c r="AA827" s="4"/>
    </row>
    <row r="828" spans="27:27" x14ac:dyDescent="0.3">
      <c r="AA828" s="4"/>
    </row>
    <row r="829" spans="27:27" x14ac:dyDescent="0.3">
      <c r="AA829" s="4"/>
    </row>
    <row r="830" spans="27:27" x14ac:dyDescent="0.3">
      <c r="AA830" s="4"/>
    </row>
    <row r="831" spans="27:27" x14ac:dyDescent="0.3">
      <c r="AA831" s="4"/>
    </row>
    <row r="832" spans="27:27" x14ac:dyDescent="0.3">
      <c r="AA832" s="4"/>
    </row>
    <row r="833" spans="27:27" x14ac:dyDescent="0.3">
      <c r="AA833" s="4"/>
    </row>
    <row r="834" spans="27:27" x14ac:dyDescent="0.3">
      <c r="AA834" s="4"/>
    </row>
    <row r="835" spans="27:27" x14ac:dyDescent="0.3">
      <c r="AA835" s="4"/>
    </row>
    <row r="836" spans="27:27" x14ac:dyDescent="0.3">
      <c r="AA836" s="4"/>
    </row>
    <row r="837" spans="27:27" x14ac:dyDescent="0.3">
      <c r="AA837" s="4"/>
    </row>
    <row r="838" spans="27:27" x14ac:dyDescent="0.3">
      <c r="AA838" s="4"/>
    </row>
    <row r="839" spans="27:27" x14ac:dyDescent="0.3">
      <c r="AA839" s="4"/>
    </row>
    <row r="840" spans="27:27" x14ac:dyDescent="0.3">
      <c r="AA840" s="4"/>
    </row>
    <row r="841" spans="27:27" x14ac:dyDescent="0.3">
      <c r="AA841" s="4"/>
    </row>
    <row r="842" spans="27:27" x14ac:dyDescent="0.3">
      <c r="AA842" s="4"/>
    </row>
    <row r="843" spans="27:27" x14ac:dyDescent="0.3">
      <c r="AA843" s="4"/>
    </row>
    <row r="844" spans="27:27" x14ac:dyDescent="0.3">
      <c r="AA844" s="4"/>
    </row>
    <row r="845" spans="27:27" x14ac:dyDescent="0.3">
      <c r="AA845" s="4"/>
    </row>
    <row r="846" spans="27:27" x14ac:dyDescent="0.3">
      <c r="AA846" s="4"/>
    </row>
    <row r="847" spans="27:27" x14ac:dyDescent="0.3">
      <c r="AA847" s="4"/>
    </row>
    <row r="848" spans="27:27" x14ac:dyDescent="0.3">
      <c r="AA848" s="4"/>
    </row>
    <row r="849" spans="27:27" x14ac:dyDescent="0.3">
      <c r="AA849" s="4"/>
    </row>
    <row r="850" spans="27:27" x14ac:dyDescent="0.3">
      <c r="AA850" s="4"/>
    </row>
    <row r="851" spans="27:27" x14ac:dyDescent="0.3">
      <c r="AA851" s="4"/>
    </row>
    <row r="852" spans="27:27" x14ac:dyDescent="0.3">
      <c r="AA852" s="4"/>
    </row>
    <row r="853" spans="27:27" x14ac:dyDescent="0.3">
      <c r="AA853" s="4"/>
    </row>
    <row r="854" spans="27:27" x14ac:dyDescent="0.3">
      <c r="AA854" s="4"/>
    </row>
    <row r="855" spans="27:27" x14ac:dyDescent="0.3">
      <c r="AA855" s="4"/>
    </row>
    <row r="856" spans="27:27" x14ac:dyDescent="0.3">
      <c r="AA856" s="4"/>
    </row>
    <row r="857" spans="27:27" x14ac:dyDescent="0.3">
      <c r="AA857" s="4"/>
    </row>
    <row r="858" spans="27:27" x14ac:dyDescent="0.3">
      <c r="AA858" s="4"/>
    </row>
    <row r="859" spans="27:27" x14ac:dyDescent="0.3">
      <c r="AA859" s="4"/>
    </row>
    <row r="860" spans="27:27" x14ac:dyDescent="0.3">
      <c r="AA860" s="4"/>
    </row>
    <row r="861" spans="27:27" x14ac:dyDescent="0.3">
      <c r="AA861" s="4"/>
    </row>
    <row r="862" spans="27:27" x14ac:dyDescent="0.3">
      <c r="AA862" s="4"/>
    </row>
    <row r="863" spans="27:27" x14ac:dyDescent="0.3">
      <c r="AA863" s="4"/>
    </row>
    <row r="864" spans="27:27" x14ac:dyDescent="0.3">
      <c r="AA864" s="4"/>
    </row>
    <row r="865" spans="27:27" x14ac:dyDescent="0.3">
      <c r="AA865" s="4"/>
    </row>
    <row r="866" spans="27:27" x14ac:dyDescent="0.3">
      <c r="AA866" s="4"/>
    </row>
    <row r="867" spans="27:27" x14ac:dyDescent="0.3">
      <c r="AA867" s="4"/>
    </row>
    <row r="868" spans="27:27" x14ac:dyDescent="0.3">
      <c r="AA868" s="4"/>
    </row>
    <row r="869" spans="27:27" x14ac:dyDescent="0.3">
      <c r="AA869" s="4"/>
    </row>
    <row r="870" spans="27:27" x14ac:dyDescent="0.3">
      <c r="AA870" s="4"/>
    </row>
    <row r="871" spans="27:27" x14ac:dyDescent="0.3">
      <c r="AA871" s="4"/>
    </row>
    <row r="872" spans="27:27" x14ac:dyDescent="0.3">
      <c r="AA872" s="4"/>
    </row>
    <row r="873" spans="27:27" x14ac:dyDescent="0.3">
      <c r="AA873" s="4"/>
    </row>
    <row r="874" spans="27:27" x14ac:dyDescent="0.3">
      <c r="AA874" s="4"/>
    </row>
    <row r="875" spans="27:27" x14ac:dyDescent="0.3">
      <c r="AA875" s="4"/>
    </row>
    <row r="876" spans="27:27" x14ac:dyDescent="0.3">
      <c r="AA876" s="4"/>
    </row>
    <row r="877" spans="27:27" x14ac:dyDescent="0.3">
      <c r="AA877" s="4"/>
    </row>
    <row r="878" spans="27:27" x14ac:dyDescent="0.3">
      <c r="AA878" s="4"/>
    </row>
    <row r="879" spans="27:27" x14ac:dyDescent="0.3">
      <c r="AA879" s="4"/>
    </row>
    <row r="880" spans="27:27" x14ac:dyDescent="0.3">
      <c r="AA880" s="4"/>
    </row>
    <row r="881" spans="27:27" x14ac:dyDescent="0.3">
      <c r="AA881" s="4"/>
    </row>
    <row r="882" spans="27:27" x14ac:dyDescent="0.3">
      <c r="AA882" s="4"/>
    </row>
    <row r="883" spans="27:27" x14ac:dyDescent="0.3">
      <c r="AA883" s="4"/>
    </row>
    <row r="884" spans="27:27" x14ac:dyDescent="0.3">
      <c r="AA884" s="4"/>
    </row>
    <row r="885" spans="27:27" x14ac:dyDescent="0.3">
      <c r="AA885" s="4"/>
    </row>
    <row r="886" spans="27:27" x14ac:dyDescent="0.3">
      <c r="AA886" s="4"/>
    </row>
    <row r="887" spans="27:27" x14ac:dyDescent="0.3">
      <c r="AA887" s="4"/>
    </row>
    <row r="888" spans="27:27" x14ac:dyDescent="0.3">
      <c r="AA888" s="4"/>
    </row>
    <row r="889" spans="27:27" x14ac:dyDescent="0.3">
      <c r="AA889" s="4"/>
    </row>
    <row r="890" spans="27:27" x14ac:dyDescent="0.3">
      <c r="AA890" s="4"/>
    </row>
    <row r="891" spans="27:27" x14ac:dyDescent="0.3">
      <c r="AA891" s="4"/>
    </row>
    <row r="892" spans="27:27" x14ac:dyDescent="0.3">
      <c r="AA892" s="4"/>
    </row>
    <row r="893" spans="27:27" x14ac:dyDescent="0.3">
      <c r="AA893" s="4"/>
    </row>
    <row r="894" spans="27:27" x14ac:dyDescent="0.3">
      <c r="AA894" s="4"/>
    </row>
    <row r="895" spans="27:27" x14ac:dyDescent="0.3">
      <c r="AA895" s="4"/>
    </row>
    <row r="896" spans="27:27" x14ac:dyDescent="0.3">
      <c r="AA896" s="4"/>
    </row>
    <row r="897" spans="27:27" x14ac:dyDescent="0.3">
      <c r="AA897" s="4"/>
    </row>
    <row r="898" spans="27:27" x14ac:dyDescent="0.3">
      <c r="AA898" s="4"/>
    </row>
    <row r="899" spans="27:27" x14ac:dyDescent="0.3">
      <c r="AA899" s="4"/>
    </row>
    <row r="900" spans="27:27" x14ac:dyDescent="0.3">
      <c r="AA900" s="4"/>
    </row>
    <row r="901" spans="27:27" x14ac:dyDescent="0.3">
      <c r="AA901" s="4"/>
    </row>
    <row r="902" spans="27:27" x14ac:dyDescent="0.3">
      <c r="AA902" s="4"/>
    </row>
    <row r="903" spans="27:27" x14ac:dyDescent="0.3">
      <c r="AA903" s="4"/>
    </row>
    <row r="904" spans="27:27" x14ac:dyDescent="0.3">
      <c r="AA904" s="4"/>
    </row>
    <row r="905" spans="27:27" x14ac:dyDescent="0.3">
      <c r="AA905" s="4"/>
    </row>
    <row r="906" spans="27:27" x14ac:dyDescent="0.3">
      <c r="AA906" s="4"/>
    </row>
    <row r="907" spans="27:27" x14ac:dyDescent="0.3">
      <c r="AA907" s="4"/>
    </row>
    <row r="908" spans="27:27" x14ac:dyDescent="0.3">
      <c r="AA908" s="4"/>
    </row>
    <row r="909" spans="27:27" x14ac:dyDescent="0.3">
      <c r="AA909" s="4"/>
    </row>
    <row r="910" spans="27:27" x14ac:dyDescent="0.3">
      <c r="AA910" s="4"/>
    </row>
    <row r="911" spans="27:27" x14ac:dyDescent="0.3">
      <c r="AA911" s="4"/>
    </row>
    <row r="912" spans="27:27" x14ac:dyDescent="0.3">
      <c r="AA912" s="4"/>
    </row>
    <row r="913" spans="27:27" x14ac:dyDescent="0.3">
      <c r="AA913" s="4"/>
    </row>
    <row r="914" spans="27:27" x14ac:dyDescent="0.3">
      <c r="AA914" s="4"/>
    </row>
    <row r="915" spans="27:27" x14ac:dyDescent="0.3">
      <c r="AA915" s="4"/>
    </row>
    <row r="916" spans="27:27" x14ac:dyDescent="0.3">
      <c r="AA916" s="4"/>
    </row>
    <row r="917" spans="27:27" x14ac:dyDescent="0.3">
      <c r="AA917" s="4"/>
    </row>
    <row r="918" spans="27:27" x14ac:dyDescent="0.3">
      <c r="AA918" s="4"/>
    </row>
    <row r="919" spans="27:27" x14ac:dyDescent="0.3">
      <c r="AA919" s="4"/>
    </row>
    <row r="920" spans="27:27" x14ac:dyDescent="0.3">
      <c r="AA920" s="4"/>
    </row>
    <row r="921" spans="27:27" x14ac:dyDescent="0.3">
      <c r="AA921" s="4"/>
    </row>
    <row r="922" spans="27:27" x14ac:dyDescent="0.3">
      <c r="AA922" s="4"/>
    </row>
    <row r="923" spans="27:27" x14ac:dyDescent="0.3">
      <c r="AA923" s="4"/>
    </row>
    <row r="924" spans="27:27" x14ac:dyDescent="0.3">
      <c r="AA924" s="4"/>
    </row>
    <row r="925" spans="27:27" x14ac:dyDescent="0.3">
      <c r="AA925" s="4"/>
    </row>
    <row r="926" spans="27:27" x14ac:dyDescent="0.3">
      <c r="AA926" s="4"/>
    </row>
    <row r="927" spans="27:27" x14ac:dyDescent="0.3">
      <c r="AA927" s="4"/>
    </row>
    <row r="928" spans="27:27" x14ac:dyDescent="0.3">
      <c r="AA928" s="4"/>
    </row>
    <row r="929" spans="27:27" x14ac:dyDescent="0.3">
      <c r="AA929" s="4"/>
    </row>
    <row r="930" spans="27:27" x14ac:dyDescent="0.3">
      <c r="AA930" s="4"/>
    </row>
    <row r="931" spans="27:27" x14ac:dyDescent="0.3">
      <c r="AA931" s="4"/>
    </row>
    <row r="932" spans="27:27" x14ac:dyDescent="0.3">
      <c r="AA932" s="4"/>
    </row>
    <row r="933" spans="27:27" x14ac:dyDescent="0.3">
      <c r="AA933" s="4"/>
    </row>
    <row r="934" spans="27:27" x14ac:dyDescent="0.3">
      <c r="AA934" s="4"/>
    </row>
    <row r="935" spans="27:27" x14ac:dyDescent="0.3">
      <c r="AA935" s="4"/>
    </row>
    <row r="936" spans="27:27" x14ac:dyDescent="0.3">
      <c r="AA936" s="4"/>
    </row>
    <row r="937" spans="27:27" x14ac:dyDescent="0.3">
      <c r="AA937" s="4"/>
    </row>
    <row r="938" spans="27:27" x14ac:dyDescent="0.3">
      <c r="AA938" s="4"/>
    </row>
    <row r="939" spans="27:27" x14ac:dyDescent="0.3">
      <c r="AA939" s="4"/>
    </row>
    <row r="940" spans="27:27" x14ac:dyDescent="0.3">
      <c r="AA940" s="4"/>
    </row>
    <row r="941" spans="27:27" x14ac:dyDescent="0.3">
      <c r="AA941" s="4"/>
    </row>
    <row r="942" spans="27:27" x14ac:dyDescent="0.3">
      <c r="AA942" s="4"/>
    </row>
    <row r="943" spans="27:27" x14ac:dyDescent="0.3">
      <c r="AA943" s="4"/>
    </row>
    <row r="944" spans="27:27" x14ac:dyDescent="0.3">
      <c r="AA944" s="4"/>
    </row>
    <row r="945" spans="27:27" x14ac:dyDescent="0.3">
      <c r="AA945" s="4"/>
    </row>
    <row r="946" spans="27:27" x14ac:dyDescent="0.3">
      <c r="AA946" s="4"/>
    </row>
    <row r="947" spans="27:27" x14ac:dyDescent="0.3">
      <c r="AA947" s="4"/>
    </row>
    <row r="948" spans="27:27" x14ac:dyDescent="0.3">
      <c r="AA948" s="4"/>
    </row>
    <row r="949" spans="27:27" x14ac:dyDescent="0.3">
      <c r="AA949" s="4"/>
    </row>
    <row r="950" spans="27:27" x14ac:dyDescent="0.3">
      <c r="AA950" s="4"/>
    </row>
    <row r="951" spans="27:27" x14ac:dyDescent="0.3">
      <c r="AA951" s="4"/>
    </row>
    <row r="952" spans="27:27" x14ac:dyDescent="0.3">
      <c r="AA952" s="4"/>
    </row>
    <row r="953" spans="27:27" x14ac:dyDescent="0.3">
      <c r="AA953" s="4"/>
    </row>
    <row r="954" spans="27:27" x14ac:dyDescent="0.3">
      <c r="AA954" s="4"/>
    </row>
    <row r="955" spans="27:27" x14ac:dyDescent="0.3">
      <c r="AA955" s="4"/>
    </row>
    <row r="956" spans="27:27" x14ac:dyDescent="0.3">
      <c r="AA956" s="4"/>
    </row>
    <row r="957" spans="27:27" x14ac:dyDescent="0.3">
      <c r="AA957" s="4"/>
    </row>
    <row r="958" spans="27:27" x14ac:dyDescent="0.3">
      <c r="AA958" s="4"/>
    </row>
    <row r="959" spans="27:27" x14ac:dyDescent="0.3">
      <c r="AA959" s="4"/>
    </row>
    <row r="960" spans="27:27" x14ac:dyDescent="0.3">
      <c r="AA960" s="4"/>
    </row>
    <row r="961" spans="27:27" x14ac:dyDescent="0.3">
      <c r="AA961" s="4"/>
    </row>
    <row r="962" spans="27:27" x14ac:dyDescent="0.3">
      <c r="AA962" s="4"/>
    </row>
    <row r="963" spans="27:27" x14ac:dyDescent="0.3">
      <c r="AA963" s="4"/>
    </row>
    <row r="964" spans="27:27" x14ac:dyDescent="0.3">
      <c r="AA964" s="4"/>
    </row>
    <row r="965" spans="27:27" x14ac:dyDescent="0.3">
      <c r="AA965" s="4"/>
    </row>
    <row r="966" spans="27:27" x14ac:dyDescent="0.3">
      <c r="AA966" s="4"/>
    </row>
    <row r="967" spans="27:27" x14ac:dyDescent="0.3">
      <c r="AA967" s="4"/>
    </row>
    <row r="968" spans="27:27" x14ac:dyDescent="0.3">
      <c r="AA968" s="4"/>
    </row>
    <row r="969" spans="27:27" x14ac:dyDescent="0.3">
      <c r="AA969" s="4"/>
    </row>
    <row r="970" spans="27:27" x14ac:dyDescent="0.3">
      <c r="AA970" s="4"/>
    </row>
    <row r="971" spans="27:27" x14ac:dyDescent="0.3">
      <c r="AA971" s="4"/>
    </row>
    <row r="972" spans="27:27" x14ac:dyDescent="0.3">
      <c r="AA972" s="4"/>
    </row>
    <row r="973" spans="27:27" x14ac:dyDescent="0.3">
      <c r="AA973" s="4"/>
    </row>
    <row r="974" spans="27:27" x14ac:dyDescent="0.3">
      <c r="AA974" s="4"/>
    </row>
    <row r="975" spans="27:27" x14ac:dyDescent="0.3">
      <c r="AA975" s="4"/>
    </row>
    <row r="976" spans="27:27" x14ac:dyDescent="0.3">
      <c r="AA976" s="4"/>
    </row>
    <row r="977" spans="27:27" x14ac:dyDescent="0.3">
      <c r="AA977" s="4"/>
    </row>
    <row r="978" spans="27:27" x14ac:dyDescent="0.3">
      <c r="AA978" s="4"/>
    </row>
    <row r="979" spans="27:27" x14ac:dyDescent="0.3">
      <c r="AA979" s="4"/>
    </row>
    <row r="980" spans="27:27" x14ac:dyDescent="0.3">
      <c r="AA980" s="4"/>
    </row>
    <row r="981" spans="27:27" x14ac:dyDescent="0.3">
      <c r="AA981" s="4"/>
    </row>
    <row r="982" spans="27:27" x14ac:dyDescent="0.3">
      <c r="AA982" s="4"/>
    </row>
    <row r="983" spans="27:27" x14ac:dyDescent="0.3">
      <c r="AA983" s="4"/>
    </row>
    <row r="984" spans="27:27" x14ac:dyDescent="0.3">
      <c r="AA984" s="4"/>
    </row>
    <row r="985" spans="27:27" x14ac:dyDescent="0.3">
      <c r="AA985" s="4"/>
    </row>
    <row r="986" spans="27:27" x14ac:dyDescent="0.3">
      <c r="AA986" s="4"/>
    </row>
    <row r="987" spans="27:27" x14ac:dyDescent="0.3">
      <c r="AA987" s="4"/>
    </row>
    <row r="988" spans="27:27" x14ac:dyDescent="0.3">
      <c r="AA988" s="4"/>
    </row>
    <row r="989" spans="27:27" x14ac:dyDescent="0.3">
      <c r="AA989" s="4"/>
    </row>
    <row r="990" spans="27:27" x14ac:dyDescent="0.3">
      <c r="AA990" s="4"/>
    </row>
    <row r="991" spans="27:27" x14ac:dyDescent="0.3">
      <c r="AA991" s="4"/>
    </row>
    <row r="992" spans="27:27" x14ac:dyDescent="0.3">
      <c r="AA992" s="4"/>
    </row>
    <row r="993" spans="27:27" x14ac:dyDescent="0.3">
      <c r="AA993" s="4"/>
    </row>
    <row r="994" spans="27:27" x14ac:dyDescent="0.3">
      <c r="AA994" s="4"/>
    </row>
    <row r="995" spans="27:27" x14ac:dyDescent="0.3">
      <c r="AA995" s="4"/>
    </row>
    <row r="996" spans="27:27" x14ac:dyDescent="0.3">
      <c r="AA996" s="4"/>
    </row>
    <row r="997" spans="27:27" x14ac:dyDescent="0.3">
      <c r="AA997" s="4"/>
    </row>
    <row r="998" spans="27:27" x14ac:dyDescent="0.3">
      <c r="AA998" s="4"/>
    </row>
    <row r="999" spans="27:27" x14ac:dyDescent="0.3">
      <c r="AA999" s="4"/>
    </row>
    <row r="1000" spans="27:27" x14ac:dyDescent="0.3">
      <c r="AA1000" s="4"/>
    </row>
    <row r="1001" spans="27:27" x14ac:dyDescent="0.3">
      <c r="AA1001" s="4"/>
    </row>
    <row r="1002" spans="27:27" x14ac:dyDescent="0.3">
      <c r="AA1002" s="4"/>
    </row>
    <row r="1003" spans="27:27" x14ac:dyDescent="0.3">
      <c r="AA1003" s="4"/>
    </row>
    <row r="1004" spans="27:27" x14ac:dyDescent="0.3">
      <c r="AA1004" s="4"/>
    </row>
    <row r="1005" spans="27:27" x14ac:dyDescent="0.3">
      <c r="AA1005" s="4"/>
    </row>
    <row r="1006" spans="27:27" x14ac:dyDescent="0.3">
      <c r="AA1006" s="4"/>
    </row>
    <row r="1007" spans="27:27" x14ac:dyDescent="0.3">
      <c r="AA1007" s="4"/>
    </row>
    <row r="1008" spans="27:27" x14ac:dyDescent="0.3">
      <c r="AA1008" s="4"/>
    </row>
    <row r="1009" spans="27:27" x14ac:dyDescent="0.3">
      <c r="AA1009" s="4"/>
    </row>
  </sheetData>
  <mergeCells count="9">
    <mergeCell ref="B138:B203"/>
    <mergeCell ref="C138:AA138"/>
    <mergeCell ref="C190:AA190"/>
    <mergeCell ref="C2:AA2"/>
    <mergeCell ref="C54:AA54"/>
    <mergeCell ref="B2:B67"/>
    <mergeCell ref="B70:B135"/>
    <mergeCell ref="C70:AA70"/>
    <mergeCell ref="C122:AA122"/>
  </mergeCells>
  <pageMargins left="0.51181102362204722" right="0.51181102362204722" top="0.78740157480314965" bottom="0.78740157480314965" header="0.31496062992125984" footer="0.31496062992125984"/>
  <pageSetup paperSize="9" scale="23" orientation="landscape" horizontalDpi="4294967295" verticalDpi="4294967295" r:id="rId1"/>
  <colBreaks count="5" manualBreakCount="5">
    <brk id="28" max="47" man="1"/>
    <brk id="34" max="47" man="1"/>
    <brk id="51" max="47" man="1"/>
    <brk id="103" max="47" man="1"/>
    <brk id="144" max="47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  <pageSetUpPr fitToPage="1"/>
  </sheetPr>
  <dimension ref="B1:XCN1010"/>
  <sheetViews>
    <sheetView showGridLines="0" zoomScale="70" zoomScaleNormal="70" zoomScaleSheetLayoutView="85" workbookViewId="0">
      <selection activeCell="A14" sqref="A14"/>
    </sheetView>
  </sheetViews>
  <sheetFormatPr defaultRowHeight="16.5" outlineLevelRow="1" x14ac:dyDescent="0.3"/>
  <cols>
    <col min="1" max="1" width="9" style="1"/>
    <col min="2" max="2" width="7.75" style="1" customWidth="1"/>
    <col min="3" max="3" width="39.25" style="1" bestFit="1" customWidth="1"/>
    <col min="4" max="27" width="13.25" style="1" customWidth="1"/>
    <col min="28" max="28" width="6.625" style="1" customWidth="1"/>
    <col min="29" max="29" width="18.75" style="1" bestFit="1" customWidth="1"/>
    <col min="30" max="31" width="11.25" style="1" customWidth="1"/>
    <col min="32" max="32" width="25.375" style="1" bestFit="1" customWidth="1"/>
    <col min="33" max="33" width="9" style="1"/>
    <col min="34" max="34" width="43.25" style="1" bestFit="1" customWidth="1"/>
    <col min="35" max="35" width="18.125" style="1" customWidth="1"/>
    <col min="36" max="16384" width="9" style="1"/>
  </cols>
  <sheetData>
    <row r="1" spans="2:35 16314:16316" ht="21" customHeight="1" thickBot="1" x14ac:dyDescent="0.35">
      <c r="D1" s="2" t="str">
        <f>$D$2&amp;D3</f>
        <v>43101</v>
      </c>
      <c r="E1" s="2" t="str">
        <f t="shared" ref="E1:I1" si="0">$D$2&amp;E3</f>
        <v>43133</v>
      </c>
      <c r="F1" s="2" t="str">
        <f t="shared" si="0"/>
        <v>43165</v>
      </c>
      <c r="G1" s="2" t="str">
        <f t="shared" si="0"/>
        <v>43197</v>
      </c>
      <c r="H1" s="2" t="str">
        <f t="shared" si="0"/>
        <v>43229</v>
      </c>
      <c r="I1" s="2" t="str">
        <f t="shared" si="0"/>
        <v>43261</v>
      </c>
      <c r="AA1" s="3">
        <v>4</v>
      </c>
      <c r="AE1" s="4">
        <f>IF(SUM(D12:D13)&gt;D45,D45,IF(SUM(D12:D13)&lt;D46,D46,SUM(D12:D13)))</f>
        <v>75.06</v>
      </c>
      <c r="AF1" s="1" t="s">
        <v>2</v>
      </c>
    </row>
    <row r="2" spans="2:35 16314:16316" ht="62.25" customHeight="1" x14ac:dyDescent="0.3">
      <c r="B2" s="180" t="s">
        <v>130</v>
      </c>
      <c r="C2" s="170" t="s">
        <v>100</v>
      </c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1"/>
      <c r="AC2" s="5"/>
    </row>
    <row r="3" spans="2:35 16314:16316" ht="25.5" customHeight="1" x14ac:dyDescent="0.3">
      <c r="B3" s="181"/>
      <c r="C3" s="128" t="s">
        <v>3</v>
      </c>
      <c r="D3" s="7">
        <v>43101</v>
      </c>
      <c r="E3" s="7">
        <v>43133</v>
      </c>
      <c r="F3" s="7">
        <v>43165</v>
      </c>
      <c r="G3" s="7">
        <v>43197</v>
      </c>
      <c r="H3" s="7">
        <v>43229</v>
      </c>
      <c r="I3" s="7">
        <v>43261</v>
      </c>
      <c r="J3" s="7">
        <v>43293</v>
      </c>
      <c r="K3" s="7">
        <v>43325</v>
      </c>
      <c r="L3" s="7">
        <v>43357</v>
      </c>
      <c r="M3" s="7">
        <v>43389</v>
      </c>
      <c r="N3" s="7">
        <v>43421</v>
      </c>
      <c r="O3" s="7">
        <v>43453</v>
      </c>
      <c r="P3" s="7">
        <v>43485</v>
      </c>
      <c r="Q3" s="7">
        <v>43517</v>
      </c>
      <c r="R3" s="7">
        <v>43549</v>
      </c>
      <c r="S3" s="7">
        <v>43581</v>
      </c>
      <c r="T3" s="7">
        <v>43613</v>
      </c>
      <c r="U3" s="7">
        <v>43645</v>
      </c>
      <c r="V3" s="7">
        <v>43677</v>
      </c>
      <c r="W3" s="7">
        <v>43709</v>
      </c>
      <c r="X3" s="7">
        <v>43741</v>
      </c>
      <c r="Y3" s="7">
        <v>43773</v>
      </c>
      <c r="Z3" s="7">
        <v>43805</v>
      </c>
      <c r="AA3" s="7">
        <v>43806</v>
      </c>
      <c r="XCL3" s="4">
        <v>2</v>
      </c>
      <c r="XCM3" s="4">
        <v>672</v>
      </c>
      <c r="XCN3" s="4">
        <f t="shared" ref="XCN3:XCN16" si="1">XCM3/24</f>
        <v>28</v>
      </c>
    </row>
    <row r="4" spans="2:35 16314:16316" ht="25.5" customHeight="1" x14ac:dyDescent="0.3">
      <c r="B4" s="181"/>
      <c r="C4" s="128" t="s">
        <v>4</v>
      </c>
      <c r="D4" s="6">
        <v>744</v>
      </c>
      <c r="E4" s="6">
        <v>696</v>
      </c>
      <c r="F4" s="6">
        <v>744</v>
      </c>
      <c r="G4" s="6">
        <v>720</v>
      </c>
      <c r="H4" s="6">
        <v>744</v>
      </c>
      <c r="I4" s="6">
        <v>720</v>
      </c>
      <c r="J4" s="6">
        <v>744</v>
      </c>
      <c r="K4" s="6">
        <v>744</v>
      </c>
      <c r="L4" s="6">
        <v>720</v>
      </c>
      <c r="M4" s="6">
        <v>744</v>
      </c>
      <c r="N4" s="6">
        <v>720</v>
      </c>
      <c r="O4" s="6">
        <v>744</v>
      </c>
      <c r="P4" s="6">
        <v>744</v>
      </c>
      <c r="Q4" s="6">
        <v>672</v>
      </c>
      <c r="R4" s="6">
        <v>744</v>
      </c>
      <c r="S4" s="6">
        <v>720</v>
      </c>
      <c r="T4" s="6">
        <v>744</v>
      </c>
      <c r="U4" s="6">
        <v>720</v>
      </c>
      <c r="V4" s="6">
        <v>744</v>
      </c>
      <c r="W4" s="6">
        <v>744</v>
      </c>
      <c r="X4" s="6">
        <v>720</v>
      </c>
      <c r="Y4" s="6">
        <v>744</v>
      </c>
      <c r="Z4" s="6">
        <v>720</v>
      </c>
      <c r="AA4" s="6">
        <v>744</v>
      </c>
      <c r="XCL4" s="4"/>
      <c r="XCM4" s="4"/>
      <c r="XCN4" s="4"/>
    </row>
    <row r="5" spans="2:35 16314:16316" ht="9.75" customHeight="1" x14ac:dyDescent="0.3">
      <c r="B5" s="181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8"/>
      <c r="XCL5" s="4"/>
      <c r="XCM5" s="4"/>
      <c r="XCN5" s="4"/>
    </row>
    <row r="6" spans="2:35 16314:16316" x14ac:dyDescent="0.3">
      <c r="B6" s="181"/>
      <c r="C6" s="129" t="s">
        <v>5</v>
      </c>
      <c r="D6" s="43">
        <v>268.8</v>
      </c>
      <c r="E6" s="43">
        <v>302.39999999999998</v>
      </c>
      <c r="F6" s="43">
        <v>302.39999999999998</v>
      </c>
      <c r="G6" s="43">
        <v>268.8</v>
      </c>
      <c r="H6" s="43">
        <v>277.2</v>
      </c>
      <c r="I6" s="43">
        <v>130.19999999999999</v>
      </c>
      <c r="J6" s="43">
        <v>222.6</v>
      </c>
      <c r="K6" s="43">
        <v>235.2</v>
      </c>
      <c r="L6" s="43">
        <v>285.60000000000002</v>
      </c>
      <c r="M6" s="43">
        <v>315</v>
      </c>
      <c r="N6" s="43">
        <v>302.39999999999998</v>
      </c>
      <c r="O6" s="43">
        <v>281.39999999999998</v>
      </c>
      <c r="P6" s="43">
        <v>273</v>
      </c>
      <c r="Q6" s="43">
        <v>256.2</v>
      </c>
      <c r="R6" s="43">
        <v>315</v>
      </c>
      <c r="S6" s="43">
        <v>319.2</v>
      </c>
      <c r="T6" s="43">
        <v>294</v>
      </c>
      <c r="U6" s="43">
        <v>320.39999999999998</v>
      </c>
      <c r="V6" s="43">
        <v>260.39999999999998</v>
      </c>
      <c r="W6" s="43">
        <v>247.8</v>
      </c>
      <c r="X6" s="43">
        <v>298.2</v>
      </c>
      <c r="Y6" s="43">
        <v>319.2</v>
      </c>
      <c r="Z6" s="43">
        <v>302.39999999999998</v>
      </c>
      <c r="AA6" s="43">
        <v>331.8</v>
      </c>
      <c r="AB6" s="2"/>
      <c r="AC6" s="94" t="s">
        <v>92</v>
      </c>
      <c r="AD6" s="96" t="s">
        <v>96</v>
      </c>
      <c r="AE6" s="94" t="s">
        <v>97</v>
      </c>
      <c r="AF6" s="104" t="s">
        <v>108</v>
      </c>
      <c r="AH6" s="94" t="s">
        <v>124</v>
      </c>
      <c r="AI6" s="135">
        <f>AC64</f>
        <v>1898643.1089264709</v>
      </c>
      <c r="XCL6" s="4">
        <v>3</v>
      </c>
      <c r="XCM6" s="4">
        <v>744</v>
      </c>
      <c r="XCN6" s="4">
        <f t="shared" si="1"/>
        <v>31</v>
      </c>
    </row>
    <row r="7" spans="2:35 16314:16316" x14ac:dyDescent="0.3">
      <c r="B7" s="181"/>
      <c r="C7" s="129" t="s">
        <v>41</v>
      </c>
      <c r="D7" s="18">
        <v>277.2</v>
      </c>
      <c r="E7" s="18">
        <v>348.6</v>
      </c>
      <c r="F7" s="18">
        <v>386.4</v>
      </c>
      <c r="G7" s="18">
        <v>327.60000000000002</v>
      </c>
      <c r="H7" s="18">
        <v>348.6</v>
      </c>
      <c r="I7" s="18">
        <v>151.19999999999999</v>
      </c>
      <c r="J7" s="18">
        <v>256.2</v>
      </c>
      <c r="K7" s="18">
        <v>247.8</v>
      </c>
      <c r="L7" s="18">
        <v>373.8</v>
      </c>
      <c r="M7" s="18">
        <v>403.2</v>
      </c>
      <c r="N7" s="18">
        <v>365.4</v>
      </c>
      <c r="O7" s="18">
        <v>365.4</v>
      </c>
      <c r="P7" s="18">
        <v>365.4</v>
      </c>
      <c r="Q7" s="18">
        <v>365.4</v>
      </c>
      <c r="R7" s="18">
        <v>415.8</v>
      </c>
      <c r="S7" s="18">
        <v>378</v>
      </c>
      <c r="T7" s="18">
        <v>306.60000000000002</v>
      </c>
      <c r="U7" s="18">
        <v>378</v>
      </c>
      <c r="V7" s="18">
        <v>298.2</v>
      </c>
      <c r="W7" s="18">
        <v>327.60000000000002</v>
      </c>
      <c r="X7" s="18">
        <v>373.8</v>
      </c>
      <c r="Y7" s="18">
        <v>420</v>
      </c>
      <c r="Z7" s="18">
        <v>403.2</v>
      </c>
      <c r="AA7" s="18">
        <v>386.4</v>
      </c>
      <c r="AB7" s="2"/>
      <c r="AC7" s="94" t="s">
        <v>93</v>
      </c>
      <c r="AD7" s="95">
        <v>0</v>
      </c>
      <c r="AE7" s="96">
        <v>175</v>
      </c>
      <c r="AF7" s="104">
        <v>13.43</v>
      </c>
      <c r="AI7" s="137"/>
      <c r="XCL7" s="4">
        <v>4</v>
      </c>
      <c r="XCM7" s="4">
        <v>720</v>
      </c>
      <c r="XCN7" s="4">
        <f t="shared" si="1"/>
        <v>30</v>
      </c>
    </row>
    <row r="8" spans="2:35 16314:16316" x14ac:dyDescent="0.3">
      <c r="B8" s="181"/>
      <c r="C8" s="129" t="s">
        <v>6</v>
      </c>
      <c r="D8" s="13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3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2"/>
      <c r="AC8" s="94" t="s">
        <v>94</v>
      </c>
      <c r="AD8" s="95">
        <v>0.5</v>
      </c>
      <c r="AE8" s="96">
        <v>220</v>
      </c>
      <c r="AF8" s="104">
        <v>41.69</v>
      </c>
      <c r="AH8" s="94" t="s">
        <v>127</v>
      </c>
      <c r="AI8" s="135">
        <f>AC52</f>
        <v>1564868.287055399</v>
      </c>
      <c r="XCL8" s="4">
        <v>5</v>
      </c>
      <c r="XCM8" s="4">
        <v>744</v>
      </c>
      <c r="XCN8" s="4">
        <f t="shared" si="1"/>
        <v>31</v>
      </c>
    </row>
    <row r="9" spans="2:35 16314:16316" x14ac:dyDescent="0.3">
      <c r="B9" s="181"/>
      <c r="C9" s="129" t="s">
        <v>7</v>
      </c>
      <c r="D9" s="123">
        <v>500</v>
      </c>
      <c r="E9" s="123">
        <v>500</v>
      </c>
      <c r="F9" s="123">
        <v>500</v>
      </c>
      <c r="G9" s="123">
        <v>500</v>
      </c>
      <c r="H9" s="123">
        <v>500</v>
      </c>
      <c r="I9" s="123">
        <v>500</v>
      </c>
      <c r="J9" s="123">
        <v>500</v>
      </c>
      <c r="K9" s="123">
        <v>500</v>
      </c>
      <c r="L9" s="123">
        <v>500</v>
      </c>
      <c r="M9" s="123">
        <v>500</v>
      </c>
      <c r="N9" s="123">
        <v>500</v>
      </c>
      <c r="O9" s="123">
        <v>500</v>
      </c>
      <c r="P9" s="124">
        <v>500</v>
      </c>
      <c r="Q9" s="124">
        <v>500</v>
      </c>
      <c r="R9" s="124">
        <v>500</v>
      </c>
      <c r="S9" s="124">
        <v>500</v>
      </c>
      <c r="T9" s="124">
        <v>500</v>
      </c>
      <c r="U9" s="124">
        <v>500</v>
      </c>
      <c r="V9" s="124">
        <v>500</v>
      </c>
      <c r="W9" s="124">
        <v>500</v>
      </c>
      <c r="X9" s="124">
        <v>500</v>
      </c>
      <c r="Y9" s="124">
        <v>500</v>
      </c>
      <c r="Z9" s="124">
        <v>500</v>
      </c>
      <c r="AA9" s="124">
        <v>500</v>
      </c>
      <c r="AB9" s="2"/>
      <c r="AC9" s="94" t="s">
        <v>95</v>
      </c>
      <c r="AD9" s="95">
        <v>1</v>
      </c>
      <c r="AE9" s="96">
        <v>310</v>
      </c>
      <c r="AF9" s="104">
        <v>62.43</v>
      </c>
      <c r="AH9" s="94" t="s">
        <v>125</v>
      </c>
      <c r="AI9" s="136">
        <f>(AI6-AI8)/AI6</f>
        <v>0.1757965045151611</v>
      </c>
      <c r="XCL9" s="4">
        <v>6</v>
      </c>
      <c r="XCM9" s="4">
        <v>720</v>
      </c>
      <c r="XCN9" s="4">
        <f t="shared" si="1"/>
        <v>30</v>
      </c>
    </row>
    <row r="10" spans="2:35 16314:16316" x14ac:dyDescent="0.3">
      <c r="B10" s="181"/>
      <c r="C10" s="129" t="s">
        <v>8</v>
      </c>
      <c r="D10" s="16">
        <f t="shared" ref="D10:AA10" si="2">IF(D19="Verde",0,IF(D6&gt;D8*1.05,D6-D8,0))</f>
        <v>0</v>
      </c>
      <c r="E10" s="16">
        <f t="shared" si="2"/>
        <v>0</v>
      </c>
      <c r="F10" s="16">
        <f t="shared" si="2"/>
        <v>0</v>
      </c>
      <c r="G10" s="16">
        <f t="shared" si="2"/>
        <v>0</v>
      </c>
      <c r="H10" s="16">
        <f t="shared" si="2"/>
        <v>0</v>
      </c>
      <c r="I10" s="16">
        <f t="shared" si="2"/>
        <v>0</v>
      </c>
      <c r="J10" s="16">
        <f t="shared" si="2"/>
        <v>0</v>
      </c>
      <c r="K10" s="16">
        <f t="shared" si="2"/>
        <v>0</v>
      </c>
      <c r="L10" s="16">
        <f t="shared" si="2"/>
        <v>0</v>
      </c>
      <c r="M10" s="16">
        <f t="shared" si="2"/>
        <v>0</v>
      </c>
      <c r="N10" s="16">
        <f t="shared" si="2"/>
        <v>0</v>
      </c>
      <c r="O10" s="16">
        <f t="shared" si="2"/>
        <v>0</v>
      </c>
      <c r="P10" s="16">
        <f t="shared" si="2"/>
        <v>0</v>
      </c>
      <c r="Q10" s="16">
        <f t="shared" si="2"/>
        <v>0</v>
      </c>
      <c r="R10" s="16">
        <f t="shared" si="2"/>
        <v>0</v>
      </c>
      <c r="S10" s="16">
        <f t="shared" si="2"/>
        <v>0</v>
      </c>
      <c r="T10" s="16">
        <f t="shared" si="2"/>
        <v>0</v>
      </c>
      <c r="U10" s="16">
        <f t="shared" si="2"/>
        <v>0</v>
      </c>
      <c r="V10" s="16">
        <f t="shared" si="2"/>
        <v>0</v>
      </c>
      <c r="W10" s="16">
        <f t="shared" si="2"/>
        <v>0</v>
      </c>
      <c r="X10" s="16">
        <f t="shared" si="2"/>
        <v>0</v>
      </c>
      <c r="Y10" s="16">
        <f t="shared" si="2"/>
        <v>0</v>
      </c>
      <c r="Z10" s="16">
        <f t="shared" si="2"/>
        <v>0</v>
      </c>
      <c r="AA10" s="16">
        <f t="shared" si="2"/>
        <v>0</v>
      </c>
      <c r="AB10" s="2"/>
      <c r="XCL10" s="4">
        <v>7</v>
      </c>
      <c r="XCM10" s="4">
        <v>744</v>
      </c>
      <c r="XCN10" s="4">
        <f t="shared" si="1"/>
        <v>31</v>
      </c>
    </row>
    <row r="11" spans="2:35 16314:16316" x14ac:dyDescent="0.3">
      <c r="B11" s="181"/>
      <c r="C11" s="129" t="s">
        <v>9</v>
      </c>
      <c r="D11" s="18">
        <f t="shared" ref="D11:AA11" si="3">IF(D7&gt;D9*1.05,D7-D9,0)</f>
        <v>0</v>
      </c>
      <c r="E11" s="18">
        <f t="shared" si="3"/>
        <v>0</v>
      </c>
      <c r="F11" s="18">
        <f t="shared" si="3"/>
        <v>0</v>
      </c>
      <c r="G11" s="18">
        <f t="shared" si="3"/>
        <v>0</v>
      </c>
      <c r="H11" s="18">
        <f t="shared" si="3"/>
        <v>0</v>
      </c>
      <c r="I11" s="18">
        <f t="shared" si="3"/>
        <v>0</v>
      </c>
      <c r="J11" s="18">
        <f t="shared" si="3"/>
        <v>0</v>
      </c>
      <c r="K11" s="18">
        <f t="shared" si="3"/>
        <v>0</v>
      </c>
      <c r="L11" s="18">
        <f t="shared" si="3"/>
        <v>0</v>
      </c>
      <c r="M11" s="18">
        <f t="shared" si="3"/>
        <v>0</v>
      </c>
      <c r="N11" s="18">
        <f t="shared" si="3"/>
        <v>0</v>
      </c>
      <c r="O11" s="18">
        <f t="shared" si="3"/>
        <v>0</v>
      </c>
      <c r="P11" s="18">
        <f t="shared" si="3"/>
        <v>0</v>
      </c>
      <c r="Q11" s="18">
        <f t="shared" si="3"/>
        <v>0</v>
      </c>
      <c r="R11" s="18">
        <f t="shared" si="3"/>
        <v>0</v>
      </c>
      <c r="S11" s="18">
        <f t="shared" si="3"/>
        <v>0</v>
      </c>
      <c r="T11" s="18">
        <f t="shared" si="3"/>
        <v>0</v>
      </c>
      <c r="U11" s="18">
        <f t="shared" si="3"/>
        <v>0</v>
      </c>
      <c r="V11" s="18">
        <f t="shared" si="3"/>
        <v>0</v>
      </c>
      <c r="W11" s="18">
        <f t="shared" si="3"/>
        <v>0</v>
      </c>
      <c r="X11" s="18">
        <f t="shared" si="3"/>
        <v>0</v>
      </c>
      <c r="Y11" s="18">
        <f t="shared" si="3"/>
        <v>0</v>
      </c>
      <c r="Z11" s="18">
        <f t="shared" si="3"/>
        <v>0</v>
      </c>
      <c r="AA11" s="18">
        <f t="shared" si="3"/>
        <v>0</v>
      </c>
      <c r="AB11" s="1" t="s">
        <v>43</v>
      </c>
      <c r="AH11" s="94" t="s">
        <v>123</v>
      </c>
      <c r="AI11" s="135">
        <f>AC120</f>
        <v>1411127.3056759464</v>
      </c>
      <c r="XCL11" s="4">
        <v>8</v>
      </c>
      <c r="XCM11" s="4">
        <v>744</v>
      </c>
      <c r="XCN11" s="4">
        <f t="shared" si="1"/>
        <v>31</v>
      </c>
    </row>
    <row r="12" spans="2:35 16314:16316" x14ac:dyDescent="0.3">
      <c r="B12" s="181"/>
      <c r="C12" s="129" t="s">
        <v>10</v>
      </c>
      <c r="D12" s="43">
        <v>10.5</v>
      </c>
      <c r="E12" s="43">
        <v>10.5</v>
      </c>
      <c r="F12" s="43">
        <v>13.02</v>
      </c>
      <c r="G12" s="43">
        <v>11.34</v>
      </c>
      <c r="H12" s="43">
        <v>9.66</v>
      </c>
      <c r="I12" s="43">
        <v>5.88</v>
      </c>
      <c r="J12" s="43">
        <v>8.4</v>
      </c>
      <c r="K12" s="43">
        <v>9.24</v>
      </c>
      <c r="L12" s="43">
        <v>12.18</v>
      </c>
      <c r="M12" s="43">
        <v>14.7</v>
      </c>
      <c r="N12" s="43">
        <v>10.08</v>
      </c>
      <c r="O12" s="43">
        <v>12.6</v>
      </c>
      <c r="P12" s="43">
        <v>10.08</v>
      </c>
      <c r="Q12" s="43">
        <v>7.98</v>
      </c>
      <c r="R12" s="43">
        <v>13.02</v>
      </c>
      <c r="S12" s="43">
        <v>15.12</v>
      </c>
      <c r="T12" s="43">
        <v>12.18</v>
      </c>
      <c r="U12" s="43">
        <v>13.02</v>
      </c>
      <c r="V12" s="43">
        <v>10.5</v>
      </c>
      <c r="W12" s="43">
        <v>12.18</v>
      </c>
      <c r="X12" s="43">
        <v>13.86</v>
      </c>
      <c r="Y12" s="43">
        <v>9.24</v>
      </c>
      <c r="Z12" s="43">
        <v>14.7</v>
      </c>
      <c r="AA12" s="43">
        <v>11.76</v>
      </c>
      <c r="AB12" s="2"/>
      <c r="AH12" s="94" t="s">
        <v>125</v>
      </c>
      <c r="AI12" s="136">
        <f>(AI6-AI11)/AI6</f>
        <v>0.25677063844093123</v>
      </c>
      <c r="XCL12" s="4">
        <v>9</v>
      </c>
      <c r="XCM12" s="4">
        <v>720</v>
      </c>
      <c r="XCN12" s="4">
        <f t="shared" si="1"/>
        <v>30</v>
      </c>
    </row>
    <row r="13" spans="2:35 16314:16316" x14ac:dyDescent="0.3">
      <c r="B13" s="181"/>
      <c r="C13" s="129" t="s">
        <v>11</v>
      </c>
      <c r="D13" s="18">
        <v>64.56</v>
      </c>
      <c r="E13" s="18">
        <v>68.88</v>
      </c>
      <c r="F13" s="18">
        <v>78.12</v>
      </c>
      <c r="G13" s="18">
        <v>81.48</v>
      </c>
      <c r="H13" s="18">
        <v>67.2</v>
      </c>
      <c r="I13" s="18">
        <v>49.56</v>
      </c>
      <c r="J13" s="18">
        <v>54.6</v>
      </c>
      <c r="K13" s="18">
        <v>58.84</v>
      </c>
      <c r="L13" s="18">
        <v>73.5</v>
      </c>
      <c r="M13" s="18">
        <v>87.78</v>
      </c>
      <c r="N13" s="18">
        <v>75.180000000000007</v>
      </c>
      <c r="O13" s="18">
        <v>75.599999999999994</v>
      </c>
      <c r="P13" s="18">
        <v>73.08</v>
      </c>
      <c r="Q13" s="18">
        <v>65.94</v>
      </c>
      <c r="R13" s="18">
        <v>79.8</v>
      </c>
      <c r="S13" s="18">
        <v>94.929000000000002</v>
      </c>
      <c r="T13" s="18">
        <v>85.68</v>
      </c>
      <c r="U13" s="18">
        <v>79.38</v>
      </c>
      <c r="V13" s="18">
        <v>65.099999999999994</v>
      </c>
      <c r="W13" s="18">
        <v>68.88</v>
      </c>
      <c r="X13" s="18">
        <v>89.1</v>
      </c>
      <c r="Y13" s="18">
        <v>65.94</v>
      </c>
      <c r="Z13" s="18">
        <v>92.4</v>
      </c>
      <c r="AA13" s="18">
        <v>79.38</v>
      </c>
      <c r="AB13" s="2"/>
      <c r="AC13" s="1" t="s">
        <v>45</v>
      </c>
      <c r="AD13" s="1">
        <f>SUM(P12:AA13)/SUM(P4:AA4)</f>
        <v>0.12365856164383562</v>
      </c>
      <c r="AF13" s="1">
        <v>145</v>
      </c>
      <c r="AI13" s="137"/>
      <c r="XCL13" s="4">
        <v>10</v>
      </c>
      <c r="XCM13" s="4">
        <v>744</v>
      </c>
      <c r="XCN13" s="4">
        <f t="shared" si="1"/>
        <v>31</v>
      </c>
    </row>
    <row r="14" spans="2:35 16314:16316" x14ac:dyDescent="0.3">
      <c r="B14" s="181"/>
      <c r="C14" s="129" t="s">
        <v>0</v>
      </c>
      <c r="D14" s="19" t="s">
        <v>44</v>
      </c>
      <c r="E14" s="20" t="s">
        <v>44</v>
      </c>
      <c r="F14" s="20" t="s">
        <v>44</v>
      </c>
      <c r="G14" s="20" t="s">
        <v>44</v>
      </c>
      <c r="H14" s="20" t="s">
        <v>44</v>
      </c>
      <c r="I14" s="20" t="s">
        <v>44</v>
      </c>
      <c r="J14" s="19" t="s">
        <v>44</v>
      </c>
      <c r="K14" s="20" t="s">
        <v>44</v>
      </c>
      <c r="L14" s="20" t="s">
        <v>44</v>
      </c>
      <c r="M14" s="20" t="s">
        <v>44</v>
      </c>
      <c r="N14" s="20" t="s">
        <v>44</v>
      </c>
      <c r="O14" s="20" t="s">
        <v>44</v>
      </c>
      <c r="P14" s="20" t="s">
        <v>44</v>
      </c>
      <c r="Q14" s="20" t="s">
        <v>44</v>
      </c>
      <c r="R14" s="20" t="s">
        <v>44</v>
      </c>
      <c r="S14" s="20" t="s">
        <v>44</v>
      </c>
      <c r="T14" s="20" t="s">
        <v>44</v>
      </c>
      <c r="U14" s="20" t="s">
        <v>44</v>
      </c>
      <c r="V14" s="20" t="s">
        <v>44</v>
      </c>
      <c r="W14" s="20" t="s">
        <v>44</v>
      </c>
      <c r="X14" s="20" t="s">
        <v>44</v>
      </c>
      <c r="Y14" s="20" t="s">
        <v>44</v>
      </c>
      <c r="Z14" s="20" t="s">
        <v>44</v>
      </c>
      <c r="AA14" s="20" t="s">
        <v>44</v>
      </c>
      <c r="AB14" s="2"/>
      <c r="AC14" s="1" t="s">
        <v>91</v>
      </c>
      <c r="AD14" s="93">
        <f>SUM(P12:AA12)/SUM(P12:AA13)</f>
        <v>0.1326010917157551</v>
      </c>
      <c r="AF14" s="1">
        <v>17.64</v>
      </c>
      <c r="AH14" s="94" t="s">
        <v>126</v>
      </c>
      <c r="AI14" s="135">
        <f>AC188</f>
        <v>1383549.618817043</v>
      </c>
      <c r="XCL14" s="4"/>
      <c r="XCM14" s="4"/>
      <c r="XCN14" s="4"/>
    </row>
    <row r="15" spans="2:35 16314:16316" ht="12" customHeight="1" x14ac:dyDescent="0.3">
      <c r="B15" s="181"/>
      <c r="C15" s="107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8"/>
      <c r="AD15" s="1">
        <v>0.12392200974878137</v>
      </c>
      <c r="AF15" s="1">
        <f>AF13+AF14</f>
        <v>162.63999999999999</v>
      </c>
      <c r="AH15" s="94" t="s">
        <v>125</v>
      </c>
      <c r="AI15" s="136">
        <f>(AI6-AI14)/AI6</f>
        <v>0.27129558350788291</v>
      </c>
      <c r="XCL15" s="4">
        <v>11</v>
      </c>
      <c r="XCM15" s="4">
        <v>720</v>
      </c>
      <c r="XCN15" s="4">
        <f t="shared" si="1"/>
        <v>30</v>
      </c>
    </row>
    <row r="16" spans="2:35 16314:16316" x14ac:dyDescent="0.3">
      <c r="B16" s="181"/>
      <c r="C16" s="129" t="s">
        <v>12</v>
      </c>
      <c r="D16" s="126">
        <f>'SIMULAÇÃO CENÁRIOS'!$D$6</f>
        <v>0</v>
      </c>
      <c r="E16" s="126">
        <f>'SIMULAÇÃO CENÁRIOS'!$D$6</f>
        <v>0</v>
      </c>
      <c r="F16" s="126">
        <f>'SIMULAÇÃO CENÁRIOS'!$D$6</f>
        <v>0</v>
      </c>
      <c r="G16" s="126">
        <f>'SIMULAÇÃO CENÁRIOS'!$D$6</f>
        <v>0</v>
      </c>
      <c r="H16" s="126">
        <f>'SIMULAÇÃO CENÁRIOS'!$D$6</f>
        <v>0</v>
      </c>
      <c r="I16" s="126">
        <f>'SIMULAÇÃO CENÁRIOS'!$D$6</f>
        <v>0</v>
      </c>
      <c r="J16" s="126">
        <f>'SIMULAÇÃO CENÁRIOS'!$D$6</f>
        <v>0</v>
      </c>
      <c r="K16" s="126">
        <f>'SIMULAÇÃO CENÁRIOS'!$D$6</f>
        <v>0</v>
      </c>
      <c r="L16" s="126">
        <f>'SIMULAÇÃO CENÁRIOS'!$D$6</f>
        <v>0</v>
      </c>
      <c r="M16" s="126">
        <f>'SIMULAÇÃO CENÁRIOS'!$D$6</f>
        <v>0</v>
      </c>
      <c r="N16" s="126">
        <f>'SIMULAÇÃO CENÁRIOS'!$D$6</f>
        <v>0</v>
      </c>
      <c r="O16" s="126">
        <f>'SIMULAÇÃO CENÁRIOS'!$D$6</f>
        <v>0</v>
      </c>
      <c r="P16" s="126">
        <f>'SIMULAÇÃO CENÁRIOS'!$D$6</f>
        <v>0</v>
      </c>
      <c r="Q16" s="126">
        <f>'SIMULAÇÃO CENÁRIOS'!$D$6</f>
        <v>0</v>
      </c>
      <c r="R16" s="126">
        <f>'SIMULAÇÃO CENÁRIOS'!$D$6</f>
        <v>0</v>
      </c>
      <c r="S16" s="126">
        <f>'SIMULAÇÃO CENÁRIOS'!$D$6</f>
        <v>0</v>
      </c>
      <c r="T16" s="126">
        <f>'SIMULAÇÃO CENÁRIOS'!$D$6</f>
        <v>0</v>
      </c>
      <c r="U16" s="126">
        <f>'SIMULAÇÃO CENÁRIOS'!$D$6</f>
        <v>0</v>
      </c>
      <c r="V16" s="126">
        <f>'SIMULAÇÃO CENÁRIOS'!$D$6</f>
        <v>0</v>
      </c>
      <c r="W16" s="126">
        <f>'SIMULAÇÃO CENÁRIOS'!$D$6</f>
        <v>0</v>
      </c>
      <c r="X16" s="126">
        <f>'SIMULAÇÃO CENÁRIOS'!$D$6</f>
        <v>0</v>
      </c>
      <c r="Y16" s="126">
        <f>'SIMULAÇÃO CENÁRIOS'!$D$6</f>
        <v>0</v>
      </c>
      <c r="Z16" s="126">
        <f>'SIMULAÇÃO CENÁRIOS'!$D$6</f>
        <v>0</v>
      </c>
      <c r="AA16" s="126">
        <f>'SIMULAÇÃO CENÁRIOS'!$D$6</f>
        <v>0</v>
      </c>
      <c r="XCL16" s="4">
        <v>12</v>
      </c>
      <c r="XCM16" s="4">
        <v>744</v>
      </c>
      <c r="XCN16" s="4">
        <f t="shared" si="1"/>
        <v>31</v>
      </c>
    </row>
    <row r="17" spans="2:32" ht="9.75" customHeight="1" x14ac:dyDescent="0.3">
      <c r="B17" s="181"/>
      <c r="C17" s="107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8"/>
    </row>
    <row r="18" spans="2:32" ht="18.75" customHeight="1" x14ac:dyDescent="0.3">
      <c r="B18" s="181"/>
      <c r="C18" s="129" t="s">
        <v>13</v>
      </c>
      <c r="D18" s="9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9" t="s">
        <v>1</v>
      </c>
      <c r="K18" s="10" t="s">
        <v>1</v>
      </c>
      <c r="L18" s="10" t="s">
        <v>1</v>
      </c>
      <c r="M18" s="10" t="s">
        <v>1</v>
      </c>
      <c r="N18" s="10" t="s">
        <v>1</v>
      </c>
      <c r="O18" s="10" t="s">
        <v>1</v>
      </c>
      <c r="P18" s="9" t="s">
        <v>1</v>
      </c>
      <c r="Q18" s="9" t="s">
        <v>1</v>
      </c>
      <c r="R18" s="9" t="s">
        <v>1</v>
      </c>
      <c r="S18" s="9" t="s">
        <v>1</v>
      </c>
      <c r="T18" s="9" t="s">
        <v>1</v>
      </c>
      <c r="U18" s="9" t="s">
        <v>1</v>
      </c>
      <c r="V18" s="9" t="s">
        <v>1</v>
      </c>
      <c r="W18" s="9" t="s">
        <v>1</v>
      </c>
      <c r="X18" s="9" t="s">
        <v>1</v>
      </c>
      <c r="Y18" s="9" t="s">
        <v>1</v>
      </c>
      <c r="Z18" s="9" t="s">
        <v>1</v>
      </c>
      <c r="AA18" s="9" t="s">
        <v>1</v>
      </c>
      <c r="AD18" s="1">
        <f>0.12/0.5</f>
        <v>0.24</v>
      </c>
      <c r="AF18" s="92">
        <f>AF15*1000</f>
        <v>162640</v>
      </c>
    </row>
    <row r="19" spans="2:32" x14ac:dyDescent="0.3">
      <c r="B19" s="181"/>
      <c r="C19" s="129" t="s">
        <v>14</v>
      </c>
      <c r="D19" s="11" t="s">
        <v>42</v>
      </c>
      <c r="E19" s="12" t="s">
        <v>42</v>
      </c>
      <c r="F19" s="12" t="s">
        <v>42</v>
      </c>
      <c r="G19" s="12" t="s">
        <v>42</v>
      </c>
      <c r="H19" s="12" t="s">
        <v>42</v>
      </c>
      <c r="I19" s="12" t="s">
        <v>42</v>
      </c>
      <c r="J19" s="11" t="s">
        <v>42</v>
      </c>
      <c r="K19" s="12" t="s">
        <v>42</v>
      </c>
      <c r="L19" s="12" t="s">
        <v>42</v>
      </c>
      <c r="M19" s="12" t="s">
        <v>42</v>
      </c>
      <c r="N19" s="12" t="s">
        <v>42</v>
      </c>
      <c r="O19" s="12" t="s">
        <v>42</v>
      </c>
      <c r="P19" s="12" t="s">
        <v>42</v>
      </c>
      <c r="Q19" s="12" t="s">
        <v>42</v>
      </c>
      <c r="R19" s="12" t="s">
        <v>42</v>
      </c>
      <c r="S19" s="12" t="s">
        <v>42</v>
      </c>
      <c r="T19" s="12" t="s">
        <v>42</v>
      </c>
      <c r="U19" s="12" t="s">
        <v>42</v>
      </c>
      <c r="V19" s="12" t="s">
        <v>42</v>
      </c>
      <c r="W19" s="12" t="s">
        <v>42</v>
      </c>
      <c r="X19" s="12" t="s">
        <v>42</v>
      </c>
      <c r="Y19" s="12" t="s">
        <v>42</v>
      </c>
      <c r="Z19" s="12" t="s">
        <v>42</v>
      </c>
      <c r="AA19" s="12" t="s">
        <v>42</v>
      </c>
      <c r="AF19" s="92">
        <f>AF18/100</f>
        <v>1626.4</v>
      </c>
    </row>
    <row r="20" spans="2:32" outlineLevel="1" x14ac:dyDescent="0.3">
      <c r="B20" s="181"/>
      <c r="C20" s="129" t="s">
        <v>15</v>
      </c>
      <c r="D20" s="13">
        <v>49.84</v>
      </c>
      <c r="E20" s="14">
        <v>49.84</v>
      </c>
      <c r="F20" s="14">
        <v>49.84</v>
      </c>
      <c r="G20" s="14">
        <v>49.84</v>
      </c>
      <c r="H20" s="14">
        <v>49.84</v>
      </c>
      <c r="I20" s="14">
        <v>49.84</v>
      </c>
      <c r="J20" s="13">
        <v>49.84</v>
      </c>
      <c r="K20" s="14">
        <v>49.84</v>
      </c>
      <c r="L20" s="14">
        <v>49.84</v>
      </c>
      <c r="M20" s="14">
        <v>49.84</v>
      </c>
      <c r="N20" s="14">
        <v>49.84</v>
      </c>
      <c r="O20" s="14">
        <v>49.84</v>
      </c>
      <c r="P20" s="14">
        <v>49.84</v>
      </c>
      <c r="Q20" s="14">
        <v>49.84</v>
      </c>
      <c r="R20" s="14">
        <v>49.84</v>
      </c>
      <c r="S20" s="14">
        <v>49.84</v>
      </c>
      <c r="T20" s="14">
        <v>49.84</v>
      </c>
      <c r="U20" s="14">
        <v>49.84</v>
      </c>
      <c r="V20" s="14">
        <v>49.84</v>
      </c>
      <c r="W20" s="14">
        <v>49.84</v>
      </c>
      <c r="X20" s="14">
        <v>49.84</v>
      </c>
      <c r="Y20" s="14">
        <v>49.84</v>
      </c>
      <c r="Z20" s="14">
        <v>49.84</v>
      </c>
      <c r="AA20" s="14">
        <v>49.84</v>
      </c>
      <c r="AF20" s="1">
        <f>AF19*1.343</f>
        <v>2184.2552000000001</v>
      </c>
    </row>
    <row r="21" spans="2:32" outlineLevel="1" x14ac:dyDescent="0.3">
      <c r="B21" s="181"/>
      <c r="C21" s="129" t="s">
        <v>16</v>
      </c>
      <c r="D21" s="11">
        <v>19.260000000000002</v>
      </c>
      <c r="E21" s="12">
        <v>19.260000000000002</v>
      </c>
      <c r="F21" s="12">
        <v>19.260000000000002</v>
      </c>
      <c r="G21" s="12">
        <v>19.260000000000002</v>
      </c>
      <c r="H21" s="12">
        <v>19.260000000000002</v>
      </c>
      <c r="I21" s="12">
        <v>19.260000000000002</v>
      </c>
      <c r="J21" s="11">
        <v>19.260000000000002</v>
      </c>
      <c r="K21" s="12">
        <v>19.260000000000002</v>
      </c>
      <c r="L21" s="12">
        <v>19.260000000000002</v>
      </c>
      <c r="M21" s="12">
        <v>19.260000000000002</v>
      </c>
      <c r="N21" s="12">
        <v>19.260000000000002</v>
      </c>
      <c r="O21" s="12">
        <v>19.260000000000002</v>
      </c>
      <c r="P21" s="12">
        <v>19.260000000000002</v>
      </c>
      <c r="Q21" s="12">
        <v>19.260000000000002</v>
      </c>
      <c r="R21" s="12">
        <v>19.260000000000002</v>
      </c>
      <c r="S21" s="12">
        <v>19.260000000000002</v>
      </c>
      <c r="T21" s="12">
        <v>19.260000000000002</v>
      </c>
      <c r="U21" s="12">
        <v>19.260000000000002</v>
      </c>
      <c r="V21" s="12">
        <v>19.260000000000002</v>
      </c>
      <c r="W21" s="12">
        <v>19.260000000000002</v>
      </c>
      <c r="X21" s="12">
        <v>19.260000000000002</v>
      </c>
      <c r="Y21" s="12">
        <v>19.260000000000002</v>
      </c>
      <c r="Z21" s="12">
        <v>19.260000000000002</v>
      </c>
      <c r="AA21" s="12">
        <v>19.260000000000002</v>
      </c>
    </row>
    <row r="22" spans="2:32" outlineLevel="1" x14ac:dyDescent="0.3">
      <c r="B22" s="181"/>
      <c r="C22" s="129" t="s">
        <v>17</v>
      </c>
      <c r="D22" s="15">
        <v>1292.96</v>
      </c>
      <c r="E22" s="16">
        <v>1292.96</v>
      </c>
      <c r="F22" s="16">
        <v>1292.96</v>
      </c>
      <c r="G22" s="16">
        <v>1292.96</v>
      </c>
      <c r="H22" s="16">
        <v>1292.96</v>
      </c>
      <c r="I22" s="16">
        <v>1292.96</v>
      </c>
      <c r="J22" s="15">
        <v>1292.96</v>
      </c>
      <c r="K22" s="16">
        <v>1292.96</v>
      </c>
      <c r="L22" s="16">
        <v>1292.96</v>
      </c>
      <c r="M22" s="16">
        <v>1292.96</v>
      </c>
      <c r="N22" s="16">
        <v>1292.96</v>
      </c>
      <c r="O22" s="16">
        <v>1292.96</v>
      </c>
      <c r="P22" s="16">
        <v>1292.96</v>
      </c>
      <c r="Q22" s="16">
        <v>1292.96</v>
      </c>
      <c r="R22" s="16">
        <v>1292.96</v>
      </c>
      <c r="S22" s="16">
        <v>1292.96</v>
      </c>
      <c r="T22" s="16">
        <v>1292.96</v>
      </c>
      <c r="U22" s="16">
        <v>1292.96</v>
      </c>
      <c r="V22" s="16">
        <v>1292.96</v>
      </c>
      <c r="W22" s="16">
        <v>1292.96</v>
      </c>
      <c r="X22" s="16">
        <v>1292.96</v>
      </c>
      <c r="Y22" s="16">
        <v>1292.96</v>
      </c>
      <c r="Z22" s="16">
        <v>1292.96</v>
      </c>
      <c r="AA22" s="16">
        <v>1292.96</v>
      </c>
    </row>
    <row r="23" spans="2:32" outlineLevel="1" x14ac:dyDescent="0.3">
      <c r="B23" s="181"/>
      <c r="C23" s="129" t="s">
        <v>18</v>
      </c>
      <c r="D23" s="17">
        <v>83.39</v>
      </c>
      <c r="E23" s="18">
        <v>83.39</v>
      </c>
      <c r="F23" s="18">
        <v>83.39</v>
      </c>
      <c r="G23" s="18">
        <v>83.39</v>
      </c>
      <c r="H23" s="18">
        <v>83.39</v>
      </c>
      <c r="I23" s="18">
        <v>83.39</v>
      </c>
      <c r="J23" s="17">
        <v>83.39</v>
      </c>
      <c r="K23" s="18">
        <v>83.39</v>
      </c>
      <c r="L23" s="18">
        <v>83.39</v>
      </c>
      <c r="M23" s="18">
        <v>83.39</v>
      </c>
      <c r="N23" s="18">
        <v>83.39</v>
      </c>
      <c r="O23" s="18">
        <v>83.39</v>
      </c>
      <c r="P23" s="18">
        <v>83.39</v>
      </c>
      <c r="Q23" s="18">
        <v>83.39</v>
      </c>
      <c r="R23" s="18">
        <v>83.39</v>
      </c>
      <c r="S23" s="18">
        <v>83.39</v>
      </c>
      <c r="T23" s="18">
        <v>83.39</v>
      </c>
      <c r="U23" s="18">
        <v>83.39</v>
      </c>
      <c r="V23" s="18">
        <v>83.39</v>
      </c>
      <c r="W23" s="18">
        <v>83.39</v>
      </c>
      <c r="X23" s="18">
        <v>83.39</v>
      </c>
      <c r="Y23" s="18">
        <v>83.39</v>
      </c>
      <c r="Z23" s="18">
        <v>83.39</v>
      </c>
      <c r="AA23" s="18">
        <v>83.39</v>
      </c>
    </row>
    <row r="24" spans="2:32" outlineLevel="1" x14ac:dyDescent="0.3">
      <c r="B24" s="181"/>
      <c r="C24" s="129" t="s">
        <v>19</v>
      </c>
      <c r="D24" s="15">
        <v>420.68</v>
      </c>
      <c r="E24" s="16">
        <v>420.68</v>
      </c>
      <c r="F24" s="16">
        <v>420.68</v>
      </c>
      <c r="G24" s="16">
        <v>420.68</v>
      </c>
      <c r="H24" s="16">
        <v>420.68</v>
      </c>
      <c r="I24" s="16">
        <v>420.68</v>
      </c>
      <c r="J24" s="15">
        <v>420.68</v>
      </c>
      <c r="K24" s="16">
        <v>420.68</v>
      </c>
      <c r="L24" s="16">
        <v>420.68</v>
      </c>
      <c r="M24" s="16">
        <v>420.68</v>
      </c>
      <c r="N24" s="16">
        <v>420.68</v>
      </c>
      <c r="O24" s="16">
        <v>420.68</v>
      </c>
      <c r="P24" s="16">
        <v>420.68</v>
      </c>
      <c r="Q24" s="16">
        <v>420.68</v>
      </c>
      <c r="R24" s="16">
        <v>420.68</v>
      </c>
      <c r="S24" s="16">
        <v>420.68</v>
      </c>
      <c r="T24" s="16">
        <v>420.68</v>
      </c>
      <c r="U24" s="16">
        <v>420.68</v>
      </c>
      <c r="V24" s="16">
        <v>420.68</v>
      </c>
      <c r="W24" s="16">
        <v>420.68</v>
      </c>
      <c r="X24" s="16">
        <v>420.68</v>
      </c>
      <c r="Y24" s="16">
        <v>420.68</v>
      </c>
      <c r="Z24" s="16">
        <v>420.68</v>
      </c>
      <c r="AA24" s="16">
        <v>420.68</v>
      </c>
    </row>
    <row r="25" spans="2:32" outlineLevel="1" x14ac:dyDescent="0.3">
      <c r="B25" s="181"/>
      <c r="C25" s="130" t="s">
        <v>20</v>
      </c>
      <c r="D25" s="21">
        <v>251.44</v>
      </c>
      <c r="E25" s="22">
        <v>251.44</v>
      </c>
      <c r="F25" s="22">
        <v>251.44</v>
      </c>
      <c r="G25" s="22">
        <v>251.44</v>
      </c>
      <c r="H25" s="22">
        <v>251.44</v>
      </c>
      <c r="I25" s="22">
        <v>251.44</v>
      </c>
      <c r="J25" s="21">
        <v>251.44</v>
      </c>
      <c r="K25" s="22">
        <v>251.44</v>
      </c>
      <c r="L25" s="22">
        <v>251.44</v>
      </c>
      <c r="M25" s="22">
        <v>251.44</v>
      </c>
      <c r="N25" s="22">
        <v>251.44</v>
      </c>
      <c r="O25" s="22">
        <v>251.44</v>
      </c>
      <c r="P25" s="22">
        <v>251.44</v>
      </c>
      <c r="Q25" s="22">
        <v>251.44</v>
      </c>
      <c r="R25" s="22">
        <v>251.44</v>
      </c>
      <c r="S25" s="22">
        <v>251.44</v>
      </c>
      <c r="T25" s="22">
        <v>251.44</v>
      </c>
      <c r="U25" s="22">
        <v>251.44</v>
      </c>
      <c r="V25" s="22">
        <v>251.44</v>
      </c>
      <c r="W25" s="22">
        <v>251.44</v>
      </c>
      <c r="X25" s="22">
        <v>251.44</v>
      </c>
      <c r="Y25" s="22">
        <v>251.44</v>
      </c>
      <c r="Z25" s="22">
        <v>251.44</v>
      </c>
      <c r="AA25" s="22">
        <v>251.44</v>
      </c>
    </row>
    <row r="26" spans="2:32" ht="8.25" customHeight="1" x14ac:dyDescent="0.3">
      <c r="B26" s="181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23"/>
    </row>
    <row r="27" spans="2:32" x14ac:dyDescent="0.3">
      <c r="B27" s="181"/>
      <c r="C27" s="129" t="s">
        <v>21</v>
      </c>
      <c r="D27" s="24">
        <v>0.27</v>
      </c>
      <c r="E27" s="24">
        <v>0.27</v>
      </c>
      <c r="F27" s="24">
        <v>0.27</v>
      </c>
      <c r="G27" s="24">
        <v>0.27</v>
      </c>
      <c r="H27" s="24">
        <v>0.27</v>
      </c>
      <c r="I27" s="24">
        <v>0.27</v>
      </c>
      <c r="J27" s="24">
        <v>0.27</v>
      </c>
      <c r="K27" s="24">
        <v>0.27</v>
      </c>
      <c r="L27" s="24">
        <v>0.27</v>
      </c>
      <c r="M27" s="24">
        <v>0.27</v>
      </c>
      <c r="N27" s="24">
        <v>0.27</v>
      </c>
      <c r="O27" s="24">
        <v>0.27</v>
      </c>
      <c r="P27" s="24">
        <v>0.27</v>
      </c>
      <c r="Q27" s="24">
        <v>0.27</v>
      </c>
      <c r="R27" s="24">
        <v>0.27</v>
      </c>
      <c r="S27" s="24">
        <v>0.27</v>
      </c>
      <c r="T27" s="24">
        <v>0.27</v>
      </c>
      <c r="U27" s="24">
        <v>0.27</v>
      </c>
      <c r="V27" s="24">
        <v>0.27</v>
      </c>
      <c r="W27" s="24">
        <v>0.27</v>
      </c>
      <c r="X27" s="24">
        <v>0.27</v>
      </c>
      <c r="Y27" s="24">
        <v>0.27</v>
      </c>
      <c r="Z27" s="24">
        <v>0.27</v>
      </c>
      <c r="AA27" s="24">
        <v>0.27</v>
      </c>
    </row>
    <row r="28" spans="2:32" x14ac:dyDescent="0.3">
      <c r="B28" s="181"/>
      <c r="C28" s="129" t="s">
        <v>22</v>
      </c>
      <c r="D28" s="25">
        <v>0.05</v>
      </c>
      <c r="E28" s="26">
        <v>0.05</v>
      </c>
      <c r="F28" s="26">
        <v>0.05</v>
      </c>
      <c r="G28" s="26">
        <v>0.05</v>
      </c>
      <c r="H28" s="26">
        <v>0.05</v>
      </c>
      <c r="I28" s="26">
        <v>0.05</v>
      </c>
      <c r="J28" s="25">
        <v>0.05</v>
      </c>
      <c r="K28" s="26">
        <v>0.05</v>
      </c>
      <c r="L28" s="26">
        <v>0.05</v>
      </c>
      <c r="M28" s="26">
        <v>0.05</v>
      </c>
      <c r="N28" s="26">
        <v>0.05</v>
      </c>
      <c r="O28" s="26">
        <v>0.05</v>
      </c>
      <c r="P28" s="26">
        <v>0.05</v>
      </c>
      <c r="Q28" s="26">
        <v>0.05</v>
      </c>
      <c r="R28" s="26">
        <v>0.05</v>
      </c>
      <c r="S28" s="26">
        <v>0.05</v>
      </c>
      <c r="T28" s="26">
        <v>0.05</v>
      </c>
      <c r="U28" s="26">
        <v>0.05</v>
      </c>
      <c r="V28" s="26">
        <v>0.05</v>
      </c>
      <c r="W28" s="26">
        <v>0.05</v>
      </c>
      <c r="X28" s="26">
        <v>0.05</v>
      </c>
      <c r="Y28" s="26">
        <v>0.05</v>
      </c>
      <c r="Z28" s="26">
        <v>0.05</v>
      </c>
      <c r="AA28" s="26">
        <v>0.05</v>
      </c>
    </row>
    <row r="29" spans="2:32" ht="9.75" customHeight="1" x14ac:dyDescent="0.3">
      <c r="B29" s="181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23"/>
    </row>
    <row r="30" spans="2:32" outlineLevel="1" x14ac:dyDescent="0.3">
      <c r="B30" s="181"/>
      <c r="C30" s="131" t="s">
        <v>23</v>
      </c>
      <c r="D30" s="27">
        <f>IF(D19="Azul",D8*D20*(1-D16),0)</f>
        <v>0</v>
      </c>
      <c r="E30" s="28">
        <f t="shared" ref="E30:AA30" si="4">IF(E19="Azul",E8*E20*(1-E16),0)</f>
        <v>0</v>
      </c>
      <c r="F30" s="28">
        <f t="shared" si="4"/>
        <v>0</v>
      </c>
      <c r="G30" s="28">
        <f t="shared" si="4"/>
        <v>0</v>
      </c>
      <c r="H30" s="28">
        <f t="shared" si="4"/>
        <v>0</v>
      </c>
      <c r="I30" s="28">
        <f t="shared" si="4"/>
        <v>0</v>
      </c>
      <c r="J30" s="27">
        <f t="shared" si="4"/>
        <v>0</v>
      </c>
      <c r="K30" s="28">
        <f t="shared" si="4"/>
        <v>0</v>
      </c>
      <c r="L30" s="28">
        <f t="shared" si="4"/>
        <v>0</v>
      </c>
      <c r="M30" s="28">
        <f t="shared" si="4"/>
        <v>0</v>
      </c>
      <c r="N30" s="28">
        <f t="shared" si="4"/>
        <v>0</v>
      </c>
      <c r="O30" s="28">
        <f t="shared" si="4"/>
        <v>0</v>
      </c>
      <c r="P30" s="27">
        <f>IF(P19="Azul",P8*P20*(1-P16),0)</f>
        <v>0</v>
      </c>
      <c r="Q30" s="28">
        <f t="shared" si="4"/>
        <v>0</v>
      </c>
      <c r="R30" s="28">
        <f t="shared" si="4"/>
        <v>0</v>
      </c>
      <c r="S30" s="28">
        <f t="shared" si="4"/>
        <v>0</v>
      </c>
      <c r="T30" s="28">
        <f t="shared" si="4"/>
        <v>0</v>
      </c>
      <c r="U30" s="28">
        <f t="shared" si="4"/>
        <v>0</v>
      </c>
      <c r="V30" s="28">
        <f t="shared" si="4"/>
        <v>0</v>
      </c>
      <c r="W30" s="28">
        <f t="shared" si="4"/>
        <v>0</v>
      </c>
      <c r="X30" s="28">
        <f t="shared" si="4"/>
        <v>0</v>
      </c>
      <c r="Y30" s="28">
        <f t="shared" si="4"/>
        <v>0</v>
      </c>
      <c r="Z30" s="28">
        <f t="shared" si="4"/>
        <v>0</v>
      </c>
      <c r="AA30" s="28">
        <f t="shared" si="4"/>
        <v>0</v>
      </c>
    </row>
    <row r="31" spans="2:32" outlineLevel="1" x14ac:dyDescent="0.3">
      <c r="B31" s="181"/>
      <c r="C31" s="131" t="s">
        <v>24</v>
      </c>
      <c r="D31" s="29">
        <f>D10*D20*2</f>
        <v>0</v>
      </c>
      <c r="E31" s="30">
        <f t="shared" ref="E31:AA31" si="5">E10*E20*2</f>
        <v>0</v>
      </c>
      <c r="F31" s="30">
        <f t="shared" si="5"/>
        <v>0</v>
      </c>
      <c r="G31" s="30">
        <f t="shared" si="5"/>
        <v>0</v>
      </c>
      <c r="H31" s="30">
        <f t="shared" si="5"/>
        <v>0</v>
      </c>
      <c r="I31" s="30">
        <f t="shared" si="5"/>
        <v>0</v>
      </c>
      <c r="J31" s="29">
        <f t="shared" si="5"/>
        <v>0</v>
      </c>
      <c r="K31" s="30">
        <f t="shared" si="5"/>
        <v>0</v>
      </c>
      <c r="L31" s="30">
        <f t="shared" si="5"/>
        <v>0</v>
      </c>
      <c r="M31" s="30">
        <f t="shared" si="5"/>
        <v>0</v>
      </c>
      <c r="N31" s="30">
        <f t="shared" si="5"/>
        <v>0</v>
      </c>
      <c r="O31" s="30">
        <f t="shared" si="5"/>
        <v>0</v>
      </c>
      <c r="P31" s="29">
        <f>P10*P20*2</f>
        <v>0</v>
      </c>
      <c r="Q31" s="30">
        <f t="shared" si="5"/>
        <v>0</v>
      </c>
      <c r="R31" s="30">
        <f t="shared" si="5"/>
        <v>0</v>
      </c>
      <c r="S31" s="30">
        <f t="shared" si="5"/>
        <v>0</v>
      </c>
      <c r="T31" s="30">
        <f t="shared" si="5"/>
        <v>0</v>
      </c>
      <c r="U31" s="30">
        <f t="shared" si="5"/>
        <v>0</v>
      </c>
      <c r="V31" s="30">
        <f t="shared" si="5"/>
        <v>0</v>
      </c>
      <c r="W31" s="30">
        <f t="shared" si="5"/>
        <v>0</v>
      </c>
      <c r="X31" s="30">
        <f t="shared" si="5"/>
        <v>0</v>
      </c>
      <c r="Y31" s="30">
        <f t="shared" si="5"/>
        <v>0</v>
      </c>
      <c r="Z31" s="30">
        <f t="shared" si="5"/>
        <v>0</v>
      </c>
      <c r="AA31" s="30">
        <f t="shared" si="5"/>
        <v>0</v>
      </c>
    </row>
    <row r="32" spans="2:32" outlineLevel="1" x14ac:dyDescent="0.3">
      <c r="B32" s="181"/>
      <c r="C32" s="131" t="s">
        <v>25</v>
      </c>
      <c r="D32" s="31">
        <f>D9*D21*(1-D16)</f>
        <v>9630</v>
      </c>
      <c r="E32" s="32">
        <f t="shared" ref="E32:AA32" si="6">E9*E21*(1-E16)</f>
        <v>9630</v>
      </c>
      <c r="F32" s="32">
        <f t="shared" si="6"/>
        <v>9630</v>
      </c>
      <c r="G32" s="32">
        <f t="shared" si="6"/>
        <v>9630</v>
      </c>
      <c r="H32" s="32">
        <f t="shared" si="6"/>
        <v>9630</v>
      </c>
      <c r="I32" s="32">
        <f t="shared" si="6"/>
        <v>9630</v>
      </c>
      <c r="J32" s="31">
        <f t="shared" si="6"/>
        <v>9630</v>
      </c>
      <c r="K32" s="32">
        <f t="shared" si="6"/>
        <v>9630</v>
      </c>
      <c r="L32" s="32">
        <f t="shared" si="6"/>
        <v>9630</v>
      </c>
      <c r="M32" s="32">
        <f t="shared" si="6"/>
        <v>9630</v>
      </c>
      <c r="N32" s="32">
        <f t="shared" si="6"/>
        <v>9630</v>
      </c>
      <c r="O32" s="32">
        <f t="shared" si="6"/>
        <v>9630</v>
      </c>
      <c r="P32" s="31">
        <f>P9*P21*(1-P16)</f>
        <v>9630</v>
      </c>
      <c r="Q32" s="32">
        <f t="shared" si="6"/>
        <v>9630</v>
      </c>
      <c r="R32" s="32">
        <f t="shared" si="6"/>
        <v>9630</v>
      </c>
      <c r="S32" s="32">
        <f t="shared" si="6"/>
        <v>9630</v>
      </c>
      <c r="T32" s="32">
        <f t="shared" si="6"/>
        <v>9630</v>
      </c>
      <c r="U32" s="32">
        <f t="shared" si="6"/>
        <v>9630</v>
      </c>
      <c r="V32" s="32">
        <f t="shared" si="6"/>
        <v>9630</v>
      </c>
      <c r="W32" s="32">
        <f t="shared" si="6"/>
        <v>9630</v>
      </c>
      <c r="X32" s="32">
        <f t="shared" si="6"/>
        <v>9630</v>
      </c>
      <c r="Y32" s="32">
        <f t="shared" si="6"/>
        <v>9630</v>
      </c>
      <c r="Z32" s="32">
        <f t="shared" si="6"/>
        <v>9630</v>
      </c>
      <c r="AA32" s="32">
        <f t="shared" si="6"/>
        <v>9630</v>
      </c>
    </row>
    <row r="33" spans="2:29" outlineLevel="1" x14ac:dyDescent="0.3">
      <c r="B33" s="181"/>
      <c r="C33" s="131" t="s">
        <v>26</v>
      </c>
      <c r="D33" s="29">
        <f>D11*D21*2</f>
        <v>0</v>
      </c>
      <c r="E33" s="30">
        <f t="shared" ref="E33:AA33" si="7">E11*E21*2</f>
        <v>0</v>
      </c>
      <c r="F33" s="30">
        <f t="shared" si="7"/>
        <v>0</v>
      </c>
      <c r="G33" s="30">
        <f t="shared" si="7"/>
        <v>0</v>
      </c>
      <c r="H33" s="30">
        <f t="shared" si="7"/>
        <v>0</v>
      </c>
      <c r="I33" s="30">
        <f t="shared" si="7"/>
        <v>0</v>
      </c>
      <c r="J33" s="29">
        <f t="shared" si="7"/>
        <v>0</v>
      </c>
      <c r="K33" s="30">
        <f t="shared" si="7"/>
        <v>0</v>
      </c>
      <c r="L33" s="30">
        <f t="shared" si="7"/>
        <v>0</v>
      </c>
      <c r="M33" s="30">
        <f t="shared" si="7"/>
        <v>0</v>
      </c>
      <c r="N33" s="30">
        <f t="shared" si="7"/>
        <v>0</v>
      </c>
      <c r="O33" s="30">
        <f t="shared" si="7"/>
        <v>0</v>
      </c>
      <c r="P33" s="29">
        <f>P11*P21*2</f>
        <v>0</v>
      </c>
      <c r="Q33" s="30">
        <f t="shared" si="7"/>
        <v>0</v>
      </c>
      <c r="R33" s="30">
        <f t="shared" si="7"/>
        <v>0</v>
      </c>
      <c r="S33" s="30">
        <f t="shared" si="7"/>
        <v>0</v>
      </c>
      <c r="T33" s="30">
        <f t="shared" si="7"/>
        <v>0</v>
      </c>
      <c r="U33" s="30">
        <f t="shared" si="7"/>
        <v>0</v>
      </c>
      <c r="V33" s="30">
        <f t="shared" si="7"/>
        <v>0</v>
      </c>
      <c r="W33" s="30">
        <f t="shared" si="7"/>
        <v>0</v>
      </c>
      <c r="X33" s="30">
        <f t="shared" si="7"/>
        <v>0</v>
      </c>
      <c r="Y33" s="30">
        <f t="shared" si="7"/>
        <v>0</v>
      </c>
      <c r="Z33" s="30">
        <f t="shared" si="7"/>
        <v>0</v>
      </c>
      <c r="AA33" s="30">
        <f t="shared" si="7"/>
        <v>0</v>
      </c>
    </row>
    <row r="34" spans="2:29" outlineLevel="1" x14ac:dyDescent="0.3">
      <c r="B34" s="181"/>
      <c r="C34" s="131" t="s">
        <v>27</v>
      </c>
      <c r="D34" s="31">
        <f>IF(D19="Azul",D12*D23,D12*((D22-D23)*(1-D16)+D23))</f>
        <v>13576.08</v>
      </c>
      <c r="E34" s="32">
        <f t="shared" ref="E34:AA34" si="8">IF(E19="Azul",E12*E23,E12*((E22-E23)*(1-E16)+E23))</f>
        <v>13576.08</v>
      </c>
      <c r="F34" s="32">
        <f t="shared" si="8"/>
        <v>16834.339199999999</v>
      </c>
      <c r="G34" s="32">
        <f t="shared" si="8"/>
        <v>14662.1664</v>
      </c>
      <c r="H34" s="32">
        <f t="shared" si="8"/>
        <v>12489.9936</v>
      </c>
      <c r="I34" s="32">
        <f t="shared" si="8"/>
        <v>7602.6048000000001</v>
      </c>
      <c r="J34" s="31">
        <f t="shared" si="8"/>
        <v>10860.864000000001</v>
      </c>
      <c r="K34" s="32">
        <f t="shared" si="8"/>
        <v>11946.9504</v>
      </c>
      <c r="L34" s="32">
        <f t="shared" si="8"/>
        <v>15748.2528</v>
      </c>
      <c r="M34" s="32">
        <f t="shared" si="8"/>
        <v>19006.511999999999</v>
      </c>
      <c r="N34" s="32">
        <f t="shared" si="8"/>
        <v>13033.0368</v>
      </c>
      <c r="O34" s="32">
        <f t="shared" si="8"/>
        <v>16291.296</v>
      </c>
      <c r="P34" s="31">
        <f>IF(P19="Azul",P12*P23,P12*((P22-P23)*(1-P16)+P23))</f>
        <v>13033.0368</v>
      </c>
      <c r="Q34" s="32">
        <f t="shared" si="8"/>
        <v>10317.820800000001</v>
      </c>
      <c r="R34" s="32">
        <f t="shared" si="8"/>
        <v>16834.339199999999</v>
      </c>
      <c r="S34" s="32">
        <f t="shared" si="8"/>
        <v>19549.555199999999</v>
      </c>
      <c r="T34" s="32">
        <f t="shared" si="8"/>
        <v>15748.2528</v>
      </c>
      <c r="U34" s="32">
        <f t="shared" si="8"/>
        <v>16834.339199999999</v>
      </c>
      <c r="V34" s="32">
        <f t="shared" si="8"/>
        <v>13576.08</v>
      </c>
      <c r="W34" s="32">
        <f t="shared" si="8"/>
        <v>15748.2528</v>
      </c>
      <c r="X34" s="32">
        <f t="shared" si="8"/>
        <v>17920.425599999999</v>
      </c>
      <c r="Y34" s="32">
        <f t="shared" si="8"/>
        <v>11946.9504</v>
      </c>
      <c r="Z34" s="32">
        <f t="shared" si="8"/>
        <v>19006.511999999999</v>
      </c>
      <c r="AA34" s="32">
        <f t="shared" si="8"/>
        <v>15205.2096</v>
      </c>
    </row>
    <row r="35" spans="2:29" outlineLevel="1" x14ac:dyDescent="0.3">
      <c r="B35" s="181"/>
      <c r="C35" s="132" t="s">
        <v>28</v>
      </c>
      <c r="D35" s="33">
        <f>D13*D23</f>
        <v>5383.6584000000003</v>
      </c>
      <c r="E35" s="34">
        <f t="shared" ref="E35:AA35" si="9">E13*E23</f>
        <v>5743.9031999999997</v>
      </c>
      <c r="F35" s="34">
        <f t="shared" si="9"/>
        <v>6514.4268000000002</v>
      </c>
      <c r="G35" s="34">
        <f t="shared" si="9"/>
        <v>6794.6172000000006</v>
      </c>
      <c r="H35" s="34">
        <f t="shared" si="9"/>
        <v>5603.808</v>
      </c>
      <c r="I35" s="34">
        <f t="shared" si="9"/>
        <v>4132.8083999999999</v>
      </c>
      <c r="J35" s="33">
        <f t="shared" si="9"/>
        <v>4553.0940000000001</v>
      </c>
      <c r="K35" s="34">
        <f t="shared" si="9"/>
        <v>4906.6676000000007</v>
      </c>
      <c r="L35" s="34">
        <f t="shared" si="9"/>
        <v>6129.165</v>
      </c>
      <c r="M35" s="34">
        <f t="shared" si="9"/>
        <v>7319.9742000000006</v>
      </c>
      <c r="N35" s="34">
        <f t="shared" si="9"/>
        <v>6269.2602000000006</v>
      </c>
      <c r="O35" s="34">
        <f t="shared" si="9"/>
        <v>6304.2839999999997</v>
      </c>
      <c r="P35" s="33">
        <f>P13*P23</f>
        <v>6094.1412</v>
      </c>
      <c r="Q35" s="34">
        <f t="shared" si="9"/>
        <v>5498.7366000000002</v>
      </c>
      <c r="R35" s="34">
        <f t="shared" si="9"/>
        <v>6654.5219999999999</v>
      </c>
      <c r="S35" s="34">
        <f t="shared" si="9"/>
        <v>7916.1293100000003</v>
      </c>
      <c r="T35" s="34">
        <f t="shared" si="9"/>
        <v>7144.8552000000009</v>
      </c>
      <c r="U35" s="34">
        <f t="shared" si="9"/>
        <v>6619.4982</v>
      </c>
      <c r="V35" s="34">
        <f t="shared" si="9"/>
        <v>5428.6889999999994</v>
      </c>
      <c r="W35" s="34">
        <f t="shared" si="9"/>
        <v>5743.9031999999997</v>
      </c>
      <c r="X35" s="34">
        <f t="shared" si="9"/>
        <v>7430.049</v>
      </c>
      <c r="Y35" s="34">
        <f t="shared" si="9"/>
        <v>5498.7366000000002</v>
      </c>
      <c r="Z35" s="34">
        <f t="shared" si="9"/>
        <v>7705.2360000000008</v>
      </c>
      <c r="AA35" s="34">
        <f t="shared" si="9"/>
        <v>6619.4982</v>
      </c>
    </row>
    <row r="36" spans="2:29" x14ac:dyDescent="0.3">
      <c r="B36" s="181"/>
      <c r="C36" s="131" t="s">
        <v>29</v>
      </c>
      <c r="D36" s="27">
        <f>SUM(D30:D35)</f>
        <v>28589.738400000002</v>
      </c>
      <c r="E36" s="28">
        <f>SUM(E30:E35)</f>
        <v>28949.983200000002</v>
      </c>
      <c r="F36" s="28">
        <f>SUM(F30:F35)</f>
        <v>32978.765999999996</v>
      </c>
      <c r="G36" s="28">
        <f t="shared" ref="G36:AA36" si="10">SUM(G30:G35)</f>
        <v>31086.783600000002</v>
      </c>
      <c r="H36" s="28">
        <f t="shared" si="10"/>
        <v>27723.801600000003</v>
      </c>
      <c r="I36" s="28">
        <f t="shared" si="10"/>
        <v>21365.413200000003</v>
      </c>
      <c r="J36" s="27">
        <f t="shared" si="10"/>
        <v>25043.958000000002</v>
      </c>
      <c r="K36" s="28">
        <f t="shared" si="10"/>
        <v>26483.618000000002</v>
      </c>
      <c r="L36" s="28">
        <f t="shared" si="10"/>
        <v>31507.417800000003</v>
      </c>
      <c r="M36" s="28">
        <f t="shared" si="10"/>
        <v>35956.486199999999</v>
      </c>
      <c r="N36" s="28">
        <f t="shared" si="10"/>
        <v>28932.297000000002</v>
      </c>
      <c r="O36" s="28">
        <f t="shared" si="10"/>
        <v>32225.58</v>
      </c>
      <c r="P36" s="27">
        <f>SUM(P30:P35)</f>
        <v>28757.178</v>
      </c>
      <c r="Q36" s="28">
        <f t="shared" si="10"/>
        <v>25446.557400000002</v>
      </c>
      <c r="R36" s="28">
        <f t="shared" si="10"/>
        <v>33118.861199999999</v>
      </c>
      <c r="S36" s="28">
        <f t="shared" si="10"/>
        <v>37095.684509999999</v>
      </c>
      <c r="T36" s="28">
        <f t="shared" si="10"/>
        <v>32523.108000000004</v>
      </c>
      <c r="U36" s="28">
        <f t="shared" si="10"/>
        <v>33083.837399999997</v>
      </c>
      <c r="V36" s="28">
        <f t="shared" si="10"/>
        <v>28634.769</v>
      </c>
      <c r="W36" s="28">
        <f t="shared" si="10"/>
        <v>31122.156000000003</v>
      </c>
      <c r="X36" s="28">
        <f t="shared" si="10"/>
        <v>34980.474600000001</v>
      </c>
      <c r="Y36" s="28">
        <f t="shared" si="10"/>
        <v>27075.687000000002</v>
      </c>
      <c r="Z36" s="28">
        <f t="shared" si="10"/>
        <v>36341.748</v>
      </c>
      <c r="AA36" s="28">
        <f t="shared" si="10"/>
        <v>31454.707800000004</v>
      </c>
    </row>
    <row r="37" spans="2:29" x14ac:dyDescent="0.3">
      <c r="B37" s="181"/>
      <c r="C37" s="131" t="s">
        <v>30</v>
      </c>
      <c r="D37" s="35">
        <f>D36/(1-SUM(D27:D28))*SUM(D27:D28)+((D41+D39+D40)/(1-SUM(D27:D28)))*SUM(D27:D28)</f>
        <v>13453.994541176475</v>
      </c>
      <c r="E37" s="36">
        <f t="shared" ref="E37:AA37" si="11">E36/(1-SUM(E27:E28))*SUM(E27:E28)+((E41+E39+E40)/(1-SUM(E27:E28)))*SUM(E27:E28)</f>
        <v>13623.521505882356</v>
      </c>
      <c r="F37" s="36">
        <f t="shared" si="11"/>
        <v>15519.419294117648</v>
      </c>
      <c r="G37" s="36">
        <f t="shared" si="11"/>
        <v>14629.074635294121</v>
      </c>
      <c r="H37" s="36">
        <f t="shared" si="11"/>
        <v>13046.494870588238</v>
      </c>
      <c r="I37" s="36">
        <f t="shared" si="11"/>
        <v>10054.312094117649</v>
      </c>
      <c r="J37" s="35">
        <f t="shared" si="11"/>
        <v>11785.392000000002</v>
      </c>
      <c r="K37" s="36">
        <f t="shared" si="11"/>
        <v>12462.879058823532</v>
      </c>
      <c r="L37" s="36">
        <f t="shared" si="11"/>
        <v>14827.020141176474</v>
      </c>
      <c r="M37" s="36">
        <f t="shared" si="11"/>
        <v>16920.699388235294</v>
      </c>
      <c r="N37" s="36">
        <f t="shared" si="11"/>
        <v>13615.198588235296</v>
      </c>
      <c r="O37" s="36">
        <f t="shared" si="11"/>
        <v>15164.978823529415</v>
      </c>
      <c r="P37" s="35">
        <f t="shared" si="11"/>
        <v>13532.789647058824</v>
      </c>
      <c r="Q37" s="36">
        <f t="shared" si="11"/>
        <v>11974.850541176473</v>
      </c>
      <c r="R37" s="36">
        <f t="shared" si="11"/>
        <v>15585.346447058826</v>
      </c>
      <c r="S37" s="36">
        <f t="shared" si="11"/>
        <v>17456.792710588237</v>
      </c>
      <c r="T37" s="36">
        <f t="shared" si="11"/>
        <v>15304.992000000004</v>
      </c>
      <c r="U37" s="36">
        <f t="shared" si="11"/>
        <v>15568.86465882353</v>
      </c>
      <c r="V37" s="36">
        <f t="shared" si="11"/>
        <v>13475.185411764707</v>
      </c>
      <c r="W37" s="36">
        <f t="shared" si="11"/>
        <v>14645.720470588238</v>
      </c>
      <c r="X37" s="36">
        <f t="shared" si="11"/>
        <v>16461.39981176471</v>
      </c>
      <c r="Y37" s="36">
        <f t="shared" si="11"/>
        <v>12741.499764705884</v>
      </c>
      <c r="Z37" s="36">
        <f t="shared" si="11"/>
        <v>17101.999058823531</v>
      </c>
      <c r="AA37" s="36">
        <f t="shared" si="11"/>
        <v>14802.21543529412</v>
      </c>
    </row>
    <row r="38" spans="2:29" ht="8.25" customHeight="1" x14ac:dyDescent="0.3">
      <c r="B38" s="181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37"/>
    </row>
    <row r="39" spans="2:29" x14ac:dyDescent="0.3">
      <c r="B39" s="181"/>
      <c r="C39" s="131" t="s">
        <v>31</v>
      </c>
      <c r="D39" s="9">
        <f>IF(D19="Azul",D8*D20*(D16),0)</f>
        <v>0</v>
      </c>
      <c r="E39" s="10">
        <f t="shared" ref="E39:AA39" si="12">IF(E19="Azul",E8*E20*(E16),0)</f>
        <v>0</v>
      </c>
      <c r="F39" s="10">
        <f t="shared" si="12"/>
        <v>0</v>
      </c>
      <c r="G39" s="10">
        <f t="shared" si="12"/>
        <v>0</v>
      </c>
      <c r="H39" s="10">
        <f t="shared" si="12"/>
        <v>0</v>
      </c>
      <c r="I39" s="10">
        <f t="shared" si="12"/>
        <v>0</v>
      </c>
      <c r="J39" s="9">
        <f t="shared" si="12"/>
        <v>0</v>
      </c>
      <c r="K39" s="10">
        <f t="shared" si="12"/>
        <v>0</v>
      </c>
      <c r="L39" s="10">
        <f t="shared" si="12"/>
        <v>0</v>
      </c>
      <c r="M39" s="10">
        <f t="shared" si="12"/>
        <v>0</v>
      </c>
      <c r="N39" s="10">
        <f t="shared" si="12"/>
        <v>0</v>
      </c>
      <c r="O39" s="10">
        <f t="shared" si="12"/>
        <v>0</v>
      </c>
      <c r="P39" s="10">
        <f t="shared" si="12"/>
        <v>0</v>
      </c>
      <c r="Q39" s="10">
        <f t="shared" si="12"/>
        <v>0</v>
      </c>
      <c r="R39" s="10">
        <f t="shared" si="12"/>
        <v>0</v>
      </c>
      <c r="S39" s="10">
        <f t="shared" si="12"/>
        <v>0</v>
      </c>
      <c r="T39" s="10">
        <f t="shared" si="12"/>
        <v>0</v>
      </c>
      <c r="U39" s="10">
        <f t="shared" si="12"/>
        <v>0</v>
      </c>
      <c r="V39" s="10">
        <f t="shared" si="12"/>
        <v>0</v>
      </c>
      <c r="W39" s="10">
        <f t="shared" si="12"/>
        <v>0</v>
      </c>
      <c r="X39" s="10">
        <f t="shared" si="12"/>
        <v>0</v>
      </c>
      <c r="Y39" s="10">
        <f t="shared" si="12"/>
        <v>0</v>
      </c>
      <c r="Z39" s="10">
        <f t="shared" si="12"/>
        <v>0</v>
      </c>
      <c r="AA39" s="10">
        <f t="shared" si="12"/>
        <v>0</v>
      </c>
    </row>
    <row r="40" spans="2:29" x14ac:dyDescent="0.3">
      <c r="B40" s="181"/>
      <c r="C40" s="131" t="s">
        <v>32</v>
      </c>
      <c r="D40" s="11">
        <f>D9*D21*(D16)</f>
        <v>0</v>
      </c>
      <c r="E40" s="12">
        <f t="shared" ref="E40:AA40" si="13">E9*E21*(E16)</f>
        <v>0</v>
      </c>
      <c r="F40" s="12">
        <f t="shared" si="13"/>
        <v>0</v>
      </c>
      <c r="G40" s="12">
        <f t="shared" si="13"/>
        <v>0</v>
      </c>
      <c r="H40" s="12">
        <f t="shared" si="13"/>
        <v>0</v>
      </c>
      <c r="I40" s="12">
        <f t="shared" si="13"/>
        <v>0</v>
      </c>
      <c r="J40" s="11">
        <f t="shared" si="13"/>
        <v>0</v>
      </c>
      <c r="K40" s="12">
        <f t="shared" si="13"/>
        <v>0</v>
      </c>
      <c r="L40" s="12">
        <f t="shared" si="13"/>
        <v>0</v>
      </c>
      <c r="M40" s="12">
        <f t="shared" si="13"/>
        <v>0</v>
      </c>
      <c r="N40" s="12">
        <f t="shared" si="13"/>
        <v>0</v>
      </c>
      <c r="O40" s="12">
        <f t="shared" si="13"/>
        <v>0</v>
      </c>
      <c r="P40" s="12">
        <f t="shared" si="13"/>
        <v>0</v>
      </c>
      <c r="Q40" s="12">
        <f t="shared" si="13"/>
        <v>0</v>
      </c>
      <c r="R40" s="12">
        <f t="shared" si="13"/>
        <v>0</v>
      </c>
      <c r="S40" s="12">
        <f t="shared" si="13"/>
        <v>0</v>
      </c>
      <c r="T40" s="12">
        <f t="shared" si="13"/>
        <v>0</v>
      </c>
      <c r="U40" s="12">
        <f t="shared" si="13"/>
        <v>0</v>
      </c>
      <c r="V40" s="12">
        <f t="shared" si="13"/>
        <v>0</v>
      </c>
      <c r="W40" s="12">
        <f t="shared" si="13"/>
        <v>0</v>
      </c>
      <c r="X40" s="12">
        <f t="shared" si="13"/>
        <v>0</v>
      </c>
      <c r="Y40" s="12">
        <f t="shared" si="13"/>
        <v>0</v>
      </c>
      <c r="Z40" s="12">
        <f t="shared" si="13"/>
        <v>0</v>
      </c>
      <c r="AA40" s="12">
        <f t="shared" si="13"/>
        <v>0</v>
      </c>
    </row>
    <row r="41" spans="2:29" x14ac:dyDescent="0.3">
      <c r="B41" s="181"/>
      <c r="C41" s="129" t="s">
        <v>33</v>
      </c>
      <c r="D41" s="19">
        <f>IF(D19="Verde",D12*(D22-D23)*(D16),0)</f>
        <v>0</v>
      </c>
      <c r="E41" s="20">
        <f t="shared" ref="E41:AA41" si="14">IF(E19="Verde",E12*(E22-E23)*(E16),0)</f>
        <v>0</v>
      </c>
      <c r="F41" s="20">
        <f t="shared" si="14"/>
        <v>0</v>
      </c>
      <c r="G41" s="20">
        <f t="shared" si="14"/>
        <v>0</v>
      </c>
      <c r="H41" s="20">
        <f t="shared" si="14"/>
        <v>0</v>
      </c>
      <c r="I41" s="20">
        <f t="shared" si="14"/>
        <v>0</v>
      </c>
      <c r="J41" s="19">
        <f t="shared" si="14"/>
        <v>0</v>
      </c>
      <c r="K41" s="20">
        <f t="shared" si="14"/>
        <v>0</v>
      </c>
      <c r="L41" s="20">
        <f t="shared" si="14"/>
        <v>0</v>
      </c>
      <c r="M41" s="20">
        <f t="shared" si="14"/>
        <v>0</v>
      </c>
      <c r="N41" s="20">
        <f t="shared" si="14"/>
        <v>0</v>
      </c>
      <c r="O41" s="20">
        <f t="shared" si="14"/>
        <v>0</v>
      </c>
      <c r="P41" s="20">
        <f t="shared" si="14"/>
        <v>0</v>
      </c>
      <c r="Q41" s="20">
        <f t="shared" si="14"/>
        <v>0</v>
      </c>
      <c r="R41" s="20">
        <f t="shared" si="14"/>
        <v>0</v>
      </c>
      <c r="S41" s="20">
        <f t="shared" si="14"/>
        <v>0</v>
      </c>
      <c r="T41" s="20">
        <f t="shared" si="14"/>
        <v>0</v>
      </c>
      <c r="U41" s="20">
        <f t="shared" si="14"/>
        <v>0</v>
      </c>
      <c r="V41" s="20">
        <f t="shared" si="14"/>
        <v>0</v>
      </c>
      <c r="W41" s="20">
        <f t="shared" si="14"/>
        <v>0</v>
      </c>
      <c r="X41" s="20">
        <f t="shared" si="14"/>
        <v>0</v>
      </c>
      <c r="Y41" s="20">
        <f t="shared" si="14"/>
        <v>0</v>
      </c>
      <c r="Z41" s="20">
        <f t="shared" si="14"/>
        <v>0</v>
      </c>
      <c r="AA41" s="20">
        <f t="shared" si="14"/>
        <v>0</v>
      </c>
      <c r="AC41" s="92"/>
    </row>
    <row r="42" spans="2:29" ht="9.75" customHeight="1" x14ac:dyDescent="0.3">
      <c r="B42" s="181"/>
      <c r="C42" s="109"/>
      <c r="D42" s="109"/>
      <c r="E42" s="109"/>
      <c r="F42" s="109"/>
      <c r="G42" s="109"/>
      <c r="H42" s="109"/>
      <c r="I42" s="109"/>
      <c r="J42" s="109"/>
      <c r="K42" s="109"/>
      <c r="L42" s="109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  <c r="AA42" s="38"/>
    </row>
    <row r="43" spans="2:29" x14ac:dyDescent="0.3">
      <c r="B43" s="181"/>
      <c r="C43" s="129" t="s">
        <v>34</v>
      </c>
      <c r="D43" s="98">
        <f>SUM(D12:D13)/D4</f>
        <v>0.10088709677419355</v>
      </c>
      <c r="E43" s="98">
        <f t="shared" ref="E43:O43" si="15">SUM(E12:E13)/E4</f>
        <v>0.11405172413793103</v>
      </c>
      <c r="F43" s="98">
        <f t="shared" si="15"/>
        <v>0.1225</v>
      </c>
      <c r="G43" s="98">
        <f t="shared" si="15"/>
        <v>0.12891666666666668</v>
      </c>
      <c r="H43" s="98">
        <f t="shared" si="15"/>
        <v>0.10330645161290322</v>
      </c>
      <c r="I43" s="98">
        <f t="shared" si="15"/>
        <v>7.7000000000000013E-2</v>
      </c>
      <c r="J43" s="98">
        <f t="shared" si="15"/>
        <v>8.4677419354838704E-2</v>
      </c>
      <c r="K43" s="98">
        <f t="shared" si="15"/>
        <v>9.1505376344086023E-2</v>
      </c>
      <c r="L43" s="98">
        <f t="shared" si="15"/>
        <v>0.11900000000000001</v>
      </c>
      <c r="M43" s="98">
        <f t="shared" si="15"/>
        <v>0.13774193548387098</v>
      </c>
      <c r="N43" s="98">
        <f t="shared" si="15"/>
        <v>0.11841666666666667</v>
      </c>
      <c r="O43" s="98">
        <f t="shared" si="15"/>
        <v>0.11854838709677418</v>
      </c>
      <c r="P43" s="98">
        <f>SUM(P12:P13)/P4</f>
        <v>0.11177419354838709</v>
      </c>
      <c r="Q43" s="98">
        <f t="shared" ref="Q43:AA43" si="16">SUM(Q12:Q13)/Q4</f>
        <v>0.11</v>
      </c>
      <c r="R43" s="98">
        <f t="shared" si="16"/>
        <v>0.12475806451612902</v>
      </c>
      <c r="S43" s="98">
        <f t="shared" si="16"/>
        <v>0.15284583333333335</v>
      </c>
      <c r="T43" s="98">
        <f t="shared" si="16"/>
        <v>0.13153225806451616</v>
      </c>
      <c r="U43" s="98">
        <f t="shared" si="16"/>
        <v>0.12833333333333333</v>
      </c>
      <c r="V43" s="98">
        <f t="shared" si="16"/>
        <v>0.10161290322580645</v>
      </c>
      <c r="W43" s="98">
        <f t="shared" si="16"/>
        <v>0.1089516129032258</v>
      </c>
      <c r="X43" s="98">
        <f t="shared" si="16"/>
        <v>0.14299999999999999</v>
      </c>
      <c r="Y43" s="98">
        <f t="shared" si="16"/>
        <v>0.10104838709677419</v>
      </c>
      <c r="Z43" s="98">
        <f t="shared" si="16"/>
        <v>0.14875000000000002</v>
      </c>
      <c r="AA43" s="98">
        <f t="shared" si="16"/>
        <v>0.1225</v>
      </c>
    </row>
    <row r="44" spans="2:29" outlineLevel="1" x14ac:dyDescent="0.3">
      <c r="B44" s="181"/>
      <c r="C44" s="133" t="s">
        <v>35</v>
      </c>
      <c r="D44" s="97">
        <f t="shared" ref="D44:AA44" si="17">D43*D4</f>
        <v>75.06</v>
      </c>
      <c r="E44" s="97">
        <f t="shared" si="17"/>
        <v>79.38</v>
      </c>
      <c r="F44" s="97">
        <f t="shared" si="17"/>
        <v>91.14</v>
      </c>
      <c r="G44" s="97">
        <f t="shared" si="17"/>
        <v>92.820000000000007</v>
      </c>
      <c r="H44" s="97">
        <f t="shared" si="17"/>
        <v>76.86</v>
      </c>
      <c r="I44" s="97">
        <f t="shared" si="17"/>
        <v>55.440000000000012</v>
      </c>
      <c r="J44" s="97">
        <f t="shared" si="17"/>
        <v>62.999999999999993</v>
      </c>
      <c r="K44" s="97">
        <f t="shared" si="17"/>
        <v>68.08</v>
      </c>
      <c r="L44" s="97">
        <f t="shared" si="17"/>
        <v>85.68</v>
      </c>
      <c r="M44" s="97">
        <f t="shared" si="17"/>
        <v>102.48</v>
      </c>
      <c r="N44" s="97">
        <f t="shared" si="17"/>
        <v>85.26</v>
      </c>
      <c r="O44" s="97">
        <f t="shared" si="17"/>
        <v>88.199999999999989</v>
      </c>
      <c r="P44" s="97">
        <f t="shared" si="17"/>
        <v>83.16</v>
      </c>
      <c r="Q44" s="97">
        <f t="shared" si="17"/>
        <v>73.92</v>
      </c>
      <c r="R44" s="97">
        <f t="shared" si="17"/>
        <v>92.82</v>
      </c>
      <c r="S44" s="97">
        <f t="shared" si="17"/>
        <v>110.04900000000001</v>
      </c>
      <c r="T44" s="97">
        <f t="shared" si="17"/>
        <v>97.860000000000014</v>
      </c>
      <c r="U44" s="97">
        <f>U43*U4</f>
        <v>92.399999999999991</v>
      </c>
      <c r="V44" s="97">
        <f t="shared" si="17"/>
        <v>75.599999999999994</v>
      </c>
      <c r="W44" s="97">
        <f t="shared" si="17"/>
        <v>81.06</v>
      </c>
      <c r="X44" s="97">
        <f t="shared" si="17"/>
        <v>102.96</v>
      </c>
      <c r="Y44" s="97">
        <f t="shared" si="17"/>
        <v>75.179999999999993</v>
      </c>
      <c r="Z44" s="97">
        <f t="shared" si="17"/>
        <v>107.10000000000001</v>
      </c>
      <c r="AA44" s="97">
        <f t="shared" si="17"/>
        <v>91.14</v>
      </c>
    </row>
    <row r="45" spans="2:29" outlineLevel="1" x14ac:dyDescent="0.3">
      <c r="B45" s="181"/>
      <c r="C45" s="129" t="s">
        <v>36</v>
      </c>
      <c r="D45" s="39">
        <f t="shared" ref="D45:AA45" si="18">D44*1.1</f>
        <v>82.566000000000003</v>
      </c>
      <c r="E45" s="39">
        <f t="shared" si="18"/>
        <v>87.317999999999998</v>
      </c>
      <c r="F45" s="39">
        <f t="shared" si="18"/>
        <v>100.254</v>
      </c>
      <c r="G45" s="39">
        <f t="shared" si="18"/>
        <v>102.10200000000002</v>
      </c>
      <c r="H45" s="39">
        <f t="shared" si="18"/>
        <v>84.546000000000006</v>
      </c>
      <c r="I45" s="39">
        <f t="shared" si="18"/>
        <v>60.984000000000016</v>
      </c>
      <c r="J45" s="39">
        <f t="shared" si="18"/>
        <v>69.3</v>
      </c>
      <c r="K45" s="39">
        <f t="shared" si="18"/>
        <v>74.888000000000005</v>
      </c>
      <c r="L45" s="39">
        <f t="shared" si="18"/>
        <v>94.248000000000019</v>
      </c>
      <c r="M45" s="39">
        <f t="shared" si="18"/>
        <v>112.72800000000001</v>
      </c>
      <c r="N45" s="39">
        <f t="shared" si="18"/>
        <v>93.786000000000016</v>
      </c>
      <c r="O45" s="39">
        <f t="shared" si="18"/>
        <v>97.02</v>
      </c>
      <c r="P45" s="39">
        <f t="shared" si="18"/>
        <v>91.475999999999999</v>
      </c>
      <c r="Q45" s="39">
        <f t="shared" si="18"/>
        <v>81.312000000000012</v>
      </c>
      <c r="R45" s="39">
        <f t="shared" si="18"/>
        <v>102.102</v>
      </c>
      <c r="S45" s="39">
        <f t="shared" si="18"/>
        <v>121.05390000000001</v>
      </c>
      <c r="T45" s="39">
        <f t="shared" si="18"/>
        <v>107.64600000000003</v>
      </c>
      <c r="U45" s="39">
        <f t="shared" si="18"/>
        <v>101.64</v>
      </c>
      <c r="V45" s="39">
        <f t="shared" si="18"/>
        <v>83.16</v>
      </c>
      <c r="W45" s="39">
        <f t="shared" si="18"/>
        <v>89.166000000000011</v>
      </c>
      <c r="X45" s="39">
        <f t="shared" si="18"/>
        <v>113.256</v>
      </c>
      <c r="Y45" s="39">
        <f t="shared" si="18"/>
        <v>82.697999999999993</v>
      </c>
      <c r="Z45" s="39">
        <f t="shared" si="18"/>
        <v>117.81000000000002</v>
      </c>
      <c r="AA45" s="39">
        <f t="shared" si="18"/>
        <v>100.254</v>
      </c>
    </row>
    <row r="46" spans="2:29" outlineLevel="1" x14ac:dyDescent="0.3">
      <c r="B46" s="181"/>
      <c r="C46" s="129" t="s">
        <v>37</v>
      </c>
      <c r="D46" s="40">
        <f t="shared" ref="D46:AA46" si="19">D44*0.9</f>
        <v>67.554000000000002</v>
      </c>
      <c r="E46" s="40">
        <f t="shared" si="19"/>
        <v>71.441999999999993</v>
      </c>
      <c r="F46" s="40">
        <f t="shared" si="19"/>
        <v>82.025999999999996</v>
      </c>
      <c r="G46" s="40">
        <f t="shared" si="19"/>
        <v>83.538000000000011</v>
      </c>
      <c r="H46" s="40">
        <f t="shared" si="19"/>
        <v>69.174000000000007</v>
      </c>
      <c r="I46" s="40">
        <f t="shared" si="19"/>
        <v>49.896000000000015</v>
      </c>
      <c r="J46" s="40">
        <f t="shared" si="19"/>
        <v>56.699999999999996</v>
      </c>
      <c r="K46" s="40">
        <f t="shared" si="19"/>
        <v>61.271999999999998</v>
      </c>
      <c r="L46" s="40">
        <f t="shared" si="19"/>
        <v>77.112000000000009</v>
      </c>
      <c r="M46" s="40">
        <f t="shared" si="19"/>
        <v>92.231999999999999</v>
      </c>
      <c r="N46" s="40">
        <f t="shared" si="19"/>
        <v>76.734000000000009</v>
      </c>
      <c r="O46" s="40">
        <f t="shared" si="19"/>
        <v>79.38</v>
      </c>
      <c r="P46" s="40">
        <f t="shared" si="19"/>
        <v>74.843999999999994</v>
      </c>
      <c r="Q46" s="40">
        <f t="shared" si="19"/>
        <v>66.528000000000006</v>
      </c>
      <c r="R46" s="40">
        <f t="shared" si="19"/>
        <v>83.537999999999997</v>
      </c>
      <c r="S46" s="40">
        <f t="shared" si="19"/>
        <v>99.044100000000014</v>
      </c>
      <c r="T46" s="40">
        <f t="shared" si="19"/>
        <v>88.074000000000012</v>
      </c>
      <c r="U46" s="40">
        <f t="shared" si="19"/>
        <v>83.16</v>
      </c>
      <c r="V46" s="40">
        <f t="shared" si="19"/>
        <v>68.039999999999992</v>
      </c>
      <c r="W46" s="40">
        <f t="shared" si="19"/>
        <v>72.954000000000008</v>
      </c>
      <c r="X46" s="40">
        <f t="shared" si="19"/>
        <v>92.664000000000001</v>
      </c>
      <c r="Y46" s="40">
        <f t="shared" si="19"/>
        <v>67.661999999999992</v>
      </c>
      <c r="Z46" s="40">
        <f t="shared" si="19"/>
        <v>96.390000000000015</v>
      </c>
      <c r="AA46" s="40">
        <f t="shared" si="19"/>
        <v>82.025999999999996</v>
      </c>
    </row>
    <row r="47" spans="2:29" ht="9.75" customHeight="1" x14ac:dyDescent="0.3">
      <c r="B47" s="18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41"/>
    </row>
    <row r="48" spans="2:29" x14ac:dyDescent="0.3">
      <c r="B48" s="181"/>
      <c r="C48" s="129" t="s">
        <v>38</v>
      </c>
      <c r="D48" s="43">
        <f t="shared" ref="D48:O48" si="20">D44</f>
        <v>75.06</v>
      </c>
      <c r="E48" s="43">
        <f t="shared" si="20"/>
        <v>79.38</v>
      </c>
      <c r="F48" s="43">
        <f t="shared" si="20"/>
        <v>91.14</v>
      </c>
      <c r="G48" s="43">
        <f t="shared" si="20"/>
        <v>92.820000000000007</v>
      </c>
      <c r="H48" s="43">
        <f t="shared" si="20"/>
        <v>76.86</v>
      </c>
      <c r="I48" s="43">
        <f t="shared" si="20"/>
        <v>55.440000000000012</v>
      </c>
      <c r="J48" s="43">
        <f t="shared" si="20"/>
        <v>62.999999999999993</v>
      </c>
      <c r="K48" s="43">
        <f t="shared" si="20"/>
        <v>68.08</v>
      </c>
      <c r="L48" s="43">
        <f t="shared" si="20"/>
        <v>85.68</v>
      </c>
      <c r="M48" s="43">
        <f t="shared" si="20"/>
        <v>102.48</v>
      </c>
      <c r="N48" s="43">
        <f t="shared" si="20"/>
        <v>85.26</v>
      </c>
      <c r="O48" s="43">
        <f t="shared" si="20"/>
        <v>88.199999999999989</v>
      </c>
      <c r="P48" s="43">
        <f>P44</f>
        <v>83.16</v>
      </c>
      <c r="Q48" s="43">
        <f t="shared" ref="Q48:AA48" si="21">Q44</f>
        <v>73.92</v>
      </c>
      <c r="R48" s="43">
        <f t="shared" si="21"/>
        <v>92.82</v>
      </c>
      <c r="S48" s="43">
        <f t="shared" si="21"/>
        <v>110.04900000000001</v>
      </c>
      <c r="T48" s="43">
        <f t="shared" si="21"/>
        <v>97.860000000000014</v>
      </c>
      <c r="U48" s="43">
        <f t="shared" si="21"/>
        <v>92.399999999999991</v>
      </c>
      <c r="V48" s="43">
        <f t="shared" si="21"/>
        <v>75.599999999999994</v>
      </c>
      <c r="W48" s="43">
        <f t="shared" si="21"/>
        <v>81.06</v>
      </c>
      <c r="X48" s="43">
        <f t="shared" si="21"/>
        <v>102.96</v>
      </c>
      <c r="Y48" s="43">
        <f t="shared" si="21"/>
        <v>75.179999999999993</v>
      </c>
      <c r="Z48" s="43">
        <f t="shared" si="21"/>
        <v>107.10000000000001</v>
      </c>
      <c r="AA48" s="43">
        <f t="shared" si="21"/>
        <v>91.14</v>
      </c>
    </row>
    <row r="49" spans="2:29" x14ac:dyDescent="0.3">
      <c r="B49" s="181"/>
      <c r="C49" s="129" t="s">
        <v>39</v>
      </c>
      <c r="D49" s="127">
        <f>'SIMULAÇÃO CENÁRIOS'!$E$6</f>
        <v>175</v>
      </c>
      <c r="E49" s="127">
        <f>'SIMULAÇÃO CENÁRIOS'!$E$6</f>
        <v>175</v>
      </c>
      <c r="F49" s="127">
        <f>'SIMULAÇÃO CENÁRIOS'!$E$6</f>
        <v>175</v>
      </c>
      <c r="G49" s="127">
        <f>'SIMULAÇÃO CENÁRIOS'!$E$6</f>
        <v>175</v>
      </c>
      <c r="H49" s="127">
        <f>'SIMULAÇÃO CENÁRIOS'!$E$6</f>
        <v>175</v>
      </c>
      <c r="I49" s="127">
        <f>'SIMULAÇÃO CENÁRIOS'!$E$6</f>
        <v>175</v>
      </c>
      <c r="J49" s="127">
        <f>'SIMULAÇÃO CENÁRIOS'!$E$6</f>
        <v>175</v>
      </c>
      <c r="K49" s="127">
        <f>'SIMULAÇÃO CENÁRIOS'!$E$6</f>
        <v>175</v>
      </c>
      <c r="L49" s="127">
        <f>'SIMULAÇÃO CENÁRIOS'!$E$6</f>
        <v>175</v>
      </c>
      <c r="M49" s="127">
        <f>'SIMULAÇÃO CENÁRIOS'!$E$6</f>
        <v>175</v>
      </c>
      <c r="N49" s="127">
        <f>'SIMULAÇÃO CENÁRIOS'!$E$6</f>
        <v>175</v>
      </c>
      <c r="O49" s="127">
        <f>'SIMULAÇÃO CENÁRIOS'!$E$6</f>
        <v>175</v>
      </c>
      <c r="P49" s="127">
        <f>'SIMULAÇÃO CENÁRIOS'!$E$6</f>
        <v>175</v>
      </c>
      <c r="Q49" s="127">
        <f>'SIMULAÇÃO CENÁRIOS'!$E$6</f>
        <v>175</v>
      </c>
      <c r="R49" s="127">
        <f>'SIMULAÇÃO CENÁRIOS'!$E$6</f>
        <v>175</v>
      </c>
      <c r="S49" s="127">
        <f>'SIMULAÇÃO CENÁRIOS'!$E$6</f>
        <v>175</v>
      </c>
      <c r="T49" s="127">
        <f>'SIMULAÇÃO CENÁRIOS'!$E$6</f>
        <v>175</v>
      </c>
      <c r="U49" s="127">
        <f>'SIMULAÇÃO CENÁRIOS'!$E$6</f>
        <v>175</v>
      </c>
      <c r="V49" s="127">
        <f>'SIMULAÇÃO CENÁRIOS'!$E$6</f>
        <v>175</v>
      </c>
      <c r="W49" s="127">
        <f>'SIMULAÇÃO CENÁRIOS'!$E$6</f>
        <v>175</v>
      </c>
      <c r="X49" s="127">
        <f>'SIMULAÇÃO CENÁRIOS'!$E$6</f>
        <v>175</v>
      </c>
      <c r="Y49" s="127">
        <f>'SIMULAÇÃO CENÁRIOS'!$E$6</f>
        <v>175</v>
      </c>
      <c r="Z49" s="127">
        <f>'SIMULAÇÃO CENÁRIOS'!$E$6</f>
        <v>175</v>
      </c>
      <c r="AA49" s="127">
        <f>'SIMULAÇÃO CENÁRIOS'!$E$6</f>
        <v>175</v>
      </c>
    </row>
    <row r="50" spans="2:29" x14ac:dyDescent="0.3">
      <c r="B50" s="181"/>
      <c r="C50" s="129" t="s">
        <v>40</v>
      </c>
      <c r="D50" s="44">
        <f t="shared" ref="D50:O50" si="22">D48*D49/(1-$P$27)</f>
        <v>17993.835616438355</v>
      </c>
      <c r="E50" s="44">
        <f t="shared" si="22"/>
        <v>19029.452054794521</v>
      </c>
      <c r="F50" s="44">
        <f t="shared" si="22"/>
        <v>21848.630136986303</v>
      </c>
      <c r="G50" s="44">
        <f t="shared" si="22"/>
        <v>22251.369863013701</v>
      </c>
      <c r="H50" s="44">
        <f t="shared" si="22"/>
        <v>18425.342465753423</v>
      </c>
      <c r="I50" s="44">
        <f t="shared" si="22"/>
        <v>13290.410958904113</v>
      </c>
      <c r="J50" s="44">
        <f t="shared" si="22"/>
        <v>15102.739726027396</v>
      </c>
      <c r="K50" s="44">
        <f t="shared" si="22"/>
        <v>16320.547945205481</v>
      </c>
      <c r="L50" s="44">
        <f t="shared" si="22"/>
        <v>20539.726027397264</v>
      </c>
      <c r="M50" s="44">
        <f t="shared" si="22"/>
        <v>24567.123287671235</v>
      </c>
      <c r="N50" s="44">
        <f t="shared" si="22"/>
        <v>20439.04109589041</v>
      </c>
      <c r="O50" s="44">
        <f t="shared" si="22"/>
        <v>21143.835616438355</v>
      </c>
      <c r="P50" s="44">
        <f>P48*P49/(1-$P$27)</f>
        <v>19935.616438356166</v>
      </c>
      <c r="Q50" s="44">
        <f t="shared" ref="Q50:AA50" si="23">Q48*Q49/(1-$P$27)</f>
        <v>17720.547945205479</v>
      </c>
      <c r="R50" s="44">
        <f t="shared" si="23"/>
        <v>22251.369863013697</v>
      </c>
      <c r="S50" s="44">
        <f t="shared" si="23"/>
        <v>26381.609589041098</v>
      </c>
      <c r="T50" s="44">
        <f t="shared" si="23"/>
        <v>23459.589041095896</v>
      </c>
      <c r="U50" s="44">
        <f t="shared" si="23"/>
        <v>22150.684931506847</v>
      </c>
      <c r="V50" s="44">
        <f t="shared" si="23"/>
        <v>18123.287671232876</v>
      </c>
      <c r="W50" s="44">
        <f t="shared" si="23"/>
        <v>19432.191780821919</v>
      </c>
      <c r="X50" s="44">
        <f t="shared" si="23"/>
        <v>24682.191780821919</v>
      </c>
      <c r="Y50" s="44">
        <f t="shared" si="23"/>
        <v>18022.602739726026</v>
      </c>
      <c r="Z50" s="44">
        <f t="shared" si="23"/>
        <v>25674.657534246577</v>
      </c>
      <c r="AA50" s="44">
        <f t="shared" si="23"/>
        <v>21848.630136986303</v>
      </c>
    </row>
    <row r="51" spans="2:29" ht="9.75" customHeight="1" thickBot="1" x14ac:dyDescent="0.35">
      <c r="B51" s="18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45"/>
    </row>
    <row r="52" spans="2:29" ht="22.5" customHeight="1" thickBot="1" x14ac:dyDescent="0.35">
      <c r="B52" s="181"/>
      <c r="C52" s="134" t="s">
        <v>98</v>
      </c>
      <c r="D52" s="46">
        <f t="shared" ref="D52:O52" si="24">+D50+D37+D36</f>
        <v>60037.568557614832</v>
      </c>
      <c r="E52" s="46">
        <f t="shared" si="24"/>
        <v>61602.956760676883</v>
      </c>
      <c r="F52" s="46">
        <f t="shared" si="24"/>
        <v>70346.815431103954</v>
      </c>
      <c r="G52" s="46">
        <f t="shared" si="24"/>
        <v>67967.228098307824</v>
      </c>
      <c r="H52" s="46">
        <f t="shared" si="24"/>
        <v>59195.638936341667</v>
      </c>
      <c r="I52" s="46">
        <f t="shared" si="24"/>
        <v>44710.136253021767</v>
      </c>
      <c r="J52" s="46">
        <f t="shared" si="24"/>
        <v>51932.0897260274</v>
      </c>
      <c r="K52" s="46">
        <f t="shared" si="24"/>
        <v>55267.045004029016</v>
      </c>
      <c r="L52" s="46">
        <f t="shared" si="24"/>
        <v>66874.163968573732</v>
      </c>
      <c r="M52" s="46">
        <f t="shared" si="24"/>
        <v>77444.308875906529</v>
      </c>
      <c r="N52" s="46">
        <f t="shared" si="24"/>
        <v>62986.536684125706</v>
      </c>
      <c r="O52" s="46">
        <f t="shared" si="24"/>
        <v>68534.394439967771</v>
      </c>
      <c r="P52" s="46">
        <f>+P50+P37+P36</f>
        <v>62225.584085414986</v>
      </c>
      <c r="Q52" s="46">
        <f t="shared" ref="Q52:AA52" si="25">+Q50+Q37+Q36</f>
        <v>55141.955886381955</v>
      </c>
      <c r="R52" s="46">
        <f t="shared" si="25"/>
        <v>70955.57751007253</v>
      </c>
      <c r="S52" s="46">
        <f t="shared" si="25"/>
        <v>80934.086809629342</v>
      </c>
      <c r="T52" s="46">
        <f t="shared" si="25"/>
        <v>71287.689041095902</v>
      </c>
      <c r="U52" s="46">
        <f t="shared" si="25"/>
        <v>70803.386990330371</v>
      </c>
      <c r="V52" s="46">
        <f t="shared" si="25"/>
        <v>60233.242082997582</v>
      </c>
      <c r="W52" s="46">
        <f t="shared" si="25"/>
        <v>65200.068251410157</v>
      </c>
      <c r="X52" s="46">
        <f t="shared" si="25"/>
        <v>76124.06619258663</v>
      </c>
      <c r="Y52" s="46">
        <f t="shared" si="25"/>
        <v>57839.789504431916</v>
      </c>
      <c r="Z52" s="46">
        <f t="shared" si="25"/>
        <v>79118.404593070096</v>
      </c>
      <c r="AA52" s="46">
        <f t="shared" si="25"/>
        <v>68105.553372280425</v>
      </c>
      <c r="AC52" s="47">
        <f>SUM(D52:AA52)</f>
        <v>1564868.287055399</v>
      </c>
    </row>
    <row r="53" spans="2:29" x14ac:dyDescent="0.3">
      <c r="B53" s="181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100"/>
    </row>
    <row r="54" spans="2:29" ht="50.25" customHeight="1" x14ac:dyDescent="0.3">
      <c r="B54" s="181"/>
      <c r="C54" s="172" t="s">
        <v>99</v>
      </c>
      <c r="D54" s="172"/>
      <c r="E54" s="172"/>
      <c r="F54" s="172"/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172"/>
      <c r="R54" s="172"/>
      <c r="S54" s="172"/>
      <c r="T54" s="172"/>
      <c r="U54" s="172"/>
      <c r="V54" s="172"/>
      <c r="W54" s="172"/>
      <c r="X54" s="172"/>
      <c r="Y54" s="172"/>
      <c r="Z54" s="172"/>
      <c r="AA54" s="173"/>
    </row>
    <row r="55" spans="2:29" x14ac:dyDescent="0.3">
      <c r="B55" s="181"/>
      <c r="C55" s="129" t="s">
        <v>101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3">
        <v>0</v>
      </c>
      <c r="R55" s="43">
        <v>0</v>
      </c>
      <c r="S55" s="43">
        <v>0</v>
      </c>
      <c r="T55" s="43">
        <v>0</v>
      </c>
      <c r="U55" s="43">
        <v>0</v>
      </c>
      <c r="V55" s="43">
        <v>0</v>
      </c>
      <c r="W55" s="43">
        <v>0</v>
      </c>
      <c r="X55" s="43">
        <v>0</v>
      </c>
      <c r="Y55" s="43">
        <v>0</v>
      </c>
      <c r="Z55" s="43">
        <v>0</v>
      </c>
      <c r="AA55" s="43">
        <v>0</v>
      </c>
    </row>
    <row r="56" spans="2:29" x14ac:dyDescent="0.3">
      <c r="B56" s="181"/>
      <c r="C56" s="129" t="s">
        <v>102</v>
      </c>
      <c r="D56" s="17">
        <f t="shared" ref="D56:O56" si="26">D9*D21+D11*D21*2</f>
        <v>9630</v>
      </c>
      <c r="E56" s="17">
        <f t="shared" si="26"/>
        <v>9630</v>
      </c>
      <c r="F56" s="17">
        <f t="shared" si="26"/>
        <v>9630</v>
      </c>
      <c r="G56" s="17">
        <f t="shared" si="26"/>
        <v>9630</v>
      </c>
      <c r="H56" s="17">
        <f t="shared" si="26"/>
        <v>9630</v>
      </c>
      <c r="I56" s="17">
        <f t="shared" si="26"/>
        <v>9630</v>
      </c>
      <c r="J56" s="17">
        <f t="shared" si="26"/>
        <v>9630</v>
      </c>
      <c r="K56" s="17">
        <f t="shared" si="26"/>
        <v>9630</v>
      </c>
      <c r="L56" s="17">
        <f t="shared" si="26"/>
        <v>9630</v>
      </c>
      <c r="M56" s="17">
        <f t="shared" si="26"/>
        <v>9630</v>
      </c>
      <c r="N56" s="17">
        <f t="shared" si="26"/>
        <v>9630</v>
      </c>
      <c r="O56" s="17">
        <f t="shared" si="26"/>
        <v>9630</v>
      </c>
      <c r="P56" s="17">
        <f>P9*P21+P11*P21*2</f>
        <v>9630</v>
      </c>
      <c r="Q56" s="18">
        <f t="shared" ref="Q56:AA56" si="27">Q9*Q21+Q11*Q21*2</f>
        <v>9630</v>
      </c>
      <c r="R56" s="18">
        <f t="shared" si="27"/>
        <v>9630</v>
      </c>
      <c r="S56" s="18">
        <f t="shared" si="27"/>
        <v>9630</v>
      </c>
      <c r="T56" s="18">
        <f t="shared" si="27"/>
        <v>9630</v>
      </c>
      <c r="U56" s="18">
        <f t="shared" si="27"/>
        <v>9630</v>
      </c>
      <c r="V56" s="18">
        <f t="shared" si="27"/>
        <v>9630</v>
      </c>
      <c r="W56" s="18">
        <f t="shared" si="27"/>
        <v>9630</v>
      </c>
      <c r="X56" s="18">
        <f t="shared" si="27"/>
        <v>9630</v>
      </c>
      <c r="Y56" s="18">
        <f t="shared" si="27"/>
        <v>9630</v>
      </c>
      <c r="Z56" s="18">
        <f t="shared" si="27"/>
        <v>9630</v>
      </c>
      <c r="AA56" s="18">
        <f t="shared" si="27"/>
        <v>9630</v>
      </c>
    </row>
    <row r="57" spans="2:29" x14ac:dyDescent="0.3">
      <c r="B57" s="181"/>
      <c r="C57" s="129" t="s">
        <v>103</v>
      </c>
      <c r="D57" s="102">
        <f t="shared" ref="D57:O58" si="28">D12*D22</f>
        <v>13576.08</v>
      </c>
      <c r="E57" s="102">
        <f t="shared" si="28"/>
        <v>13576.08</v>
      </c>
      <c r="F57" s="102">
        <f t="shared" si="28"/>
        <v>16834.339199999999</v>
      </c>
      <c r="G57" s="102">
        <f t="shared" si="28"/>
        <v>14662.1664</v>
      </c>
      <c r="H57" s="102">
        <f t="shared" si="28"/>
        <v>12489.9936</v>
      </c>
      <c r="I57" s="102">
        <f t="shared" si="28"/>
        <v>7602.6048000000001</v>
      </c>
      <c r="J57" s="102">
        <f t="shared" si="28"/>
        <v>10860.864000000001</v>
      </c>
      <c r="K57" s="102">
        <f t="shared" si="28"/>
        <v>11946.9504</v>
      </c>
      <c r="L57" s="102">
        <f t="shared" si="28"/>
        <v>15748.2528</v>
      </c>
      <c r="M57" s="102">
        <f t="shared" si="28"/>
        <v>19006.511999999999</v>
      </c>
      <c r="N57" s="102">
        <f t="shared" si="28"/>
        <v>13033.0368</v>
      </c>
      <c r="O57" s="102">
        <f t="shared" si="28"/>
        <v>16291.296</v>
      </c>
      <c r="P57" s="102">
        <f>P12*P22</f>
        <v>13033.0368</v>
      </c>
      <c r="Q57" s="103">
        <f t="shared" ref="Q57:AA58" si="29">Q12*Q22</f>
        <v>10317.820800000001</v>
      </c>
      <c r="R57" s="103">
        <f t="shared" si="29"/>
        <v>16834.339199999999</v>
      </c>
      <c r="S57" s="103">
        <f t="shared" si="29"/>
        <v>19549.555199999999</v>
      </c>
      <c r="T57" s="103">
        <f t="shared" si="29"/>
        <v>15748.2528</v>
      </c>
      <c r="U57" s="103">
        <f t="shared" si="29"/>
        <v>16834.339199999999</v>
      </c>
      <c r="V57" s="103">
        <f t="shared" si="29"/>
        <v>13576.08</v>
      </c>
      <c r="W57" s="103">
        <f t="shared" si="29"/>
        <v>15748.2528</v>
      </c>
      <c r="X57" s="103">
        <f t="shared" si="29"/>
        <v>17920.425599999999</v>
      </c>
      <c r="Y57" s="103">
        <f t="shared" si="29"/>
        <v>11946.9504</v>
      </c>
      <c r="Z57" s="103">
        <f t="shared" si="29"/>
        <v>19006.511999999999</v>
      </c>
      <c r="AA57" s="103">
        <f t="shared" si="29"/>
        <v>15205.2096</v>
      </c>
    </row>
    <row r="58" spans="2:29" x14ac:dyDescent="0.3">
      <c r="B58" s="181"/>
      <c r="C58" s="129" t="s">
        <v>104</v>
      </c>
      <c r="D58" s="17">
        <f t="shared" si="28"/>
        <v>5383.6584000000003</v>
      </c>
      <c r="E58" s="17">
        <f t="shared" si="28"/>
        <v>5743.9031999999997</v>
      </c>
      <c r="F58" s="17">
        <f t="shared" si="28"/>
        <v>6514.4268000000002</v>
      </c>
      <c r="G58" s="17">
        <f t="shared" si="28"/>
        <v>6794.6172000000006</v>
      </c>
      <c r="H58" s="17">
        <f t="shared" si="28"/>
        <v>5603.808</v>
      </c>
      <c r="I58" s="17">
        <f t="shared" si="28"/>
        <v>4132.8083999999999</v>
      </c>
      <c r="J58" s="17">
        <f t="shared" si="28"/>
        <v>4553.0940000000001</v>
      </c>
      <c r="K58" s="17">
        <f t="shared" si="28"/>
        <v>4906.6676000000007</v>
      </c>
      <c r="L58" s="17">
        <f t="shared" si="28"/>
        <v>6129.165</v>
      </c>
      <c r="M58" s="17">
        <f t="shared" si="28"/>
        <v>7319.9742000000006</v>
      </c>
      <c r="N58" s="17">
        <f t="shared" si="28"/>
        <v>6269.2602000000006</v>
      </c>
      <c r="O58" s="17">
        <f t="shared" si="28"/>
        <v>6304.2839999999997</v>
      </c>
      <c r="P58" s="17">
        <f>P13*P23</f>
        <v>6094.1412</v>
      </c>
      <c r="Q58" s="18">
        <f t="shared" si="29"/>
        <v>5498.7366000000002</v>
      </c>
      <c r="R58" s="18">
        <f t="shared" si="29"/>
        <v>6654.5219999999999</v>
      </c>
      <c r="S58" s="18">
        <f t="shared" si="29"/>
        <v>7916.1293100000003</v>
      </c>
      <c r="T58" s="18">
        <f t="shared" si="29"/>
        <v>7144.8552000000009</v>
      </c>
      <c r="U58" s="18">
        <f t="shared" si="29"/>
        <v>6619.4982</v>
      </c>
      <c r="V58" s="18">
        <f t="shared" si="29"/>
        <v>5428.6889999999994</v>
      </c>
      <c r="W58" s="18">
        <f t="shared" si="29"/>
        <v>5743.9031999999997</v>
      </c>
      <c r="X58" s="18">
        <f t="shared" si="29"/>
        <v>7430.049</v>
      </c>
      <c r="Y58" s="18">
        <f t="shared" si="29"/>
        <v>5498.7366000000002</v>
      </c>
      <c r="Z58" s="18">
        <f t="shared" si="29"/>
        <v>7705.2360000000008</v>
      </c>
      <c r="AA58" s="18">
        <f t="shared" si="29"/>
        <v>6619.4982</v>
      </c>
    </row>
    <row r="59" spans="2:29" x14ac:dyDescent="0.3">
      <c r="B59" s="181"/>
      <c r="C59" s="129" t="s">
        <v>105</v>
      </c>
      <c r="D59" s="102">
        <f t="shared" ref="D59:O60" si="30">D12*D24</f>
        <v>4417.1400000000003</v>
      </c>
      <c r="E59" s="102">
        <f t="shared" si="30"/>
        <v>4417.1400000000003</v>
      </c>
      <c r="F59" s="102">
        <f t="shared" si="30"/>
        <v>5477.2536</v>
      </c>
      <c r="G59" s="102">
        <f t="shared" si="30"/>
        <v>4770.5111999999999</v>
      </c>
      <c r="H59" s="102">
        <f t="shared" si="30"/>
        <v>4063.7688000000003</v>
      </c>
      <c r="I59" s="102">
        <f t="shared" si="30"/>
        <v>2473.5983999999999</v>
      </c>
      <c r="J59" s="102">
        <f t="shared" si="30"/>
        <v>3533.712</v>
      </c>
      <c r="K59" s="102">
        <f t="shared" si="30"/>
        <v>3887.0832</v>
      </c>
      <c r="L59" s="102">
        <f t="shared" si="30"/>
        <v>5123.8824000000004</v>
      </c>
      <c r="M59" s="102">
        <f t="shared" si="30"/>
        <v>6183.9960000000001</v>
      </c>
      <c r="N59" s="102">
        <f t="shared" si="30"/>
        <v>4240.4544000000005</v>
      </c>
      <c r="O59" s="102">
        <f t="shared" si="30"/>
        <v>5300.5680000000002</v>
      </c>
      <c r="P59" s="102">
        <f>P12*P24</f>
        <v>4240.4544000000005</v>
      </c>
      <c r="Q59" s="103">
        <f t="shared" ref="Q59:AA60" si="31">Q12*Q24</f>
        <v>3357.0264000000002</v>
      </c>
      <c r="R59" s="103">
        <f t="shared" si="31"/>
        <v>5477.2536</v>
      </c>
      <c r="S59" s="103">
        <f t="shared" si="31"/>
        <v>6360.6815999999999</v>
      </c>
      <c r="T59" s="103">
        <f t="shared" si="31"/>
        <v>5123.8824000000004</v>
      </c>
      <c r="U59" s="103">
        <f t="shared" si="31"/>
        <v>5477.2536</v>
      </c>
      <c r="V59" s="103">
        <f t="shared" si="31"/>
        <v>4417.1400000000003</v>
      </c>
      <c r="W59" s="103">
        <f t="shared" si="31"/>
        <v>5123.8824000000004</v>
      </c>
      <c r="X59" s="103">
        <f t="shared" si="31"/>
        <v>5830.6247999999996</v>
      </c>
      <c r="Y59" s="103">
        <f t="shared" si="31"/>
        <v>3887.0832</v>
      </c>
      <c r="Z59" s="103">
        <f t="shared" si="31"/>
        <v>6183.9960000000001</v>
      </c>
      <c r="AA59" s="103">
        <f t="shared" si="31"/>
        <v>4947.1967999999997</v>
      </c>
    </row>
    <row r="60" spans="2:29" x14ac:dyDescent="0.3">
      <c r="B60" s="181"/>
      <c r="C60" s="129" t="s">
        <v>106</v>
      </c>
      <c r="D60" s="17">
        <f t="shared" si="30"/>
        <v>16232.966400000001</v>
      </c>
      <c r="E60" s="17">
        <f t="shared" si="30"/>
        <v>17319.1872</v>
      </c>
      <c r="F60" s="17">
        <f t="shared" si="30"/>
        <v>19642.4928</v>
      </c>
      <c r="G60" s="17">
        <f t="shared" si="30"/>
        <v>20487.331200000001</v>
      </c>
      <c r="H60" s="17">
        <f t="shared" si="30"/>
        <v>16896.768</v>
      </c>
      <c r="I60" s="17">
        <f t="shared" si="30"/>
        <v>12461.366400000001</v>
      </c>
      <c r="J60" s="17">
        <f t="shared" si="30"/>
        <v>13728.624</v>
      </c>
      <c r="K60" s="17">
        <f t="shared" si="30"/>
        <v>14794.729600000001</v>
      </c>
      <c r="L60" s="17">
        <f t="shared" si="30"/>
        <v>18480.84</v>
      </c>
      <c r="M60" s="17">
        <f t="shared" si="30"/>
        <v>22071.403200000001</v>
      </c>
      <c r="N60" s="17">
        <f t="shared" si="30"/>
        <v>18903.2592</v>
      </c>
      <c r="O60" s="17">
        <f t="shared" si="30"/>
        <v>19008.863999999998</v>
      </c>
      <c r="P60" s="17">
        <f>P13*P25</f>
        <v>18375.235199999999</v>
      </c>
      <c r="Q60" s="18">
        <f t="shared" si="31"/>
        <v>16579.953600000001</v>
      </c>
      <c r="R60" s="18">
        <f t="shared" si="31"/>
        <v>20064.912</v>
      </c>
      <c r="S60" s="18">
        <f t="shared" si="31"/>
        <v>23868.947759999999</v>
      </c>
      <c r="T60" s="18">
        <f t="shared" si="31"/>
        <v>21543.379200000003</v>
      </c>
      <c r="U60" s="18">
        <f t="shared" si="31"/>
        <v>19959.307199999999</v>
      </c>
      <c r="V60" s="18">
        <f t="shared" si="31"/>
        <v>16368.743999999999</v>
      </c>
      <c r="W60" s="18">
        <f t="shared" si="31"/>
        <v>17319.1872</v>
      </c>
      <c r="X60" s="18">
        <f t="shared" si="31"/>
        <v>22403.304</v>
      </c>
      <c r="Y60" s="18">
        <f t="shared" si="31"/>
        <v>16579.953600000001</v>
      </c>
      <c r="Z60" s="18">
        <f t="shared" si="31"/>
        <v>23233.056</v>
      </c>
      <c r="AA60" s="18">
        <f t="shared" si="31"/>
        <v>19959.307199999999</v>
      </c>
    </row>
    <row r="61" spans="2:29" x14ac:dyDescent="0.3">
      <c r="B61" s="181"/>
      <c r="C61" s="130" t="s">
        <v>107</v>
      </c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103"/>
    </row>
    <row r="62" spans="2:29" x14ac:dyDescent="0.3">
      <c r="B62" s="181"/>
      <c r="C62" s="130" t="s">
        <v>110</v>
      </c>
      <c r="D62" s="21">
        <f t="shared" ref="D62:O62" si="32">SUM(D55:D61)/(1-SUM(D27:D28))*SUM(D27:D28)</f>
        <v>23171.691670588243</v>
      </c>
      <c r="E62" s="21">
        <f t="shared" si="32"/>
        <v>23852.381364705885</v>
      </c>
      <c r="F62" s="21">
        <f t="shared" si="32"/>
        <v>27340.476423529413</v>
      </c>
      <c r="G62" s="21">
        <f t="shared" si="32"/>
        <v>26515.118117647064</v>
      </c>
      <c r="H62" s="21">
        <f t="shared" si="32"/>
        <v>22910.276894117655</v>
      </c>
      <c r="I62" s="21">
        <f t="shared" si="32"/>
        <v>17082.530823529418</v>
      </c>
      <c r="J62" s="21">
        <f t="shared" si="32"/>
        <v>19908.84423529412</v>
      </c>
      <c r="K62" s="21">
        <f t="shared" si="32"/>
        <v>21254.320376470594</v>
      </c>
      <c r="L62" s="21">
        <f t="shared" si="32"/>
        <v>25935.124800000005</v>
      </c>
      <c r="M62" s="21">
        <f t="shared" si="32"/>
        <v>30217.357835294122</v>
      </c>
      <c r="N62" s="21">
        <f t="shared" si="32"/>
        <v>24506.35792941177</v>
      </c>
      <c r="O62" s="21">
        <f t="shared" si="32"/>
        <v>26604.711529411768</v>
      </c>
      <c r="P62" s="21">
        <f>SUM(P55:P61)/(1-SUM(P27:P28))*SUM(P27:P28)</f>
        <v>24175.467105882355</v>
      </c>
      <c r="Q62" s="22">
        <f t="shared" ref="Q62:AA62" si="33">SUM(Q55:Q61)/(1-SUM(Q27:Q28))*SUM(Q27:Q28)</f>
        <v>21356.95877647059</v>
      </c>
      <c r="R62" s="22">
        <f t="shared" si="33"/>
        <v>27605.189082352939</v>
      </c>
      <c r="S62" s="22">
        <f t="shared" si="33"/>
        <v>31682.500644705884</v>
      </c>
      <c r="T62" s="22">
        <f t="shared" si="33"/>
        <v>27854.291576470594</v>
      </c>
      <c r="U62" s="22">
        <f t="shared" si="33"/>
        <v>27539.010917647058</v>
      </c>
      <c r="V62" s="22">
        <f t="shared" si="33"/>
        <v>23256.777882352941</v>
      </c>
      <c r="W62" s="22">
        <f t="shared" si="33"/>
        <v>25207.164988235301</v>
      </c>
      <c r="X62" s="22">
        <f t="shared" si="33"/>
        <v>29747.95454117647</v>
      </c>
      <c r="Y62" s="22">
        <f t="shared" si="33"/>
        <v>22373.046494117654</v>
      </c>
      <c r="Z62" s="22">
        <f t="shared" si="33"/>
        <v>30945.31764705883</v>
      </c>
      <c r="AA62" s="22">
        <f t="shared" si="33"/>
        <v>26522.923200000005</v>
      </c>
    </row>
    <row r="63" spans="2:29" ht="17.25" thickBot="1" x14ac:dyDescent="0.35">
      <c r="B63" s="18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45"/>
    </row>
    <row r="64" spans="2:29" ht="22.5" customHeight="1" thickBot="1" x14ac:dyDescent="0.35">
      <c r="B64" s="181"/>
      <c r="C64" s="134" t="s">
        <v>109</v>
      </c>
      <c r="D64" s="46">
        <f t="shared" ref="D64:O64" si="34">+SUM(D55:D62)</f>
        <v>72411.536470588253</v>
      </c>
      <c r="E64" s="46">
        <f t="shared" si="34"/>
        <v>74538.691764705887</v>
      </c>
      <c r="F64" s="46">
        <f t="shared" si="34"/>
        <v>85438.98882352942</v>
      </c>
      <c r="G64" s="46">
        <f t="shared" si="34"/>
        <v>82859.74411764706</v>
      </c>
      <c r="H64" s="46">
        <f t="shared" si="34"/>
        <v>71594.615294117655</v>
      </c>
      <c r="I64" s="46">
        <f t="shared" si="34"/>
        <v>53382.908823529418</v>
      </c>
      <c r="J64" s="46">
        <f t="shared" si="34"/>
        <v>62215.138235294122</v>
      </c>
      <c r="K64" s="46">
        <f t="shared" si="34"/>
        <v>66419.7511764706</v>
      </c>
      <c r="L64" s="46">
        <f t="shared" si="34"/>
        <v>81047.265000000014</v>
      </c>
      <c r="M64" s="46">
        <f t="shared" si="34"/>
        <v>94429.243235294125</v>
      </c>
      <c r="N64" s="46">
        <f t="shared" si="34"/>
        <v>76582.368529411775</v>
      </c>
      <c r="O64" s="46">
        <f t="shared" si="34"/>
        <v>83139.723529411771</v>
      </c>
      <c r="P64" s="46">
        <f>+SUM(P55:P62)</f>
        <v>75548.334705882357</v>
      </c>
      <c r="Q64" s="46">
        <f t="shared" ref="Q64:AA64" si="35">+SUM(Q55:Q62)</f>
        <v>66740.496176470595</v>
      </c>
      <c r="R64" s="46">
        <f t="shared" si="35"/>
        <v>86266.215882352932</v>
      </c>
      <c r="S64" s="46">
        <f t="shared" si="35"/>
        <v>99007.814514705882</v>
      </c>
      <c r="T64" s="46">
        <f t="shared" si="35"/>
        <v>87044.661176470603</v>
      </c>
      <c r="U64" s="46">
        <f t="shared" si="35"/>
        <v>86059.409117647054</v>
      </c>
      <c r="V64" s="46">
        <f t="shared" si="35"/>
        <v>72677.430882352943</v>
      </c>
      <c r="W64" s="46">
        <f t="shared" si="35"/>
        <v>78772.390588235314</v>
      </c>
      <c r="X64" s="46">
        <f t="shared" si="35"/>
        <v>92962.357941176466</v>
      </c>
      <c r="Y64" s="46">
        <f t="shared" si="35"/>
        <v>69915.770294117654</v>
      </c>
      <c r="Z64" s="46">
        <f t="shared" si="35"/>
        <v>96704.117647058825</v>
      </c>
      <c r="AA64" s="46">
        <f t="shared" si="35"/>
        <v>82884.135000000009</v>
      </c>
      <c r="AC64" s="47">
        <f>SUM(D64:AA64)</f>
        <v>1898643.1089264709</v>
      </c>
    </row>
    <row r="65" spans="2:35" ht="17.25" thickBot="1" x14ac:dyDescent="0.35">
      <c r="B65" s="18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  <c r="AA65" s="41"/>
    </row>
    <row r="66" spans="2:35" ht="22.5" customHeight="1" thickBot="1" x14ac:dyDescent="0.35">
      <c r="B66" s="181"/>
      <c r="C66" s="134" t="s">
        <v>111</v>
      </c>
      <c r="D66" s="46">
        <f t="shared" ref="D66:O66" si="36">D64-D52</f>
        <v>12373.967912973421</v>
      </c>
      <c r="E66" s="46">
        <f t="shared" si="36"/>
        <v>12935.735004029004</v>
      </c>
      <c r="F66" s="46">
        <f t="shared" si="36"/>
        <v>15092.173392425466</v>
      </c>
      <c r="G66" s="46">
        <f t="shared" si="36"/>
        <v>14892.516019339237</v>
      </c>
      <c r="H66" s="46">
        <f t="shared" si="36"/>
        <v>12398.976357775988</v>
      </c>
      <c r="I66" s="46">
        <f t="shared" si="36"/>
        <v>8672.7725705076518</v>
      </c>
      <c r="J66" s="46">
        <f t="shared" si="36"/>
        <v>10283.048509266722</v>
      </c>
      <c r="K66" s="46">
        <f t="shared" si="36"/>
        <v>11152.706172441583</v>
      </c>
      <c r="L66" s="46">
        <f t="shared" si="36"/>
        <v>14173.101031426282</v>
      </c>
      <c r="M66" s="46">
        <f t="shared" si="36"/>
        <v>16984.934359387596</v>
      </c>
      <c r="N66" s="46">
        <f t="shared" si="36"/>
        <v>13595.831845286069</v>
      </c>
      <c r="O66" s="46">
        <f t="shared" si="36"/>
        <v>14605.329089444</v>
      </c>
      <c r="P66" s="46">
        <f>P64-P52</f>
        <v>13322.75062046737</v>
      </c>
      <c r="Q66" s="46">
        <f t="shared" ref="Q66:AA66" si="37">Q64-Q52</f>
        <v>11598.54029008864</v>
      </c>
      <c r="R66" s="46">
        <f t="shared" si="37"/>
        <v>15310.638372280402</v>
      </c>
      <c r="S66" s="46">
        <f t="shared" si="37"/>
        <v>18073.727705076541</v>
      </c>
      <c r="T66" s="46">
        <f t="shared" si="37"/>
        <v>15756.972135374701</v>
      </c>
      <c r="U66" s="46">
        <f t="shared" si="37"/>
        <v>15256.022127316683</v>
      </c>
      <c r="V66" s="46">
        <f t="shared" si="37"/>
        <v>12444.188799355361</v>
      </c>
      <c r="W66" s="46">
        <f t="shared" si="37"/>
        <v>13572.322336825157</v>
      </c>
      <c r="X66" s="46">
        <f t="shared" si="37"/>
        <v>16838.291748589836</v>
      </c>
      <c r="Y66" s="46">
        <f t="shared" si="37"/>
        <v>12075.980789685738</v>
      </c>
      <c r="Z66" s="46">
        <f t="shared" si="37"/>
        <v>17585.713053988729</v>
      </c>
      <c r="AA66" s="46">
        <f t="shared" si="37"/>
        <v>14778.581627719585</v>
      </c>
      <c r="AC66" s="47">
        <f>AC64-AC52</f>
        <v>333774.82187107182</v>
      </c>
    </row>
    <row r="67" spans="2:35" ht="23.25" customHeight="1" thickBot="1" x14ac:dyDescent="0.35">
      <c r="B67" s="182"/>
      <c r="C67" s="134" t="s">
        <v>112</v>
      </c>
      <c r="D67" s="105">
        <f t="shared" ref="D67:O67" si="38">D66/D64</f>
        <v>0.17088392977270156</v>
      </c>
      <c r="E67" s="105">
        <f t="shared" si="38"/>
        <v>0.17354389643519449</v>
      </c>
      <c r="F67" s="105">
        <f t="shared" si="38"/>
        <v>0.17664269673881214</v>
      </c>
      <c r="G67" s="105">
        <f t="shared" si="38"/>
        <v>0.17973161971384247</v>
      </c>
      <c r="H67" s="105">
        <f t="shared" si="38"/>
        <v>0.17318308516415354</v>
      </c>
      <c r="I67" s="105">
        <f t="shared" si="38"/>
        <v>0.16246346933206046</v>
      </c>
      <c r="J67" s="105">
        <f t="shared" si="38"/>
        <v>0.16528209694522925</v>
      </c>
      <c r="K67" s="105">
        <f t="shared" si="38"/>
        <v>0.16791249552877674</v>
      </c>
      <c r="L67" s="105">
        <f t="shared" si="38"/>
        <v>0.17487451342653301</v>
      </c>
      <c r="M67" s="105">
        <f t="shared" si="38"/>
        <v>0.17986943215318771</v>
      </c>
      <c r="N67" s="105">
        <f t="shared" si="38"/>
        <v>0.1775321409661616</v>
      </c>
      <c r="O67" s="105">
        <f t="shared" si="38"/>
        <v>0.17567209114277571</v>
      </c>
      <c r="P67" s="105">
        <f>P66/P64</f>
        <v>0.17634737644892168</v>
      </c>
      <c r="Q67" s="105">
        <f>Q66/Q64</f>
        <v>0.17378564671471103</v>
      </c>
      <c r="R67" s="105">
        <f t="shared" ref="R67:AA67" si="39">R66/R64</f>
        <v>0.17748127949834444</v>
      </c>
      <c r="S67" s="105">
        <f t="shared" si="39"/>
        <v>0.1825484967390327</v>
      </c>
      <c r="T67" s="105">
        <f t="shared" si="39"/>
        <v>0.18102169532752496</v>
      </c>
      <c r="U67" s="105">
        <f t="shared" si="39"/>
        <v>0.17727314518812254</v>
      </c>
      <c r="V67" s="105">
        <f t="shared" si="39"/>
        <v>0.17122494078663114</v>
      </c>
      <c r="W67" s="105">
        <f t="shared" si="39"/>
        <v>0.1722979617029953</v>
      </c>
      <c r="X67" s="105">
        <f t="shared" si="39"/>
        <v>0.18113021357789305</v>
      </c>
      <c r="Y67" s="105">
        <f t="shared" si="39"/>
        <v>0.17272184428327392</v>
      </c>
      <c r="Z67" s="105">
        <f t="shared" si="39"/>
        <v>0.18185071620395044</v>
      </c>
      <c r="AA67" s="105">
        <f t="shared" si="39"/>
        <v>0.17830410642180899</v>
      </c>
      <c r="AC67" s="106">
        <f>AC66/AC64</f>
        <v>0.1757965045151611</v>
      </c>
    </row>
    <row r="68" spans="2:35" x14ac:dyDescent="0.3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48"/>
    </row>
    <row r="69" spans="2:35" ht="17.25" thickBot="1" x14ac:dyDescent="0.3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48"/>
    </row>
    <row r="70" spans="2:35" ht="45.75" x14ac:dyDescent="0.3">
      <c r="B70" s="180" t="s">
        <v>122</v>
      </c>
      <c r="C70" s="170" t="s">
        <v>100</v>
      </c>
      <c r="D70" s="170"/>
      <c r="E70" s="170"/>
      <c r="F70" s="170"/>
      <c r="G70" s="170"/>
      <c r="H70" s="170"/>
      <c r="I70" s="170"/>
      <c r="J70" s="170"/>
      <c r="K70" s="170"/>
      <c r="L70" s="170"/>
      <c r="M70" s="170"/>
      <c r="N70" s="170"/>
      <c r="O70" s="170"/>
      <c r="P70" s="170"/>
      <c r="Q70" s="170"/>
      <c r="R70" s="170"/>
      <c r="S70" s="170"/>
      <c r="T70" s="170"/>
      <c r="U70" s="170"/>
      <c r="V70" s="170"/>
      <c r="W70" s="170"/>
      <c r="X70" s="170"/>
      <c r="Y70" s="170"/>
      <c r="Z70" s="170"/>
      <c r="AA70" s="171"/>
      <c r="AC70" s="5"/>
    </row>
    <row r="71" spans="2:35" x14ac:dyDescent="0.3">
      <c r="B71" s="181"/>
      <c r="C71" s="128" t="s">
        <v>3</v>
      </c>
      <c r="D71" s="7">
        <v>43101</v>
      </c>
      <c r="E71" s="7">
        <v>43133</v>
      </c>
      <c r="F71" s="7">
        <v>43165</v>
      </c>
      <c r="G71" s="7">
        <v>43197</v>
      </c>
      <c r="H71" s="7">
        <v>43229</v>
      </c>
      <c r="I71" s="7">
        <v>43261</v>
      </c>
      <c r="J71" s="7">
        <v>43293</v>
      </c>
      <c r="K71" s="7">
        <v>43325</v>
      </c>
      <c r="L71" s="7">
        <v>43357</v>
      </c>
      <c r="M71" s="7">
        <v>43389</v>
      </c>
      <c r="N71" s="7">
        <v>43421</v>
      </c>
      <c r="O71" s="7">
        <v>43453</v>
      </c>
      <c r="P71" s="7">
        <v>43485</v>
      </c>
      <c r="Q71" s="7">
        <v>43517</v>
      </c>
      <c r="R71" s="7">
        <v>43549</v>
      </c>
      <c r="S71" s="7">
        <v>43581</v>
      </c>
      <c r="T71" s="7">
        <v>43613</v>
      </c>
      <c r="U71" s="7">
        <v>43645</v>
      </c>
      <c r="V71" s="7">
        <v>43677</v>
      </c>
      <c r="W71" s="7">
        <v>43709</v>
      </c>
      <c r="X71" s="7">
        <v>43741</v>
      </c>
      <c r="Y71" s="7">
        <v>43773</v>
      </c>
      <c r="Z71" s="7">
        <v>43805</v>
      </c>
      <c r="AA71" s="7">
        <v>43806</v>
      </c>
    </row>
    <row r="72" spans="2:35" x14ac:dyDescent="0.3">
      <c r="B72" s="181"/>
      <c r="C72" s="128" t="s">
        <v>4</v>
      </c>
      <c r="D72" s="6">
        <v>744</v>
      </c>
      <c r="E72" s="6">
        <v>696</v>
      </c>
      <c r="F72" s="6">
        <v>744</v>
      </c>
      <c r="G72" s="6">
        <v>720</v>
      </c>
      <c r="H72" s="6">
        <v>744</v>
      </c>
      <c r="I72" s="6">
        <v>720</v>
      </c>
      <c r="J72" s="6">
        <v>744</v>
      </c>
      <c r="K72" s="6">
        <v>744</v>
      </c>
      <c r="L72" s="6">
        <v>720</v>
      </c>
      <c r="M72" s="6">
        <v>744</v>
      </c>
      <c r="N72" s="6">
        <v>720</v>
      </c>
      <c r="O72" s="6">
        <v>744</v>
      </c>
      <c r="P72" s="6">
        <v>744</v>
      </c>
      <c r="Q72" s="6">
        <v>672</v>
      </c>
      <c r="R72" s="6">
        <v>744</v>
      </c>
      <c r="S72" s="6">
        <v>720</v>
      </c>
      <c r="T72" s="6">
        <v>744</v>
      </c>
      <c r="U72" s="6">
        <v>720</v>
      </c>
      <c r="V72" s="6">
        <v>744</v>
      </c>
      <c r="W72" s="6">
        <v>744</v>
      </c>
      <c r="X72" s="6">
        <v>720</v>
      </c>
      <c r="Y72" s="6">
        <v>744</v>
      </c>
      <c r="Z72" s="6">
        <v>720</v>
      </c>
      <c r="AA72" s="6">
        <v>744</v>
      </c>
    </row>
    <row r="73" spans="2:35" x14ac:dyDescent="0.3">
      <c r="B73" s="181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  <c r="AA73" s="8"/>
    </row>
    <row r="74" spans="2:35" x14ac:dyDescent="0.3">
      <c r="B74" s="181"/>
      <c r="C74" s="129" t="s">
        <v>5</v>
      </c>
      <c r="D74" s="43">
        <v>268.8</v>
      </c>
      <c r="E74" s="43">
        <v>302.39999999999998</v>
      </c>
      <c r="F74" s="43">
        <v>302.39999999999998</v>
      </c>
      <c r="G74" s="43">
        <v>268.8</v>
      </c>
      <c r="H74" s="43">
        <v>277.2</v>
      </c>
      <c r="I74" s="43">
        <v>130.19999999999999</v>
      </c>
      <c r="J74" s="43">
        <v>222.6</v>
      </c>
      <c r="K74" s="43">
        <v>235.2</v>
      </c>
      <c r="L74" s="43">
        <v>285.60000000000002</v>
      </c>
      <c r="M74" s="43">
        <v>315</v>
      </c>
      <c r="N74" s="43">
        <v>302.39999999999998</v>
      </c>
      <c r="O74" s="43">
        <v>281.39999999999998</v>
      </c>
      <c r="P74" s="43">
        <v>273</v>
      </c>
      <c r="Q74" s="43">
        <v>256.2</v>
      </c>
      <c r="R74" s="43">
        <v>315</v>
      </c>
      <c r="S74" s="43">
        <v>319.2</v>
      </c>
      <c r="T74" s="43">
        <v>294</v>
      </c>
      <c r="U74" s="43">
        <v>320.39999999999998</v>
      </c>
      <c r="V74" s="43">
        <v>260.39999999999998</v>
      </c>
      <c r="W74" s="43">
        <v>247.8</v>
      </c>
      <c r="X74" s="43">
        <v>298.2</v>
      </c>
      <c r="Y74" s="43">
        <v>319.2</v>
      </c>
      <c r="Z74" s="43">
        <v>302.39999999999998</v>
      </c>
      <c r="AA74" s="43">
        <v>331.8</v>
      </c>
      <c r="AB74" s="2"/>
      <c r="AC74" s="94" t="s">
        <v>92</v>
      </c>
      <c r="AD74" s="96" t="s">
        <v>96</v>
      </c>
      <c r="AE74" s="94" t="s">
        <v>97</v>
      </c>
      <c r="AF74" s="104" t="s">
        <v>108</v>
      </c>
      <c r="AH74" s="94" t="s">
        <v>124</v>
      </c>
      <c r="AI74" s="135">
        <f>AA132</f>
        <v>82884.135000000009</v>
      </c>
    </row>
    <row r="75" spans="2:35" x14ac:dyDescent="0.3">
      <c r="B75" s="181"/>
      <c r="C75" s="129" t="s">
        <v>41</v>
      </c>
      <c r="D75" s="18">
        <v>277.2</v>
      </c>
      <c r="E75" s="18">
        <v>348.6</v>
      </c>
      <c r="F75" s="18">
        <v>386.4</v>
      </c>
      <c r="G75" s="18">
        <v>327.60000000000002</v>
      </c>
      <c r="H75" s="18">
        <v>348.6</v>
      </c>
      <c r="I75" s="18">
        <v>151.19999999999999</v>
      </c>
      <c r="J75" s="18">
        <v>256.2</v>
      </c>
      <c r="K75" s="18">
        <v>247.8</v>
      </c>
      <c r="L75" s="18">
        <v>373.8</v>
      </c>
      <c r="M75" s="18">
        <v>403.2</v>
      </c>
      <c r="N75" s="18">
        <v>365.4</v>
      </c>
      <c r="O75" s="18">
        <v>365.4</v>
      </c>
      <c r="P75" s="18">
        <v>365.4</v>
      </c>
      <c r="Q75" s="18">
        <v>365.4</v>
      </c>
      <c r="R75" s="18">
        <v>415.8</v>
      </c>
      <c r="S75" s="18">
        <v>378</v>
      </c>
      <c r="T75" s="18">
        <v>306.60000000000002</v>
      </c>
      <c r="U75" s="18">
        <v>378</v>
      </c>
      <c r="V75" s="18">
        <v>298.2</v>
      </c>
      <c r="W75" s="18">
        <v>327.60000000000002</v>
      </c>
      <c r="X75" s="18">
        <v>373.8</v>
      </c>
      <c r="Y75" s="18">
        <v>420</v>
      </c>
      <c r="Z75" s="18">
        <v>403.2</v>
      </c>
      <c r="AA75" s="18">
        <v>386.4</v>
      </c>
      <c r="AB75" s="2"/>
      <c r="AC75" s="94" t="s">
        <v>93</v>
      </c>
      <c r="AD75" s="95">
        <v>0</v>
      </c>
      <c r="AE75" s="96">
        <v>175</v>
      </c>
      <c r="AF75" s="104">
        <v>13.43</v>
      </c>
      <c r="AI75" s="137"/>
    </row>
    <row r="76" spans="2:35" x14ac:dyDescent="0.3">
      <c r="B76" s="181"/>
      <c r="C76" s="129" t="s">
        <v>6</v>
      </c>
      <c r="D76" s="13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3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2"/>
      <c r="AC76" s="94" t="s">
        <v>94</v>
      </c>
      <c r="AD76" s="95">
        <v>0.5</v>
      </c>
      <c r="AE76" s="96">
        <v>220</v>
      </c>
      <c r="AF76" s="104">
        <v>41.69</v>
      </c>
      <c r="AH76" s="94" t="s">
        <v>127</v>
      </c>
      <c r="AI76" s="135">
        <f>AA120</f>
        <v>61796.500950362606</v>
      </c>
    </row>
    <row r="77" spans="2:35" x14ac:dyDescent="0.3">
      <c r="B77" s="181"/>
      <c r="C77" s="129" t="s">
        <v>7</v>
      </c>
      <c r="D77" s="123">
        <v>500</v>
      </c>
      <c r="E77" s="123">
        <v>500</v>
      </c>
      <c r="F77" s="123">
        <v>500</v>
      </c>
      <c r="G77" s="123">
        <v>500</v>
      </c>
      <c r="H77" s="123">
        <v>500</v>
      </c>
      <c r="I77" s="123">
        <v>500</v>
      </c>
      <c r="J77" s="123">
        <v>500</v>
      </c>
      <c r="K77" s="123">
        <v>500</v>
      </c>
      <c r="L77" s="123">
        <v>500</v>
      </c>
      <c r="M77" s="123">
        <v>500</v>
      </c>
      <c r="N77" s="123">
        <v>500</v>
      </c>
      <c r="O77" s="123">
        <v>500</v>
      </c>
      <c r="P77" s="124">
        <v>500</v>
      </c>
      <c r="Q77" s="124">
        <v>500</v>
      </c>
      <c r="R77" s="124">
        <v>500</v>
      </c>
      <c r="S77" s="124">
        <v>500</v>
      </c>
      <c r="T77" s="124">
        <v>500</v>
      </c>
      <c r="U77" s="124">
        <v>500</v>
      </c>
      <c r="V77" s="124">
        <v>500</v>
      </c>
      <c r="W77" s="124">
        <v>500</v>
      </c>
      <c r="X77" s="124">
        <v>500</v>
      </c>
      <c r="Y77" s="124">
        <v>500</v>
      </c>
      <c r="Z77" s="124">
        <v>500</v>
      </c>
      <c r="AA77" s="124">
        <v>500</v>
      </c>
      <c r="AB77" s="2"/>
      <c r="AC77" s="94" t="s">
        <v>95</v>
      </c>
      <c r="AD77" s="95">
        <v>1</v>
      </c>
      <c r="AE77" s="96">
        <v>310</v>
      </c>
      <c r="AF77" s="104">
        <v>62.43</v>
      </c>
      <c r="AH77" s="94" t="s">
        <v>125</v>
      </c>
      <c r="AI77" s="136">
        <f>(AI74-AI76)/AI74</f>
        <v>0.25442304549160583</v>
      </c>
    </row>
    <row r="78" spans="2:35" x14ac:dyDescent="0.3">
      <c r="B78" s="181"/>
      <c r="C78" s="129" t="s">
        <v>8</v>
      </c>
      <c r="D78" s="16">
        <f t="shared" ref="D78:AA78" si="40">IF(D87="Verde",0,IF(D74&gt;D76*1.05,D74-D76,0))</f>
        <v>0</v>
      </c>
      <c r="E78" s="16">
        <f t="shared" si="40"/>
        <v>0</v>
      </c>
      <c r="F78" s="16">
        <f t="shared" si="40"/>
        <v>0</v>
      </c>
      <c r="G78" s="16">
        <f t="shared" si="40"/>
        <v>0</v>
      </c>
      <c r="H78" s="16">
        <f t="shared" si="40"/>
        <v>0</v>
      </c>
      <c r="I78" s="16">
        <f t="shared" si="40"/>
        <v>0</v>
      </c>
      <c r="J78" s="16">
        <f t="shared" si="40"/>
        <v>0</v>
      </c>
      <c r="K78" s="16">
        <f t="shared" si="40"/>
        <v>0</v>
      </c>
      <c r="L78" s="16">
        <f t="shared" si="40"/>
        <v>0</v>
      </c>
      <c r="M78" s="16">
        <f t="shared" si="40"/>
        <v>0</v>
      </c>
      <c r="N78" s="16">
        <f t="shared" si="40"/>
        <v>0</v>
      </c>
      <c r="O78" s="16">
        <f t="shared" si="40"/>
        <v>0</v>
      </c>
      <c r="P78" s="16">
        <f t="shared" si="40"/>
        <v>0</v>
      </c>
      <c r="Q78" s="16">
        <f t="shared" si="40"/>
        <v>0</v>
      </c>
      <c r="R78" s="16">
        <f t="shared" si="40"/>
        <v>0</v>
      </c>
      <c r="S78" s="16">
        <f t="shared" si="40"/>
        <v>0</v>
      </c>
      <c r="T78" s="16">
        <f t="shared" si="40"/>
        <v>0</v>
      </c>
      <c r="U78" s="16">
        <f t="shared" si="40"/>
        <v>0</v>
      </c>
      <c r="V78" s="16">
        <f t="shared" si="40"/>
        <v>0</v>
      </c>
      <c r="W78" s="16">
        <f t="shared" si="40"/>
        <v>0</v>
      </c>
      <c r="X78" s="16">
        <f t="shared" si="40"/>
        <v>0</v>
      </c>
      <c r="Y78" s="16">
        <f t="shared" si="40"/>
        <v>0</v>
      </c>
      <c r="Z78" s="16">
        <f t="shared" si="40"/>
        <v>0</v>
      </c>
      <c r="AA78" s="16">
        <f t="shared" si="40"/>
        <v>0</v>
      </c>
      <c r="AB78" s="2"/>
    </row>
    <row r="79" spans="2:35" x14ac:dyDescent="0.3">
      <c r="B79" s="181"/>
      <c r="C79" s="129" t="s">
        <v>9</v>
      </c>
      <c r="D79" s="18">
        <f t="shared" ref="D79:AA79" si="41">IF(D75&gt;D77*1.05,D75-D77,0)</f>
        <v>0</v>
      </c>
      <c r="E79" s="18">
        <f t="shared" si="41"/>
        <v>0</v>
      </c>
      <c r="F79" s="18">
        <f t="shared" si="41"/>
        <v>0</v>
      </c>
      <c r="G79" s="18">
        <f t="shared" si="41"/>
        <v>0</v>
      </c>
      <c r="H79" s="18">
        <f t="shared" si="41"/>
        <v>0</v>
      </c>
      <c r="I79" s="18">
        <f t="shared" si="41"/>
        <v>0</v>
      </c>
      <c r="J79" s="18">
        <f t="shared" si="41"/>
        <v>0</v>
      </c>
      <c r="K79" s="18">
        <f t="shared" si="41"/>
        <v>0</v>
      </c>
      <c r="L79" s="18">
        <f t="shared" si="41"/>
        <v>0</v>
      </c>
      <c r="M79" s="18">
        <f t="shared" si="41"/>
        <v>0</v>
      </c>
      <c r="N79" s="18">
        <f t="shared" si="41"/>
        <v>0</v>
      </c>
      <c r="O79" s="18">
        <f t="shared" si="41"/>
        <v>0</v>
      </c>
      <c r="P79" s="18">
        <f t="shared" si="41"/>
        <v>0</v>
      </c>
      <c r="Q79" s="18">
        <f t="shared" si="41"/>
        <v>0</v>
      </c>
      <c r="R79" s="18">
        <f t="shared" si="41"/>
        <v>0</v>
      </c>
      <c r="S79" s="18">
        <f t="shared" si="41"/>
        <v>0</v>
      </c>
      <c r="T79" s="18">
        <f t="shared" si="41"/>
        <v>0</v>
      </c>
      <c r="U79" s="18">
        <f t="shared" si="41"/>
        <v>0</v>
      </c>
      <c r="V79" s="18">
        <f t="shared" si="41"/>
        <v>0</v>
      </c>
      <c r="W79" s="18">
        <f t="shared" si="41"/>
        <v>0</v>
      </c>
      <c r="X79" s="18">
        <f t="shared" si="41"/>
        <v>0</v>
      </c>
      <c r="Y79" s="18">
        <f t="shared" si="41"/>
        <v>0</v>
      </c>
      <c r="Z79" s="18">
        <f t="shared" si="41"/>
        <v>0</v>
      </c>
      <c r="AA79" s="18">
        <f t="shared" si="41"/>
        <v>0</v>
      </c>
      <c r="AB79" s="1" t="s">
        <v>43</v>
      </c>
      <c r="AH79" s="94" t="s">
        <v>123</v>
      </c>
      <c r="AI79" s="135">
        <f>AA188</f>
        <v>61105.667706527005</v>
      </c>
    </row>
    <row r="80" spans="2:35" x14ac:dyDescent="0.3">
      <c r="B80" s="181"/>
      <c r="C80" s="129" t="s">
        <v>10</v>
      </c>
      <c r="D80" s="43">
        <v>10.5</v>
      </c>
      <c r="E80" s="43">
        <v>10.5</v>
      </c>
      <c r="F80" s="43">
        <v>13.02</v>
      </c>
      <c r="G80" s="43">
        <v>11.34</v>
      </c>
      <c r="H80" s="43">
        <v>9.66</v>
      </c>
      <c r="I80" s="43">
        <v>5.88</v>
      </c>
      <c r="J80" s="43">
        <v>8.4</v>
      </c>
      <c r="K80" s="43">
        <v>9.24</v>
      </c>
      <c r="L80" s="43">
        <v>12.18</v>
      </c>
      <c r="M80" s="43">
        <v>14.7</v>
      </c>
      <c r="N80" s="43">
        <v>10.08</v>
      </c>
      <c r="O80" s="43">
        <v>12.6</v>
      </c>
      <c r="P80" s="43">
        <v>10.08</v>
      </c>
      <c r="Q80" s="43">
        <v>7.98</v>
      </c>
      <c r="R80" s="43">
        <v>13.02</v>
      </c>
      <c r="S80" s="43">
        <v>15.12</v>
      </c>
      <c r="T80" s="43">
        <v>12.18</v>
      </c>
      <c r="U80" s="43">
        <v>13.02</v>
      </c>
      <c r="V80" s="43">
        <v>10.5</v>
      </c>
      <c r="W80" s="43">
        <v>12.18</v>
      </c>
      <c r="X80" s="43">
        <v>13.86</v>
      </c>
      <c r="Y80" s="43">
        <v>9.24</v>
      </c>
      <c r="Z80" s="43">
        <v>14.7</v>
      </c>
      <c r="AA80" s="43">
        <v>11.76</v>
      </c>
      <c r="AB80" s="2"/>
      <c r="AH80" s="94" t="s">
        <v>125</v>
      </c>
      <c r="AI80" s="136">
        <f>(AI74-AI79)/AI74</f>
        <v>0.26275797284333124</v>
      </c>
    </row>
    <row r="81" spans="2:35" x14ac:dyDescent="0.3">
      <c r="B81" s="181"/>
      <c r="C81" s="129" t="s">
        <v>11</v>
      </c>
      <c r="D81" s="18">
        <v>64.56</v>
      </c>
      <c r="E81" s="18">
        <v>68.88</v>
      </c>
      <c r="F81" s="18">
        <v>78.12</v>
      </c>
      <c r="G81" s="18">
        <v>81.48</v>
      </c>
      <c r="H81" s="18">
        <v>67.2</v>
      </c>
      <c r="I81" s="18">
        <v>49.56</v>
      </c>
      <c r="J81" s="18">
        <v>54.6</v>
      </c>
      <c r="K81" s="18">
        <v>58.84</v>
      </c>
      <c r="L81" s="18">
        <v>73.5</v>
      </c>
      <c r="M81" s="18">
        <v>87.78</v>
      </c>
      <c r="N81" s="18">
        <v>75.180000000000007</v>
      </c>
      <c r="O81" s="18">
        <v>75.599999999999994</v>
      </c>
      <c r="P81" s="18">
        <v>73.08</v>
      </c>
      <c r="Q81" s="18">
        <v>65.94</v>
      </c>
      <c r="R81" s="18">
        <v>79.8</v>
      </c>
      <c r="S81" s="18">
        <v>94.929000000000002</v>
      </c>
      <c r="T81" s="18">
        <v>85.68</v>
      </c>
      <c r="U81" s="18">
        <v>79.38</v>
      </c>
      <c r="V81" s="18">
        <v>65.099999999999994</v>
      </c>
      <c r="W81" s="18">
        <v>68.88</v>
      </c>
      <c r="X81" s="18">
        <v>89.1</v>
      </c>
      <c r="Y81" s="18">
        <v>65.94</v>
      </c>
      <c r="Z81" s="18">
        <v>92.4</v>
      </c>
      <c r="AA81" s="18">
        <v>79.38</v>
      </c>
      <c r="AB81" s="2"/>
      <c r="AC81" s="1" t="s">
        <v>45</v>
      </c>
      <c r="AD81" s="1">
        <f>SUM(P80:AA81)/SUM(P72:AA72)</f>
        <v>0.12365856164383562</v>
      </c>
      <c r="AF81" s="1">
        <v>145</v>
      </c>
      <c r="AI81" s="137"/>
    </row>
    <row r="82" spans="2:35" x14ac:dyDescent="0.3">
      <c r="B82" s="181"/>
      <c r="C82" s="129" t="s">
        <v>0</v>
      </c>
      <c r="D82" s="19" t="s">
        <v>44</v>
      </c>
      <c r="E82" s="20" t="s">
        <v>44</v>
      </c>
      <c r="F82" s="20" t="s">
        <v>44</v>
      </c>
      <c r="G82" s="20" t="s">
        <v>44</v>
      </c>
      <c r="H82" s="20" t="s">
        <v>44</v>
      </c>
      <c r="I82" s="20" t="s">
        <v>44</v>
      </c>
      <c r="J82" s="19" t="s">
        <v>44</v>
      </c>
      <c r="K82" s="20" t="s">
        <v>44</v>
      </c>
      <c r="L82" s="20" t="s">
        <v>44</v>
      </c>
      <c r="M82" s="20" t="s">
        <v>44</v>
      </c>
      <c r="N82" s="20" t="s">
        <v>44</v>
      </c>
      <c r="O82" s="20" t="s">
        <v>44</v>
      </c>
      <c r="P82" s="20" t="s">
        <v>44</v>
      </c>
      <c r="Q82" s="20" t="s">
        <v>44</v>
      </c>
      <c r="R82" s="20" t="s">
        <v>44</v>
      </c>
      <c r="S82" s="20" t="s">
        <v>44</v>
      </c>
      <c r="T82" s="20" t="s">
        <v>44</v>
      </c>
      <c r="U82" s="20" t="s">
        <v>44</v>
      </c>
      <c r="V82" s="20" t="s">
        <v>44</v>
      </c>
      <c r="W82" s="20" t="s">
        <v>44</v>
      </c>
      <c r="X82" s="20" t="s">
        <v>44</v>
      </c>
      <c r="Y82" s="20" t="s">
        <v>44</v>
      </c>
      <c r="Z82" s="20" t="s">
        <v>44</v>
      </c>
      <c r="AA82" s="20" t="s">
        <v>44</v>
      </c>
      <c r="AB82" s="2"/>
      <c r="AC82" s="1" t="s">
        <v>91</v>
      </c>
      <c r="AD82" s="93">
        <f>SUM(P80:AA80)/SUM(P80:AA81)</f>
        <v>0.1326010917157551</v>
      </c>
      <c r="AF82" s="1">
        <v>17.64</v>
      </c>
      <c r="AH82" s="94" t="s">
        <v>126</v>
      </c>
      <c r="AI82" s="135">
        <f>AA257</f>
        <v>0</v>
      </c>
    </row>
    <row r="83" spans="2:35" x14ac:dyDescent="0.3">
      <c r="B83" s="181"/>
      <c r="C83" s="107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7"/>
      <c r="AA83" s="108"/>
      <c r="AD83" s="1">
        <v>0.12392200974878137</v>
      </c>
      <c r="AF83" s="1">
        <f>AF81+AF82</f>
        <v>162.63999999999999</v>
      </c>
      <c r="AH83" s="94" t="s">
        <v>125</v>
      </c>
      <c r="AI83" s="136">
        <f>(AI74-AI82)/AI74</f>
        <v>1</v>
      </c>
    </row>
    <row r="84" spans="2:35" x14ac:dyDescent="0.3">
      <c r="B84" s="181"/>
      <c r="C84" s="129" t="s">
        <v>12</v>
      </c>
      <c r="D84" s="126">
        <f>'SIMULAÇÃO CENÁRIOS'!$D$7</f>
        <v>0.5</v>
      </c>
      <c r="E84" s="126">
        <f>'SIMULAÇÃO CENÁRIOS'!$D$7</f>
        <v>0.5</v>
      </c>
      <c r="F84" s="126">
        <f>'SIMULAÇÃO CENÁRIOS'!$D$7</f>
        <v>0.5</v>
      </c>
      <c r="G84" s="126">
        <f>'SIMULAÇÃO CENÁRIOS'!$D$7</f>
        <v>0.5</v>
      </c>
      <c r="H84" s="126">
        <f>'SIMULAÇÃO CENÁRIOS'!$D$7</f>
        <v>0.5</v>
      </c>
      <c r="I84" s="126">
        <f>'SIMULAÇÃO CENÁRIOS'!$D$7</f>
        <v>0.5</v>
      </c>
      <c r="J84" s="126">
        <f>'SIMULAÇÃO CENÁRIOS'!$D$7</f>
        <v>0.5</v>
      </c>
      <c r="K84" s="126">
        <f>'SIMULAÇÃO CENÁRIOS'!$D$7</f>
        <v>0.5</v>
      </c>
      <c r="L84" s="126">
        <f>'SIMULAÇÃO CENÁRIOS'!$D$7</f>
        <v>0.5</v>
      </c>
      <c r="M84" s="126">
        <f>'SIMULAÇÃO CENÁRIOS'!$D$7</f>
        <v>0.5</v>
      </c>
      <c r="N84" s="126">
        <f>'SIMULAÇÃO CENÁRIOS'!$D$7</f>
        <v>0.5</v>
      </c>
      <c r="O84" s="126">
        <f>'SIMULAÇÃO CENÁRIOS'!$D$7</f>
        <v>0.5</v>
      </c>
      <c r="P84" s="126">
        <f>'SIMULAÇÃO CENÁRIOS'!$D$7</f>
        <v>0.5</v>
      </c>
      <c r="Q84" s="126">
        <f>'SIMULAÇÃO CENÁRIOS'!$D$7</f>
        <v>0.5</v>
      </c>
      <c r="R84" s="126">
        <f>'SIMULAÇÃO CENÁRIOS'!$D$7</f>
        <v>0.5</v>
      </c>
      <c r="S84" s="126">
        <f>'SIMULAÇÃO CENÁRIOS'!$D$7</f>
        <v>0.5</v>
      </c>
      <c r="T84" s="126">
        <f>'SIMULAÇÃO CENÁRIOS'!$D$7</f>
        <v>0.5</v>
      </c>
      <c r="U84" s="126">
        <f>'SIMULAÇÃO CENÁRIOS'!$D$7</f>
        <v>0.5</v>
      </c>
      <c r="V84" s="126">
        <f>'SIMULAÇÃO CENÁRIOS'!$D$7</f>
        <v>0.5</v>
      </c>
      <c r="W84" s="126">
        <f>'SIMULAÇÃO CENÁRIOS'!$D$7</f>
        <v>0.5</v>
      </c>
      <c r="X84" s="126">
        <f>'SIMULAÇÃO CENÁRIOS'!$D$7</f>
        <v>0.5</v>
      </c>
      <c r="Y84" s="126">
        <f>'SIMULAÇÃO CENÁRIOS'!$D$7</f>
        <v>0.5</v>
      </c>
      <c r="Z84" s="126">
        <f>'SIMULAÇÃO CENÁRIOS'!$D$7</f>
        <v>0.5</v>
      </c>
      <c r="AA84" s="126">
        <f>'SIMULAÇÃO CENÁRIOS'!$D$7</f>
        <v>0.5</v>
      </c>
    </row>
    <row r="85" spans="2:35" x14ac:dyDescent="0.3">
      <c r="B85" s="181"/>
      <c r="C85" s="107"/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  <c r="W85" s="107"/>
      <c r="X85" s="107"/>
      <c r="Y85" s="107"/>
      <c r="Z85" s="107"/>
      <c r="AA85" s="108"/>
    </row>
    <row r="86" spans="2:35" x14ac:dyDescent="0.3">
      <c r="B86" s="181"/>
      <c r="C86" s="129" t="s">
        <v>13</v>
      </c>
      <c r="D86" s="9" t="s">
        <v>1</v>
      </c>
      <c r="E86" s="10" t="s">
        <v>1</v>
      </c>
      <c r="F86" s="10" t="s">
        <v>1</v>
      </c>
      <c r="G86" s="10" t="s">
        <v>1</v>
      </c>
      <c r="H86" s="10" t="s">
        <v>1</v>
      </c>
      <c r="I86" s="10" t="s">
        <v>1</v>
      </c>
      <c r="J86" s="9" t="s">
        <v>1</v>
      </c>
      <c r="K86" s="10" t="s">
        <v>1</v>
      </c>
      <c r="L86" s="10" t="s">
        <v>1</v>
      </c>
      <c r="M86" s="10" t="s">
        <v>1</v>
      </c>
      <c r="N86" s="10" t="s">
        <v>1</v>
      </c>
      <c r="O86" s="10" t="s">
        <v>1</v>
      </c>
      <c r="P86" s="9" t="s">
        <v>1</v>
      </c>
      <c r="Q86" s="9" t="s">
        <v>1</v>
      </c>
      <c r="R86" s="9" t="s">
        <v>1</v>
      </c>
      <c r="S86" s="9" t="s">
        <v>1</v>
      </c>
      <c r="T86" s="9" t="s">
        <v>1</v>
      </c>
      <c r="U86" s="9" t="s">
        <v>1</v>
      </c>
      <c r="V86" s="9" t="s">
        <v>1</v>
      </c>
      <c r="W86" s="9" t="s">
        <v>1</v>
      </c>
      <c r="X86" s="9" t="s">
        <v>1</v>
      </c>
      <c r="Y86" s="9" t="s">
        <v>1</v>
      </c>
      <c r="Z86" s="9" t="s">
        <v>1</v>
      </c>
      <c r="AA86" s="9" t="s">
        <v>1</v>
      </c>
      <c r="AF86" s="92">
        <f>AF83*1000</f>
        <v>162640</v>
      </c>
    </row>
    <row r="87" spans="2:35" x14ac:dyDescent="0.3">
      <c r="B87" s="181"/>
      <c r="C87" s="129" t="s">
        <v>14</v>
      </c>
      <c r="D87" s="11" t="s">
        <v>42</v>
      </c>
      <c r="E87" s="12" t="s">
        <v>42</v>
      </c>
      <c r="F87" s="12" t="s">
        <v>42</v>
      </c>
      <c r="G87" s="12" t="s">
        <v>42</v>
      </c>
      <c r="H87" s="12" t="s">
        <v>42</v>
      </c>
      <c r="I87" s="12" t="s">
        <v>42</v>
      </c>
      <c r="J87" s="11" t="s">
        <v>42</v>
      </c>
      <c r="K87" s="12" t="s">
        <v>42</v>
      </c>
      <c r="L87" s="12" t="s">
        <v>42</v>
      </c>
      <c r="M87" s="12" t="s">
        <v>42</v>
      </c>
      <c r="N87" s="12" t="s">
        <v>42</v>
      </c>
      <c r="O87" s="12" t="s">
        <v>42</v>
      </c>
      <c r="P87" s="12" t="s">
        <v>42</v>
      </c>
      <c r="Q87" s="12" t="s">
        <v>42</v>
      </c>
      <c r="R87" s="12" t="s">
        <v>42</v>
      </c>
      <c r="S87" s="12" t="s">
        <v>42</v>
      </c>
      <c r="T87" s="12" t="s">
        <v>42</v>
      </c>
      <c r="U87" s="12" t="s">
        <v>42</v>
      </c>
      <c r="V87" s="12" t="s">
        <v>42</v>
      </c>
      <c r="W87" s="12" t="s">
        <v>42</v>
      </c>
      <c r="X87" s="12" t="s">
        <v>42</v>
      </c>
      <c r="Y87" s="12" t="s">
        <v>42</v>
      </c>
      <c r="Z87" s="12" t="s">
        <v>42</v>
      </c>
      <c r="AA87" s="12" t="s">
        <v>42</v>
      </c>
      <c r="AF87" s="92">
        <f>AF86/100</f>
        <v>1626.4</v>
      </c>
    </row>
    <row r="88" spans="2:35" x14ac:dyDescent="0.3">
      <c r="B88" s="181"/>
      <c r="C88" s="129" t="s">
        <v>15</v>
      </c>
      <c r="D88" s="13">
        <v>49.84</v>
      </c>
      <c r="E88" s="14">
        <v>49.84</v>
      </c>
      <c r="F88" s="14">
        <v>49.84</v>
      </c>
      <c r="G88" s="14">
        <v>49.84</v>
      </c>
      <c r="H88" s="14">
        <v>49.84</v>
      </c>
      <c r="I88" s="14">
        <v>49.84</v>
      </c>
      <c r="J88" s="13">
        <v>49.84</v>
      </c>
      <c r="K88" s="14">
        <v>49.84</v>
      </c>
      <c r="L88" s="14">
        <v>49.84</v>
      </c>
      <c r="M88" s="14">
        <v>49.84</v>
      </c>
      <c r="N88" s="14">
        <v>49.84</v>
      </c>
      <c r="O88" s="14">
        <v>49.84</v>
      </c>
      <c r="P88" s="14">
        <v>49.84</v>
      </c>
      <c r="Q88" s="14">
        <v>49.84</v>
      </c>
      <c r="R88" s="14">
        <v>49.84</v>
      </c>
      <c r="S88" s="14">
        <v>49.84</v>
      </c>
      <c r="T88" s="14">
        <v>49.84</v>
      </c>
      <c r="U88" s="14">
        <v>49.84</v>
      </c>
      <c r="V88" s="14">
        <v>49.84</v>
      </c>
      <c r="W88" s="14">
        <v>49.84</v>
      </c>
      <c r="X88" s="14">
        <v>49.84</v>
      </c>
      <c r="Y88" s="14">
        <v>49.84</v>
      </c>
      <c r="Z88" s="14">
        <v>49.84</v>
      </c>
      <c r="AA88" s="14">
        <v>49.84</v>
      </c>
      <c r="AF88" s="1">
        <f>AF87*1.343</f>
        <v>2184.2552000000001</v>
      </c>
    </row>
    <row r="89" spans="2:35" x14ac:dyDescent="0.3">
      <c r="B89" s="181"/>
      <c r="C89" s="129" t="s">
        <v>16</v>
      </c>
      <c r="D89" s="11">
        <v>19.260000000000002</v>
      </c>
      <c r="E89" s="12">
        <v>19.260000000000002</v>
      </c>
      <c r="F89" s="12">
        <v>19.260000000000002</v>
      </c>
      <c r="G89" s="12">
        <v>19.260000000000002</v>
      </c>
      <c r="H89" s="12">
        <v>19.260000000000002</v>
      </c>
      <c r="I89" s="12">
        <v>19.260000000000002</v>
      </c>
      <c r="J89" s="11">
        <v>19.260000000000002</v>
      </c>
      <c r="K89" s="12">
        <v>19.260000000000002</v>
      </c>
      <c r="L89" s="12">
        <v>19.260000000000002</v>
      </c>
      <c r="M89" s="12">
        <v>19.260000000000002</v>
      </c>
      <c r="N89" s="12">
        <v>19.260000000000002</v>
      </c>
      <c r="O89" s="12">
        <v>19.260000000000002</v>
      </c>
      <c r="P89" s="12">
        <v>19.260000000000002</v>
      </c>
      <c r="Q89" s="12">
        <v>19.260000000000002</v>
      </c>
      <c r="R89" s="12">
        <v>19.260000000000002</v>
      </c>
      <c r="S89" s="12">
        <v>19.260000000000002</v>
      </c>
      <c r="T89" s="12">
        <v>19.260000000000002</v>
      </c>
      <c r="U89" s="12">
        <v>19.260000000000002</v>
      </c>
      <c r="V89" s="12">
        <v>19.260000000000002</v>
      </c>
      <c r="W89" s="12">
        <v>19.260000000000002</v>
      </c>
      <c r="X89" s="12">
        <v>19.260000000000002</v>
      </c>
      <c r="Y89" s="12">
        <v>19.260000000000002</v>
      </c>
      <c r="Z89" s="12">
        <v>19.260000000000002</v>
      </c>
      <c r="AA89" s="12">
        <v>19.260000000000002</v>
      </c>
    </row>
    <row r="90" spans="2:35" x14ac:dyDescent="0.3">
      <c r="B90" s="181"/>
      <c r="C90" s="129" t="s">
        <v>17</v>
      </c>
      <c r="D90" s="15">
        <v>1292.96</v>
      </c>
      <c r="E90" s="16">
        <v>1292.96</v>
      </c>
      <c r="F90" s="16">
        <v>1292.96</v>
      </c>
      <c r="G90" s="16">
        <v>1292.96</v>
      </c>
      <c r="H90" s="16">
        <v>1292.96</v>
      </c>
      <c r="I90" s="16">
        <v>1292.96</v>
      </c>
      <c r="J90" s="15">
        <v>1292.96</v>
      </c>
      <c r="K90" s="16">
        <v>1292.96</v>
      </c>
      <c r="L90" s="16">
        <v>1292.96</v>
      </c>
      <c r="M90" s="16">
        <v>1292.96</v>
      </c>
      <c r="N90" s="16">
        <v>1292.96</v>
      </c>
      <c r="O90" s="16">
        <v>1292.96</v>
      </c>
      <c r="P90" s="16">
        <v>1292.96</v>
      </c>
      <c r="Q90" s="16">
        <v>1292.96</v>
      </c>
      <c r="R90" s="16">
        <v>1292.96</v>
      </c>
      <c r="S90" s="16">
        <v>1292.96</v>
      </c>
      <c r="T90" s="16">
        <v>1292.96</v>
      </c>
      <c r="U90" s="16">
        <v>1292.96</v>
      </c>
      <c r="V90" s="16">
        <v>1292.96</v>
      </c>
      <c r="W90" s="16">
        <v>1292.96</v>
      </c>
      <c r="X90" s="16">
        <v>1292.96</v>
      </c>
      <c r="Y90" s="16">
        <v>1292.96</v>
      </c>
      <c r="Z90" s="16">
        <v>1292.96</v>
      </c>
      <c r="AA90" s="16">
        <v>1292.96</v>
      </c>
    </row>
    <row r="91" spans="2:35" x14ac:dyDescent="0.3">
      <c r="B91" s="181"/>
      <c r="C91" s="129" t="s">
        <v>18</v>
      </c>
      <c r="D91" s="17">
        <v>83.39</v>
      </c>
      <c r="E91" s="18">
        <v>83.39</v>
      </c>
      <c r="F91" s="18">
        <v>83.39</v>
      </c>
      <c r="G91" s="18">
        <v>83.39</v>
      </c>
      <c r="H91" s="18">
        <v>83.39</v>
      </c>
      <c r="I91" s="18">
        <v>83.39</v>
      </c>
      <c r="J91" s="17">
        <v>83.39</v>
      </c>
      <c r="K91" s="18">
        <v>83.39</v>
      </c>
      <c r="L91" s="18">
        <v>83.39</v>
      </c>
      <c r="M91" s="18">
        <v>83.39</v>
      </c>
      <c r="N91" s="18">
        <v>83.39</v>
      </c>
      <c r="O91" s="18">
        <v>83.39</v>
      </c>
      <c r="P91" s="18">
        <v>83.39</v>
      </c>
      <c r="Q91" s="18">
        <v>83.39</v>
      </c>
      <c r="R91" s="18">
        <v>83.39</v>
      </c>
      <c r="S91" s="18">
        <v>83.39</v>
      </c>
      <c r="T91" s="18">
        <v>83.39</v>
      </c>
      <c r="U91" s="18">
        <v>83.39</v>
      </c>
      <c r="V91" s="18">
        <v>83.39</v>
      </c>
      <c r="W91" s="18">
        <v>83.39</v>
      </c>
      <c r="X91" s="18">
        <v>83.39</v>
      </c>
      <c r="Y91" s="18">
        <v>83.39</v>
      </c>
      <c r="Z91" s="18">
        <v>83.39</v>
      </c>
      <c r="AA91" s="18">
        <v>83.39</v>
      </c>
    </row>
    <row r="92" spans="2:35" x14ac:dyDescent="0.3">
      <c r="B92" s="181"/>
      <c r="C92" s="129" t="s">
        <v>19</v>
      </c>
      <c r="D92" s="15">
        <v>420.68</v>
      </c>
      <c r="E92" s="16">
        <v>420.68</v>
      </c>
      <c r="F92" s="16">
        <v>420.68</v>
      </c>
      <c r="G92" s="16">
        <v>420.68</v>
      </c>
      <c r="H92" s="16">
        <v>420.68</v>
      </c>
      <c r="I92" s="16">
        <v>420.68</v>
      </c>
      <c r="J92" s="15">
        <v>420.68</v>
      </c>
      <c r="K92" s="16">
        <v>420.68</v>
      </c>
      <c r="L92" s="16">
        <v>420.68</v>
      </c>
      <c r="M92" s="16">
        <v>420.68</v>
      </c>
      <c r="N92" s="16">
        <v>420.68</v>
      </c>
      <c r="O92" s="16">
        <v>420.68</v>
      </c>
      <c r="P92" s="16">
        <v>420.68</v>
      </c>
      <c r="Q92" s="16">
        <v>420.68</v>
      </c>
      <c r="R92" s="16">
        <v>420.68</v>
      </c>
      <c r="S92" s="16">
        <v>420.68</v>
      </c>
      <c r="T92" s="16">
        <v>420.68</v>
      </c>
      <c r="U92" s="16">
        <v>420.68</v>
      </c>
      <c r="V92" s="16">
        <v>420.68</v>
      </c>
      <c r="W92" s="16">
        <v>420.68</v>
      </c>
      <c r="X92" s="16">
        <v>420.68</v>
      </c>
      <c r="Y92" s="16">
        <v>420.68</v>
      </c>
      <c r="Z92" s="16">
        <v>420.68</v>
      </c>
      <c r="AA92" s="16">
        <v>420.68</v>
      </c>
    </row>
    <row r="93" spans="2:35" x14ac:dyDescent="0.3">
      <c r="B93" s="181"/>
      <c r="C93" s="130" t="s">
        <v>20</v>
      </c>
      <c r="D93" s="21">
        <v>251.44</v>
      </c>
      <c r="E93" s="22">
        <v>251.44</v>
      </c>
      <c r="F93" s="22">
        <v>251.44</v>
      </c>
      <c r="G93" s="22">
        <v>251.44</v>
      </c>
      <c r="H93" s="22">
        <v>251.44</v>
      </c>
      <c r="I93" s="22">
        <v>251.44</v>
      </c>
      <c r="J93" s="21">
        <v>251.44</v>
      </c>
      <c r="K93" s="22">
        <v>251.44</v>
      </c>
      <c r="L93" s="22">
        <v>251.44</v>
      </c>
      <c r="M93" s="22">
        <v>251.44</v>
      </c>
      <c r="N93" s="22">
        <v>251.44</v>
      </c>
      <c r="O93" s="22">
        <v>251.44</v>
      </c>
      <c r="P93" s="22">
        <v>251.44</v>
      </c>
      <c r="Q93" s="22">
        <v>251.44</v>
      </c>
      <c r="R93" s="22">
        <v>251.44</v>
      </c>
      <c r="S93" s="22">
        <v>251.44</v>
      </c>
      <c r="T93" s="22">
        <v>251.44</v>
      </c>
      <c r="U93" s="22">
        <v>251.44</v>
      </c>
      <c r="V93" s="22">
        <v>251.44</v>
      </c>
      <c r="W93" s="22">
        <v>251.44</v>
      </c>
      <c r="X93" s="22">
        <v>251.44</v>
      </c>
      <c r="Y93" s="22">
        <v>251.44</v>
      </c>
      <c r="Z93" s="22">
        <v>251.44</v>
      </c>
      <c r="AA93" s="22">
        <v>251.44</v>
      </c>
    </row>
    <row r="94" spans="2:35" x14ac:dyDescent="0.3">
      <c r="B94" s="181"/>
      <c r="C94" s="107"/>
      <c r="D94" s="107"/>
      <c r="E94" s="107"/>
      <c r="F94" s="107"/>
      <c r="G94" s="107"/>
      <c r="H94" s="107"/>
      <c r="I94" s="107"/>
      <c r="J94" s="107"/>
      <c r="K94" s="107"/>
      <c r="L94" s="107"/>
      <c r="M94" s="107"/>
      <c r="N94" s="107"/>
      <c r="O94" s="107"/>
      <c r="P94" s="107"/>
      <c r="Q94" s="107"/>
      <c r="R94" s="107"/>
      <c r="S94" s="107"/>
      <c r="T94" s="107"/>
      <c r="U94" s="107"/>
      <c r="V94" s="107"/>
      <c r="W94" s="107"/>
      <c r="X94" s="107"/>
      <c r="Y94" s="107"/>
      <c r="Z94" s="107"/>
      <c r="AA94" s="23"/>
    </row>
    <row r="95" spans="2:35" x14ac:dyDescent="0.3">
      <c r="B95" s="181"/>
      <c r="C95" s="129" t="s">
        <v>21</v>
      </c>
      <c r="D95" s="24">
        <v>0.27</v>
      </c>
      <c r="E95" s="24">
        <v>0.27</v>
      </c>
      <c r="F95" s="24">
        <v>0.27</v>
      </c>
      <c r="G95" s="24">
        <v>0.27</v>
      </c>
      <c r="H95" s="24">
        <v>0.27</v>
      </c>
      <c r="I95" s="24">
        <v>0.27</v>
      </c>
      <c r="J95" s="24">
        <v>0.27</v>
      </c>
      <c r="K95" s="24">
        <v>0.27</v>
      </c>
      <c r="L95" s="24">
        <v>0.27</v>
      </c>
      <c r="M95" s="24">
        <v>0.27</v>
      </c>
      <c r="N95" s="24">
        <v>0.27</v>
      </c>
      <c r="O95" s="24">
        <v>0.27</v>
      </c>
      <c r="P95" s="24">
        <v>0.27</v>
      </c>
      <c r="Q95" s="24">
        <v>0.27</v>
      </c>
      <c r="R95" s="24">
        <v>0.27</v>
      </c>
      <c r="S95" s="24">
        <v>0.27</v>
      </c>
      <c r="T95" s="24">
        <v>0.27</v>
      </c>
      <c r="U95" s="24">
        <v>0.27</v>
      </c>
      <c r="V95" s="24">
        <v>0.27</v>
      </c>
      <c r="W95" s="24">
        <v>0.27</v>
      </c>
      <c r="X95" s="24">
        <v>0.27</v>
      </c>
      <c r="Y95" s="24">
        <v>0.27</v>
      </c>
      <c r="Z95" s="24">
        <v>0.27</v>
      </c>
      <c r="AA95" s="24">
        <v>0.27</v>
      </c>
    </row>
    <row r="96" spans="2:35" x14ac:dyDescent="0.3">
      <c r="B96" s="181"/>
      <c r="C96" s="129" t="s">
        <v>22</v>
      </c>
      <c r="D96" s="25">
        <v>0.05</v>
      </c>
      <c r="E96" s="26">
        <v>0.05</v>
      </c>
      <c r="F96" s="26">
        <v>0.05</v>
      </c>
      <c r="G96" s="26">
        <v>0.05</v>
      </c>
      <c r="H96" s="26">
        <v>0.05</v>
      </c>
      <c r="I96" s="26">
        <v>0.05</v>
      </c>
      <c r="J96" s="25">
        <v>0.05</v>
      </c>
      <c r="K96" s="26">
        <v>0.05</v>
      </c>
      <c r="L96" s="26">
        <v>0.05</v>
      </c>
      <c r="M96" s="26">
        <v>0.05</v>
      </c>
      <c r="N96" s="26">
        <v>0.05</v>
      </c>
      <c r="O96" s="26">
        <v>0.05</v>
      </c>
      <c r="P96" s="26">
        <v>0.05</v>
      </c>
      <c r="Q96" s="26">
        <v>0.05</v>
      </c>
      <c r="R96" s="26">
        <v>0.05</v>
      </c>
      <c r="S96" s="26">
        <v>0.05</v>
      </c>
      <c r="T96" s="26">
        <v>0.05</v>
      </c>
      <c r="U96" s="26">
        <v>0.05</v>
      </c>
      <c r="V96" s="26">
        <v>0.05</v>
      </c>
      <c r="W96" s="26">
        <v>0.05</v>
      </c>
      <c r="X96" s="26">
        <v>0.05</v>
      </c>
      <c r="Y96" s="26">
        <v>0.05</v>
      </c>
      <c r="Z96" s="26">
        <v>0.05</v>
      </c>
      <c r="AA96" s="26">
        <v>0.05</v>
      </c>
    </row>
    <row r="97" spans="2:29" x14ac:dyDescent="0.3">
      <c r="B97" s="181"/>
      <c r="C97" s="107"/>
      <c r="D97" s="107"/>
      <c r="E97" s="107"/>
      <c r="F97" s="107"/>
      <c r="G97" s="107"/>
      <c r="H97" s="107"/>
      <c r="I97" s="107"/>
      <c r="J97" s="107"/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07"/>
      <c r="V97" s="107"/>
      <c r="W97" s="107"/>
      <c r="X97" s="107"/>
      <c r="Y97" s="107"/>
      <c r="Z97" s="107"/>
      <c r="AA97" s="23"/>
    </row>
    <row r="98" spans="2:29" x14ac:dyDescent="0.3">
      <c r="B98" s="181"/>
      <c r="C98" s="131" t="s">
        <v>23</v>
      </c>
      <c r="D98" s="27">
        <f>IF(D87="Azul",D76*D88*(1-D84),0)</f>
        <v>0</v>
      </c>
      <c r="E98" s="28">
        <f t="shared" ref="E98:O98" si="42">IF(E87="Azul",E76*E88*(1-E84),0)</f>
        <v>0</v>
      </c>
      <c r="F98" s="28">
        <f t="shared" si="42"/>
        <v>0</v>
      </c>
      <c r="G98" s="28">
        <f t="shared" si="42"/>
        <v>0</v>
      </c>
      <c r="H98" s="28">
        <f t="shared" si="42"/>
        <v>0</v>
      </c>
      <c r="I98" s="28">
        <f t="shared" si="42"/>
        <v>0</v>
      </c>
      <c r="J98" s="27">
        <f t="shared" si="42"/>
        <v>0</v>
      </c>
      <c r="K98" s="28">
        <f t="shared" si="42"/>
        <v>0</v>
      </c>
      <c r="L98" s="28">
        <f t="shared" si="42"/>
        <v>0</v>
      </c>
      <c r="M98" s="28">
        <f t="shared" si="42"/>
        <v>0</v>
      </c>
      <c r="N98" s="28">
        <f t="shared" si="42"/>
        <v>0</v>
      </c>
      <c r="O98" s="28">
        <f t="shared" si="42"/>
        <v>0</v>
      </c>
      <c r="P98" s="27">
        <f>IF(P87="Azul",P76*P88*(1-P84),0)</f>
        <v>0</v>
      </c>
      <c r="Q98" s="28">
        <f t="shared" ref="Q98:AA98" si="43">IF(Q87="Azul",Q76*Q88*(1-Q84),0)</f>
        <v>0</v>
      </c>
      <c r="R98" s="28">
        <f t="shared" si="43"/>
        <v>0</v>
      </c>
      <c r="S98" s="28">
        <f t="shared" si="43"/>
        <v>0</v>
      </c>
      <c r="T98" s="28">
        <f t="shared" si="43"/>
        <v>0</v>
      </c>
      <c r="U98" s="28">
        <f t="shared" si="43"/>
        <v>0</v>
      </c>
      <c r="V98" s="28">
        <f t="shared" si="43"/>
        <v>0</v>
      </c>
      <c r="W98" s="28">
        <f t="shared" si="43"/>
        <v>0</v>
      </c>
      <c r="X98" s="28">
        <f t="shared" si="43"/>
        <v>0</v>
      </c>
      <c r="Y98" s="28">
        <f t="shared" si="43"/>
        <v>0</v>
      </c>
      <c r="Z98" s="28">
        <f t="shared" si="43"/>
        <v>0</v>
      </c>
      <c r="AA98" s="28">
        <f t="shared" si="43"/>
        <v>0</v>
      </c>
    </row>
    <row r="99" spans="2:29" x14ac:dyDescent="0.3">
      <c r="B99" s="181"/>
      <c r="C99" s="131" t="s">
        <v>24</v>
      </c>
      <c r="D99" s="29">
        <f>D78*D88*2</f>
        <v>0</v>
      </c>
      <c r="E99" s="30">
        <f t="shared" ref="E99:O99" si="44">E78*E88*2</f>
        <v>0</v>
      </c>
      <c r="F99" s="30">
        <f t="shared" si="44"/>
        <v>0</v>
      </c>
      <c r="G99" s="30">
        <f t="shared" si="44"/>
        <v>0</v>
      </c>
      <c r="H99" s="30">
        <f t="shared" si="44"/>
        <v>0</v>
      </c>
      <c r="I99" s="30">
        <f t="shared" si="44"/>
        <v>0</v>
      </c>
      <c r="J99" s="29">
        <f t="shared" si="44"/>
        <v>0</v>
      </c>
      <c r="K99" s="30">
        <f t="shared" si="44"/>
        <v>0</v>
      </c>
      <c r="L99" s="30">
        <f t="shared" si="44"/>
        <v>0</v>
      </c>
      <c r="M99" s="30">
        <f t="shared" si="44"/>
        <v>0</v>
      </c>
      <c r="N99" s="30">
        <f t="shared" si="44"/>
        <v>0</v>
      </c>
      <c r="O99" s="30">
        <f t="shared" si="44"/>
        <v>0</v>
      </c>
      <c r="P99" s="29">
        <f>P78*P88*2</f>
        <v>0</v>
      </c>
      <c r="Q99" s="30">
        <f t="shared" ref="Q99:AA99" si="45">Q78*Q88*2</f>
        <v>0</v>
      </c>
      <c r="R99" s="30">
        <f t="shared" si="45"/>
        <v>0</v>
      </c>
      <c r="S99" s="30">
        <f t="shared" si="45"/>
        <v>0</v>
      </c>
      <c r="T99" s="30">
        <f t="shared" si="45"/>
        <v>0</v>
      </c>
      <c r="U99" s="30">
        <f t="shared" si="45"/>
        <v>0</v>
      </c>
      <c r="V99" s="30">
        <f t="shared" si="45"/>
        <v>0</v>
      </c>
      <c r="W99" s="30">
        <f t="shared" si="45"/>
        <v>0</v>
      </c>
      <c r="X99" s="30">
        <f t="shared" si="45"/>
        <v>0</v>
      </c>
      <c r="Y99" s="30">
        <f t="shared" si="45"/>
        <v>0</v>
      </c>
      <c r="Z99" s="30">
        <f t="shared" si="45"/>
        <v>0</v>
      </c>
      <c r="AA99" s="30">
        <f t="shared" si="45"/>
        <v>0</v>
      </c>
    </row>
    <row r="100" spans="2:29" x14ac:dyDescent="0.3">
      <c r="B100" s="181"/>
      <c r="C100" s="131" t="s">
        <v>25</v>
      </c>
      <c r="D100" s="31">
        <f>D77*D89*(1-D84)</f>
        <v>4815</v>
      </c>
      <c r="E100" s="32">
        <f t="shared" ref="E100:O100" si="46">E77*E89*(1-E84)</f>
        <v>4815</v>
      </c>
      <c r="F100" s="32">
        <f t="shared" si="46"/>
        <v>4815</v>
      </c>
      <c r="G100" s="32">
        <f t="shared" si="46"/>
        <v>4815</v>
      </c>
      <c r="H100" s="32">
        <f t="shared" si="46"/>
        <v>4815</v>
      </c>
      <c r="I100" s="32">
        <f t="shared" si="46"/>
        <v>4815</v>
      </c>
      <c r="J100" s="31">
        <f t="shared" si="46"/>
        <v>4815</v>
      </c>
      <c r="K100" s="32">
        <f t="shared" si="46"/>
        <v>4815</v>
      </c>
      <c r="L100" s="32">
        <f t="shared" si="46"/>
        <v>4815</v>
      </c>
      <c r="M100" s="32">
        <f t="shared" si="46"/>
        <v>4815</v>
      </c>
      <c r="N100" s="32">
        <f t="shared" si="46"/>
        <v>4815</v>
      </c>
      <c r="O100" s="32">
        <f t="shared" si="46"/>
        <v>4815</v>
      </c>
      <c r="P100" s="31">
        <f>P77*P89*(1-P84)</f>
        <v>4815</v>
      </c>
      <c r="Q100" s="32">
        <f t="shared" ref="Q100:AA100" si="47">Q77*Q89*(1-Q84)</f>
        <v>4815</v>
      </c>
      <c r="R100" s="32">
        <f t="shared" si="47"/>
        <v>4815</v>
      </c>
      <c r="S100" s="32">
        <f t="shared" si="47"/>
        <v>4815</v>
      </c>
      <c r="T100" s="32">
        <f t="shared" si="47"/>
        <v>4815</v>
      </c>
      <c r="U100" s="32">
        <f t="shared" si="47"/>
        <v>4815</v>
      </c>
      <c r="V100" s="32">
        <f t="shared" si="47"/>
        <v>4815</v>
      </c>
      <c r="W100" s="32">
        <f t="shared" si="47"/>
        <v>4815</v>
      </c>
      <c r="X100" s="32">
        <f t="shared" si="47"/>
        <v>4815</v>
      </c>
      <c r="Y100" s="32">
        <f t="shared" si="47"/>
        <v>4815</v>
      </c>
      <c r="Z100" s="32">
        <f t="shared" si="47"/>
        <v>4815</v>
      </c>
      <c r="AA100" s="32">
        <f t="shared" si="47"/>
        <v>4815</v>
      </c>
    </row>
    <row r="101" spans="2:29" x14ac:dyDescent="0.3">
      <c r="B101" s="181"/>
      <c r="C101" s="131" t="s">
        <v>26</v>
      </c>
      <c r="D101" s="29">
        <f>D79*D89*2</f>
        <v>0</v>
      </c>
      <c r="E101" s="30">
        <f t="shared" ref="E101:O101" si="48">E79*E89*2</f>
        <v>0</v>
      </c>
      <c r="F101" s="30">
        <f t="shared" si="48"/>
        <v>0</v>
      </c>
      <c r="G101" s="30">
        <f t="shared" si="48"/>
        <v>0</v>
      </c>
      <c r="H101" s="30">
        <f t="shared" si="48"/>
        <v>0</v>
      </c>
      <c r="I101" s="30">
        <f t="shared" si="48"/>
        <v>0</v>
      </c>
      <c r="J101" s="29">
        <f t="shared" si="48"/>
        <v>0</v>
      </c>
      <c r="K101" s="30">
        <f t="shared" si="48"/>
        <v>0</v>
      </c>
      <c r="L101" s="30">
        <f t="shared" si="48"/>
        <v>0</v>
      </c>
      <c r="M101" s="30">
        <f t="shared" si="48"/>
        <v>0</v>
      </c>
      <c r="N101" s="30">
        <f t="shared" si="48"/>
        <v>0</v>
      </c>
      <c r="O101" s="30">
        <f t="shared" si="48"/>
        <v>0</v>
      </c>
      <c r="P101" s="29">
        <f>P79*P89*2</f>
        <v>0</v>
      </c>
      <c r="Q101" s="30">
        <f t="shared" ref="Q101:AA101" si="49">Q79*Q89*2</f>
        <v>0</v>
      </c>
      <c r="R101" s="30">
        <f t="shared" si="49"/>
        <v>0</v>
      </c>
      <c r="S101" s="30">
        <f t="shared" si="49"/>
        <v>0</v>
      </c>
      <c r="T101" s="30">
        <f t="shared" si="49"/>
        <v>0</v>
      </c>
      <c r="U101" s="30">
        <f t="shared" si="49"/>
        <v>0</v>
      </c>
      <c r="V101" s="30">
        <f t="shared" si="49"/>
        <v>0</v>
      </c>
      <c r="W101" s="30">
        <f t="shared" si="49"/>
        <v>0</v>
      </c>
      <c r="X101" s="30">
        <f t="shared" si="49"/>
        <v>0</v>
      </c>
      <c r="Y101" s="30">
        <f t="shared" si="49"/>
        <v>0</v>
      </c>
      <c r="Z101" s="30">
        <f t="shared" si="49"/>
        <v>0</v>
      </c>
      <c r="AA101" s="30">
        <f t="shared" si="49"/>
        <v>0</v>
      </c>
    </row>
    <row r="102" spans="2:29" x14ac:dyDescent="0.3">
      <c r="B102" s="181"/>
      <c r="C102" s="131" t="s">
        <v>27</v>
      </c>
      <c r="D102" s="31">
        <f>IF(D87="Azul",D80*D91,D80*((D90-D91)*(1-D84)+D91))</f>
        <v>7225.8374999999996</v>
      </c>
      <c r="E102" s="32">
        <f t="shared" ref="E102:O102" si="50">IF(E87="Azul",E80*E91,E80*((E90-E91)*(1-E84)+E91))</f>
        <v>7225.8374999999996</v>
      </c>
      <c r="F102" s="32">
        <f t="shared" si="50"/>
        <v>8960.0384999999987</v>
      </c>
      <c r="G102" s="32">
        <f t="shared" si="50"/>
        <v>7803.9044999999996</v>
      </c>
      <c r="H102" s="32">
        <f t="shared" si="50"/>
        <v>6647.7704999999996</v>
      </c>
      <c r="I102" s="32">
        <f t="shared" si="50"/>
        <v>4046.4689999999996</v>
      </c>
      <c r="J102" s="31">
        <f t="shared" si="50"/>
        <v>5780.67</v>
      </c>
      <c r="K102" s="32">
        <f t="shared" si="50"/>
        <v>6358.7370000000001</v>
      </c>
      <c r="L102" s="32">
        <f t="shared" si="50"/>
        <v>8381.9714999999997</v>
      </c>
      <c r="M102" s="32">
        <f t="shared" si="50"/>
        <v>10116.172499999999</v>
      </c>
      <c r="N102" s="32">
        <f t="shared" si="50"/>
        <v>6936.8039999999992</v>
      </c>
      <c r="O102" s="32">
        <f t="shared" si="50"/>
        <v>8671.0049999999992</v>
      </c>
      <c r="P102" s="31">
        <f>IF(P87="Azul",P80*P91,P80*((P90-P91)*(1-P84)+P91))</f>
        <v>6936.8039999999992</v>
      </c>
      <c r="Q102" s="32">
        <f t="shared" ref="Q102:AA102" si="51">IF(Q87="Azul",Q80*Q91,Q80*((Q90-Q91)*(1-Q84)+Q91))</f>
        <v>5491.6364999999996</v>
      </c>
      <c r="R102" s="32">
        <f t="shared" si="51"/>
        <v>8960.0384999999987</v>
      </c>
      <c r="S102" s="32">
        <f t="shared" si="51"/>
        <v>10405.205999999998</v>
      </c>
      <c r="T102" s="32">
        <f t="shared" si="51"/>
        <v>8381.9714999999997</v>
      </c>
      <c r="U102" s="32">
        <f t="shared" si="51"/>
        <v>8960.0384999999987</v>
      </c>
      <c r="V102" s="32">
        <f t="shared" si="51"/>
        <v>7225.8374999999996</v>
      </c>
      <c r="W102" s="32">
        <f t="shared" si="51"/>
        <v>8381.9714999999997</v>
      </c>
      <c r="X102" s="32">
        <f t="shared" si="51"/>
        <v>9538.1054999999997</v>
      </c>
      <c r="Y102" s="32">
        <f t="shared" si="51"/>
        <v>6358.7370000000001</v>
      </c>
      <c r="Z102" s="32">
        <f t="shared" si="51"/>
        <v>10116.172499999999</v>
      </c>
      <c r="AA102" s="32">
        <f t="shared" si="51"/>
        <v>8092.9379999999992</v>
      </c>
    </row>
    <row r="103" spans="2:29" x14ac:dyDescent="0.3">
      <c r="B103" s="181"/>
      <c r="C103" s="132" t="s">
        <v>28</v>
      </c>
      <c r="D103" s="33">
        <f>D81*D91</f>
        <v>5383.6584000000003</v>
      </c>
      <c r="E103" s="34">
        <f t="shared" ref="E103:O103" si="52">E81*E91</f>
        <v>5743.9031999999997</v>
      </c>
      <c r="F103" s="34">
        <f t="shared" si="52"/>
        <v>6514.4268000000002</v>
      </c>
      <c r="G103" s="34">
        <f t="shared" si="52"/>
        <v>6794.6172000000006</v>
      </c>
      <c r="H103" s="34">
        <f t="shared" si="52"/>
        <v>5603.808</v>
      </c>
      <c r="I103" s="34">
        <f t="shared" si="52"/>
        <v>4132.8083999999999</v>
      </c>
      <c r="J103" s="33">
        <f t="shared" si="52"/>
        <v>4553.0940000000001</v>
      </c>
      <c r="K103" s="34">
        <f t="shared" si="52"/>
        <v>4906.6676000000007</v>
      </c>
      <c r="L103" s="34">
        <f t="shared" si="52"/>
        <v>6129.165</v>
      </c>
      <c r="M103" s="34">
        <f t="shared" si="52"/>
        <v>7319.9742000000006</v>
      </c>
      <c r="N103" s="34">
        <f t="shared" si="52"/>
        <v>6269.2602000000006</v>
      </c>
      <c r="O103" s="34">
        <f t="shared" si="52"/>
        <v>6304.2839999999997</v>
      </c>
      <c r="P103" s="33">
        <f>P81*P91</f>
        <v>6094.1412</v>
      </c>
      <c r="Q103" s="34">
        <f t="shared" ref="Q103:AA103" si="53">Q81*Q91</f>
        <v>5498.7366000000002</v>
      </c>
      <c r="R103" s="34">
        <f t="shared" si="53"/>
        <v>6654.5219999999999</v>
      </c>
      <c r="S103" s="34">
        <f t="shared" si="53"/>
        <v>7916.1293100000003</v>
      </c>
      <c r="T103" s="34">
        <f t="shared" si="53"/>
        <v>7144.8552000000009</v>
      </c>
      <c r="U103" s="34">
        <f t="shared" si="53"/>
        <v>6619.4982</v>
      </c>
      <c r="V103" s="34">
        <f t="shared" si="53"/>
        <v>5428.6889999999994</v>
      </c>
      <c r="W103" s="34">
        <f t="shared" si="53"/>
        <v>5743.9031999999997</v>
      </c>
      <c r="X103" s="34">
        <f t="shared" si="53"/>
        <v>7430.049</v>
      </c>
      <c r="Y103" s="34">
        <f t="shared" si="53"/>
        <v>5498.7366000000002</v>
      </c>
      <c r="Z103" s="34">
        <f t="shared" si="53"/>
        <v>7705.2360000000008</v>
      </c>
      <c r="AA103" s="34">
        <f t="shared" si="53"/>
        <v>6619.4982</v>
      </c>
    </row>
    <row r="104" spans="2:29" x14ac:dyDescent="0.3">
      <c r="B104" s="181"/>
      <c r="C104" s="131" t="s">
        <v>29</v>
      </c>
      <c r="D104" s="27">
        <f>SUM(D98:D103)</f>
        <v>17424.495900000002</v>
      </c>
      <c r="E104" s="28">
        <f>SUM(E98:E103)</f>
        <v>17784.740699999998</v>
      </c>
      <c r="F104" s="28">
        <f>SUM(F98:F103)</f>
        <v>20289.4653</v>
      </c>
      <c r="G104" s="28">
        <f t="shared" ref="G104:O104" si="54">SUM(G98:G103)</f>
        <v>19413.521700000001</v>
      </c>
      <c r="H104" s="28">
        <f t="shared" si="54"/>
        <v>17066.5785</v>
      </c>
      <c r="I104" s="28">
        <f t="shared" si="54"/>
        <v>12994.277399999999</v>
      </c>
      <c r="J104" s="27">
        <f t="shared" si="54"/>
        <v>15148.763999999999</v>
      </c>
      <c r="K104" s="28">
        <f t="shared" si="54"/>
        <v>16080.404600000002</v>
      </c>
      <c r="L104" s="28">
        <f t="shared" si="54"/>
        <v>19326.136500000001</v>
      </c>
      <c r="M104" s="28">
        <f t="shared" si="54"/>
        <v>22251.146699999998</v>
      </c>
      <c r="N104" s="28">
        <f t="shared" si="54"/>
        <v>18021.064200000001</v>
      </c>
      <c r="O104" s="28">
        <f t="shared" si="54"/>
        <v>19790.288999999997</v>
      </c>
      <c r="P104" s="27">
        <f>SUM(P98:P103)</f>
        <v>17845.945200000002</v>
      </c>
      <c r="Q104" s="28">
        <f t="shared" ref="Q104:AA104" si="55">SUM(Q98:Q103)</f>
        <v>15805.373100000001</v>
      </c>
      <c r="R104" s="28">
        <f t="shared" si="55"/>
        <v>20429.5605</v>
      </c>
      <c r="S104" s="28">
        <f t="shared" si="55"/>
        <v>23136.335309999999</v>
      </c>
      <c r="T104" s="28">
        <f t="shared" si="55"/>
        <v>20341.826700000001</v>
      </c>
      <c r="U104" s="28">
        <f t="shared" si="55"/>
        <v>20394.536699999997</v>
      </c>
      <c r="V104" s="28">
        <f t="shared" si="55"/>
        <v>17469.5265</v>
      </c>
      <c r="W104" s="28">
        <f t="shared" si="55"/>
        <v>18940.8747</v>
      </c>
      <c r="X104" s="28">
        <f t="shared" si="55"/>
        <v>21783.154500000001</v>
      </c>
      <c r="Y104" s="28">
        <f t="shared" si="55"/>
        <v>16672.473600000001</v>
      </c>
      <c r="Z104" s="28">
        <f t="shared" si="55"/>
        <v>22636.408499999998</v>
      </c>
      <c r="AA104" s="28">
        <f t="shared" si="55"/>
        <v>19527.436199999996</v>
      </c>
    </row>
    <row r="105" spans="2:29" x14ac:dyDescent="0.3">
      <c r="B105" s="181"/>
      <c r="C105" s="131" t="s">
        <v>30</v>
      </c>
      <c r="D105" s="35">
        <f>D104/(1-SUM(D95:D96))*SUM(D95:D96)+((D109+D107+D108)/(1-SUM(D95:D96)))*SUM(D95:D96)</f>
        <v>13453.994541176475</v>
      </c>
      <c r="E105" s="36">
        <f t="shared" ref="E105:AA105" si="56">E104/(1-SUM(E95:E96))*SUM(E95:E96)+((E109+E107+E108)/(1-SUM(E95:E96)))*SUM(E95:E96)</f>
        <v>13623.521505882352</v>
      </c>
      <c r="F105" s="36">
        <f t="shared" si="56"/>
        <v>15519.419294117648</v>
      </c>
      <c r="G105" s="36">
        <f t="shared" si="56"/>
        <v>14629.074635294121</v>
      </c>
      <c r="H105" s="36">
        <f t="shared" si="56"/>
        <v>13046.494870588238</v>
      </c>
      <c r="I105" s="36">
        <f t="shared" si="56"/>
        <v>10054.312094117648</v>
      </c>
      <c r="J105" s="35">
        <f t="shared" si="56"/>
        <v>11785.392</v>
      </c>
      <c r="K105" s="36">
        <f t="shared" si="56"/>
        <v>12462.879058823532</v>
      </c>
      <c r="L105" s="36">
        <f t="shared" si="56"/>
        <v>14827.020141176472</v>
      </c>
      <c r="M105" s="36">
        <f t="shared" si="56"/>
        <v>16920.699388235294</v>
      </c>
      <c r="N105" s="36">
        <f t="shared" si="56"/>
        <v>13615.198588235296</v>
      </c>
      <c r="O105" s="36">
        <f t="shared" si="56"/>
        <v>15164.978823529411</v>
      </c>
      <c r="P105" s="35">
        <f t="shared" si="56"/>
        <v>13532.789647058824</v>
      </c>
      <c r="Q105" s="36">
        <f t="shared" si="56"/>
        <v>11974.850541176473</v>
      </c>
      <c r="R105" s="36">
        <f t="shared" si="56"/>
        <v>15585.346447058826</v>
      </c>
      <c r="S105" s="36">
        <f t="shared" si="56"/>
        <v>17456.792710588234</v>
      </c>
      <c r="T105" s="36">
        <f t="shared" si="56"/>
        <v>15304.992000000002</v>
      </c>
      <c r="U105" s="36">
        <f t="shared" si="56"/>
        <v>15568.86465882353</v>
      </c>
      <c r="V105" s="36">
        <f t="shared" si="56"/>
        <v>13475.185411764709</v>
      </c>
      <c r="W105" s="36">
        <f t="shared" si="56"/>
        <v>14645.720470588238</v>
      </c>
      <c r="X105" s="36">
        <f t="shared" si="56"/>
        <v>16461.399811764706</v>
      </c>
      <c r="Y105" s="36">
        <f t="shared" si="56"/>
        <v>12741.499764705884</v>
      </c>
      <c r="Z105" s="36">
        <f t="shared" si="56"/>
        <v>17101.999058823531</v>
      </c>
      <c r="AA105" s="36">
        <f t="shared" si="56"/>
        <v>14802.215435294118</v>
      </c>
    </row>
    <row r="106" spans="2:29" x14ac:dyDescent="0.3">
      <c r="B106" s="181"/>
      <c r="C106" s="107"/>
      <c r="D106" s="107"/>
      <c r="E106" s="107"/>
      <c r="F106" s="107"/>
      <c r="G106" s="107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  <c r="S106" s="107"/>
      <c r="T106" s="107"/>
      <c r="U106" s="107"/>
      <c r="V106" s="107"/>
      <c r="W106" s="107"/>
      <c r="X106" s="107"/>
      <c r="Y106" s="107"/>
      <c r="Z106" s="107"/>
      <c r="AA106" s="37"/>
    </row>
    <row r="107" spans="2:29" x14ac:dyDescent="0.3">
      <c r="B107" s="181"/>
      <c r="C107" s="131" t="s">
        <v>31</v>
      </c>
      <c r="D107" s="9">
        <f>IF(D87="Azul",D76*D88*(D84),0)</f>
        <v>0</v>
      </c>
      <c r="E107" s="10">
        <f t="shared" ref="E107:O107" si="57">IF(E87="Azul",E76*E88*(E84),0)</f>
        <v>0</v>
      </c>
      <c r="F107" s="10">
        <f t="shared" si="57"/>
        <v>0</v>
      </c>
      <c r="G107" s="10">
        <f t="shared" si="57"/>
        <v>0</v>
      </c>
      <c r="H107" s="10">
        <f t="shared" si="57"/>
        <v>0</v>
      </c>
      <c r="I107" s="10">
        <f t="shared" si="57"/>
        <v>0</v>
      </c>
      <c r="J107" s="9">
        <f t="shared" si="57"/>
        <v>0</v>
      </c>
      <c r="K107" s="10">
        <f t="shared" si="57"/>
        <v>0</v>
      </c>
      <c r="L107" s="10">
        <f t="shared" si="57"/>
        <v>0</v>
      </c>
      <c r="M107" s="10">
        <f t="shared" si="57"/>
        <v>0</v>
      </c>
      <c r="N107" s="10">
        <f t="shared" si="57"/>
        <v>0</v>
      </c>
      <c r="O107" s="10">
        <f t="shared" si="57"/>
        <v>0</v>
      </c>
      <c r="P107" s="10">
        <f>IF(P87="Azul",P76*P88*(P84),0)</f>
        <v>0</v>
      </c>
      <c r="Q107" s="10">
        <f t="shared" ref="Q107:AA107" si="58">IF(Q87="Azul",Q76*Q88*(Q84),0)</f>
        <v>0</v>
      </c>
      <c r="R107" s="10">
        <f t="shared" si="58"/>
        <v>0</v>
      </c>
      <c r="S107" s="10">
        <f t="shared" si="58"/>
        <v>0</v>
      </c>
      <c r="T107" s="10">
        <f t="shared" si="58"/>
        <v>0</v>
      </c>
      <c r="U107" s="10">
        <f t="shared" si="58"/>
        <v>0</v>
      </c>
      <c r="V107" s="10">
        <f t="shared" si="58"/>
        <v>0</v>
      </c>
      <c r="W107" s="10">
        <f t="shared" si="58"/>
        <v>0</v>
      </c>
      <c r="X107" s="10">
        <f t="shared" si="58"/>
        <v>0</v>
      </c>
      <c r="Y107" s="10">
        <f t="shared" si="58"/>
        <v>0</v>
      </c>
      <c r="Z107" s="10">
        <f t="shared" si="58"/>
        <v>0</v>
      </c>
      <c r="AA107" s="10">
        <f t="shared" si="58"/>
        <v>0</v>
      </c>
    </row>
    <row r="108" spans="2:29" x14ac:dyDescent="0.3">
      <c r="B108" s="181"/>
      <c r="C108" s="131" t="s">
        <v>32</v>
      </c>
      <c r="D108" s="11">
        <f>D77*D89*(D84)</f>
        <v>4815</v>
      </c>
      <c r="E108" s="12">
        <f t="shared" ref="E108:O108" si="59">E77*E89*(E84)</f>
        <v>4815</v>
      </c>
      <c r="F108" s="12">
        <f t="shared" si="59"/>
        <v>4815</v>
      </c>
      <c r="G108" s="12">
        <f t="shared" si="59"/>
        <v>4815</v>
      </c>
      <c r="H108" s="12">
        <f t="shared" si="59"/>
        <v>4815</v>
      </c>
      <c r="I108" s="12">
        <f t="shared" si="59"/>
        <v>4815</v>
      </c>
      <c r="J108" s="11">
        <f t="shared" si="59"/>
        <v>4815</v>
      </c>
      <c r="K108" s="12">
        <f t="shared" si="59"/>
        <v>4815</v>
      </c>
      <c r="L108" s="12">
        <f t="shared" si="59"/>
        <v>4815</v>
      </c>
      <c r="M108" s="12">
        <f t="shared" si="59"/>
        <v>4815</v>
      </c>
      <c r="N108" s="12">
        <f t="shared" si="59"/>
        <v>4815</v>
      </c>
      <c r="O108" s="12">
        <f t="shared" si="59"/>
        <v>4815</v>
      </c>
      <c r="P108" s="12">
        <f>P77*P89*(P84)</f>
        <v>4815</v>
      </c>
      <c r="Q108" s="12">
        <f t="shared" ref="Q108:AA108" si="60">Q77*Q89*(Q84)</f>
        <v>4815</v>
      </c>
      <c r="R108" s="12">
        <f t="shared" si="60"/>
        <v>4815</v>
      </c>
      <c r="S108" s="12">
        <f t="shared" si="60"/>
        <v>4815</v>
      </c>
      <c r="T108" s="12">
        <f t="shared" si="60"/>
        <v>4815</v>
      </c>
      <c r="U108" s="12">
        <f t="shared" si="60"/>
        <v>4815</v>
      </c>
      <c r="V108" s="12">
        <f t="shared" si="60"/>
        <v>4815</v>
      </c>
      <c r="W108" s="12">
        <f t="shared" si="60"/>
        <v>4815</v>
      </c>
      <c r="X108" s="12">
        <f t="shared" si="60"/>
        <v>4815</v>
      </c>
      <c r="Y108" s="12">
        <f t="shared" si="60"/>
        <v>4815</v>
      </c>
      <c r="Z108" s="12">
        <f t="shared" si="60"/>
        <v>4815</v>
      </c>
      <c r="AA108" s="12">
        <f t="shared" si="60"/>
        <v>4815</v>
      </c>
    </row>
    <row r="109" spans="2:29" x14ac:dyDescent="0.3">
      <c r="B109" s="181"/>
      <c r="C109" s="129" t="s">
        <v>33</v>
      </c>
      <c r="D109" s="19">
        <f>IF(D87="Verde",D80*(D90-D91)*(D84),0)</f>
        <v>6350.2424999999994</v>
      </c>
      <c r="E109" s="20">
        <f t="shared" ref="E109:AA109" si="61">IF(E87="Verde",E80*(E90-E91)*(E84),0)</f>
        <v>6350.2424999999994</v>
      </c>
      <c r="F109" s="20">
        <f t="shared" si="61"/>
        <v>7874.3006999999998</v>
      </c>
      <c r="G109" s="20">
        <f t="shared" si="61"/>
        <v>6858.2618999999995</v>
      </c>
      <c r="H109" s="20">
        <f t="shared" si="61"/>
        <v>5842.2231000000002</v>
      </c>
      <c r="I109" s="20">
        <f t="shared" si="61"/>
        <v>3556.1357999999996</v>
      </c>
      <c r="J109" s="19">
        <f t="shared" si="61"/>
        <v>5080.1939999999995</v>
      </c>
      <c r="K109" s="20">
        <f t="shared" si="61"/>
        <v>5588.2133999999996</v>
      </c>
      <c r="L109" s="20">
        <f t="shared" si="61"/>
        <v>7366.2812999999996</v>
      </c>
      <c r="M109" s="20">
        <f t="shared" si="61"/>
        <v>8890.3394999999982</v>
      </c>
      <c r="N109" s="20">
        <f t="shared" si="61"/>
        <v>6096.2327999999998</v>
      </c>
      <c r="O109" s="20">
        <f t="shared" si="61"/>
        <v>7620.2909999999993</v>
      </c>
      <c r="P109" s="20">
        <f t="shared" si="61"/>
        <v>6096.2327999999998</v>
      </c>
      <c r="Q109" s="20">
        <f t="shared" si="61"/>
        <v>4826.1842999999999</v>
      </c>
      <c r="R109" s="20">
        <f t="shared" si="61"/>
        <v>7874.3006999999998</v>
      </c>
      <c r="S109" s="20">
        <f t="shared" si="61"/>
        <v>9144.3491999999987</v>
      </c>
      <c r="T109" s="20">
        <f t="shared" si="61"/>
        <v>7366.2812999999996</v>
      </c>
      <c r="U109" s="20">
        <f t="shared" si="61"/>
        <v>7874.3006999999998</v>
      </c>
      <c r="V109" s="20">
        <f t="shared" si="61"/>
        <v>6350.2424999999994</v>
      </c>
      <c r="W109" s="20">
        <f t="shared" si="61"/>
        <v>7366.2812999999996</v>
      </c>
      <c r="X109" s="20">
        <f t="shared" si="61"/>
        <v>8382.320099999999</v>
      </c>
      <c r="Y109" s="20">
        <f t="shared" si="61"/>
        <v>5588.2133999999996</v>
      </c>
      <c r="Z109" s="20">
        <f t="shared" si="61"/>
        <v>8890.3394999999982</v>
      </c>
      <c r="AA109" s="20">
        <f t="shared" si="61"/>
        <v>7112.2715999999991</v>
      </c>
      <c r="AC109" s="92"/>
    </row>
    <row r="110" spans="2:29" x14ac:dyDescent="0.3">
      <c r="B110" s="181"/>
      <c r="C110" s="109"/>
      <c r="D110" s="109"/>
      <c r="E110" s="109"/>
      <c r="F110" s="109"/>
      <c r="G110" s="109"/>
      <c r="H110" s="109"/>
      <c r="I110" s="109"/>
      <c r="J110" s="109"/>
      <c r="K110" s="109"/>
      <c r="L110" s="109"/>
      <c r="M110" s="109"/>
      <c r="N110" s="109"/>
      <c r="O110" s="109"/>
      <c r="P110" s="109"/>
      <c r="Q110" s="109"/>
      <c r="R110" s="109"/>
      <c r="S110" s="109"/>
      <c r="T110" s="109"/>
      <c r="U110" s="109"/>
      <c r="V110" s="109"/>
      <c r="W110" s="109"/>
      <c r="X110" s="109"/>
      <c r="Y110" s="109"/>
      <c r="Z110" s="109"/>
      <c r="AA110" s="38"/>
    </row>
    <row r="111" spans="2:29" x14ac:dyDescent="0.3">
      <c r="B111" s="181"/>
      <c r="C111" s="129" t="s">
        <v>34</v>
      </c>
      <c r="D111" s="98">
        <f>SUM(D80:D81)/D72</f>
        <v>0.10088709677419355</v>
      </c>
      <c r="E111" s="98">
        <f t="shared" ref="E111:O111" si="62">SUM(E80:E81)/E72</f>
        <v>0.11405172413793103</v>
      </c>
      <c r="F111" s="98">
        <f t="shared" si="62"/>
        <v>0.1225</v>
      </c>
      <c r="G111" s="98">
        <f t="shared" si="62"/>
        <v>0.12891666666666668</v>
      </c>
      <c r="H111" s="98">
        <f t="shared" si="62"/>
        <v>0.10330645161290322</v>
      </c>
      <c r="I111" s="98">
        <f t="shared" si="62"/>
        <v>7.7000000000000013E-2</v>
      </c>
      <c r="J111" s="98">
        <f t="shared" si="62"/>
        <v>8.4677419354838704E-2</v>
      </c>
      <c r="K111" s="98">
        <f t="shared" si="62"/>
        <v>9.1505376344086023E-2</v>
      </c>
      <c r="L111" s="98">
        <f t="shared" si="62"/>
        <v>0.11900000000000001</v>
      </c>
      <c r="M111" s="98">
        <f t="shared" si="62"/>
        <v>0.13774193548387098</v>
      </c>
      <c r="N111" s="98">
        <f t="shared" si="62"/>
        <v>0.11841666666666667</v>
      </c>
      <c r="O111" s="98">
        <f t="shared" si="62"/>
        <v>0.11854838709677418</v>
      </c>
      <c r="P111" s="98">
        <f>SUM(P80:P81)/P72</f>
        <v>0.11177419354838709</v>
      </c>
      <c r="Q111" s="98">
        <f t="shared" ref="Q111:AA111" si="63">SUM(Q80:Q81)/Q72</f>
        <v>0.11</v>
      </c>
      <c r="R111" s="98">
        <f t="shared" si="63"/>
        <v>0.12475806451612902</v>
      </c>
      <c r="S111" s="98">
        <f t="shared" si="63"/>
        <v>0.15284583333333335</v>
      </c>
      <c r="T111" s="98">
        <f t="shared" si="63"/>
        <v>0.13153225806451616</v>
      </c>
      <c r="U111" s="98">
        <f t="shared" si="63"/>
        <v>0.12833333333333333</v>
      </c>
      <c r="V111" s="98">
        <f t="shared" si="63"/>
        <v>0.10161290322580645</v>
      </c>
      <c r="W111" s="98">
        <f t="shared" si="63"/>
        <v>0.1089516129032258</v>
      </c>
      <c r="X111" s="98">
        <f t="shared" si="63"/>
        <v>0.14299999999999999</v>
      </c>
      <c r="Y111" s="98">
        <f t="shared" si="63"/>
        <v>0.10104838709677419</v>
      </c>
      <c r="Z111" s="98">
        <f t="shared" si="63"/>
        <v>0.14875000000000002</v>
      </c>
      <c r="AA111" s="98">
        <f t="shared" si="63"/>
        <v>0.1225</v>
      </c>
    </row>
    <row r="112" spans="2:29" x14ac:dyDescent="0.3">
      <c r="B112" s="181"/>
      <c r="C112" s="133" t="s">
        <v>35</v>
      </c>
      <c r="D112" s="97">
        <f t="shared" ref="D112:T112" si="64">D111*D72</f>
        <v>75.06</v>
      </c>
      <c r="E112" s="97">
        <f t="shared" si="64"/>
        <v>79.38</v>
      </c>
      <c r="F112" s="97">
        <f t="shared" si="64"/>
        <v>91.14</v>
      </c>
      <c r="G112" s="97">
        <f t="shared" si="64"/>
        <v>92.820000000000007</v>
      </c>
      <c r="H112" s="97">
        <f t="shared" si="64"/>
        <v>76.86</v>
      </c>
      <c r="I112" s="97">
        <f t="shared" si="64"/>
        <v>55.440000000000012</v>
      </c>
      <c r="J112" s="97">
        <f t="shared" si="64"/>
        <v>62.999999999999993</v>
      </c>
      <c r="K112" s="97">
        <f t="shared" si="64"/>
        <v>68.08</v>
      </c>
      <c r="L112" s="97">
        <f t="shared" si="64"/>
        <v>85.68</v>
      </c>
      <c r="M112" s="97">
        <f t="shared" si="64"/>
        <v>102.48</v>
      </c>
      <c r="N112" s="97">
        <f t="shared" si="64"/>
        <v>85.26</v>
      </c>
      <c r="O112" s="97">
        <f t="shared" si="64"/>
        <v>88.199999999999989</v>
      </c>
      <c r="P112" s="97">
        <f t="shared" si="64"/>
        <v>83.16</v>
      </c>
      <c r="Q112" s="97">
        <f t="shared" si="64"/>
        <v>73.92</v>
      </c>
      <c r="R112" s="97">
        <f t="shared" si="64"/>
        <v>92.82</v>
      </c>
      <c r="S112" s="97">
        <f t="shared" si="64"/>
        <v>110.04900000000001</v>
      </c>
      <c r="T112" s="97">
        <f t="shared" si="64"/>
        <v>97.860000000000014</v>
      </c>
      <c r="U112" s="97">
        <f>U111*U72</f>
        <v>92.399999999999991</v>
      </c>
      <c r="V112" s="97">
        <f t="shared" ref="V112:AA112" si="65">V111*V72</f>
        <v>75.599999999999994</v>
      </c>
      <c r="W112" s="97">
        <f t="shared" si="65"/>
        <v>81.06</v>
      </c>
      <c r="X112" s="97">
        <f t="shared" si="65"/>
        <v>102.96</v>
      </c>
      <c r="Y112" s="97">
        <f t="shared" si="65"/>
        <v>75.179999999999993</v>
      </c>
      <c r="Z112" s="97">
        <f t="shared" si="65"/>
        <v>107.10000000000001</v>
      </c>
      <c r="AA112" s="97">
        <f t="shared" si="65"/>
        <v>91.14</v>
      </c>
    </row>
    <row r="113" spans="2:29" x14ac:dyDescent="0.3">
      <c r="B113" s="181"/>
      <c r="C113" s="129" t="s">
        <v>36</v>
      </c>
      <c r="D113" s="39">
        <f t="shared" ref="D113:AA113" si="66">D112*1.1</f>
        <v>82.566000000000003</v>
      </c>
      <c r="E113" s="39">
        <f t="shared" si="66"/>
        <v>87.317999999999998</v>
      </c>
      <c r="F113" s="39">
        <f t="shared" si="66"/>
        <v>100.254</v>
      </c>
      <c r="G113" s="39">
        <f t="shared" si="66"/>
        <v>102.10200000000002</v>
      </c>
      <c r="H113" s="39">
        <f t="shared" si="66"/>
        <v>84.546000000000006</v>
      </c>
      <c r="I113" s="39">
        <f t="shared" si="66"/>
        <v>60.984000000000016</v>
      </c>
      <c r="J113" s="39">
        <f t="shared" si="66"/>
        <v>69.3</v>
      </c>
      <c r="K113" s="39">
        <f t="shared" si="66"/>
        <v>74.888000000000005</v>
      </c>
      <c r="L113" s="39">
        <f t="shared" si="66"/>
        <v>94.248000000000019</v>
      </c>
      <c r="M113" s="39">
        <f t="shared" si="66"/>
        <v>112.72800000000001</v>
      </c>
      <c r="N113" s="39">
        <f t="shared" si="66"/>
        <v>93.786000000000016</v>
      </c>
      <c r="O113" s="39">
        <f t="shared" si="66"/>
        <v>97.02</v>
      </c>
      <c r="P113" s="39">
        <f t="shared" si="66"/>
        <v>91.475999999999999</v>
      </c>
      <c r="Q113" s="39">
        <f t="shared" si="66"/>
        <v>81.312000000000012</v>
      </c>
      <c r="R113" s="39">
        <f t="shared" si="66"/>
        <v>102.102</v>
      </c>
      <c r="S113" s="39">
        <f t="shared" si="66"/>
        <v>121.05390000000001</v>
      </c>
      <c r="T113" s="39">
        <f t="shared" si="66"/>
        <v>107.64600000000003</v>
      </c>
      <c r="U113" s="39">
        <f t="shared" si="66"/>
        <v>101.64</v>
      </c>
      <c r="V113" s="39">
        <f t="shared" si="66"/>
        <v>83.16</v>
      </c>
      <c r="W113" s="39">
        <f t="shared" si="66"/>
        <v>89.166000000000011</v>
      </c>
      <c r="X113" s="39">
        <f t="shared" si="66"/>
        <v>113.256</v>
      </c>
      <c r="Y113" s="39">
        <f t="shared" si="66"/>
        <v>82.697999999999993</v>
      </c>
      <c r="Z113" s="39">
        <f t="shared" si="66"/>
        <v>117.81000000000002</v>
      </c>
      <c r="AA113" s="39">
        <f t="shared" si="66"/>
        <v>100.254</v>
      </c>
    </row>
    <row r="114" spans="2:29" x14ac:dyDescent="0.3">
      <c r="B114" s="181"/>
      <c r="C114" s="129" t="s">
        <v>37</v>
      </c>
      <c r="D114" s="40">
        <f t="shared" ref="D114:AA114" si="67">D112*0.9</f>
        <v>67.554000000000002</v>
      </c>
      <c r="E114" s="40">
        <f t="shared" si="67"/>
        <v>71.441999999999993</v>
      </c>
      <c r="F114" s="40">
        <f t="shared" si="67"/>
        <v>82.025999999999996</v>
      </c>
      <c r="G114" s="40">
        <f t="shared" si="67"/>
        <v>83.538000000000011</v>
      </c>
      <c r="H114" s="40">
        <f t="shared" si="67"/>
        <v>69.174000000000007</v>
      </c>
      <c r="I114" s="40">
        <f t="shared" si="67"/>
        <v>49.896000000000015</v>
      </c>
      <c r="J114" s="40">
        <f t="shared" si="67"/>
        <v>56.699999999999996</v>
      </c>
      <c r="K114" s="40">
        <f t="shared" si="67"/>
        <v>61.271999999999998</v>
      </c>
      <c r="L114" s="40">
        <f t="shared" si="67"/>
        <v>77.112000000000009</v>
      </c>
      <c r="M114" s="40">
        <f t="shared" si="67"/>
        <v>92.231999999999999</v>
      </c>
      <c r="N114" s="40">
        <f t="shared" si="67"/>
        <v>76.734000000000009</v>
      </c>
      <c r="O114" s="40">
        <f t="shared" si="67"/>
        <v>79.38</v>
      </c>
      <c r="P114" s="40">
        <f t="shared" si="67"/>
        <v>74.843999999999994</v>
      </c>
      <c r="Q114" s="40">
        <f t="shared" si="67"/>
        <v>66.528000000000006</v>
      </c>
      <c r="R114" s="40">
        <f t="shared" si="67"/>
        <v>83.537999999999997</v>
      </c>
      <c r="S114" s="40">
        <f t="shared" si="67"/>
        <v>99.044100000000014</v>
      </c>
      <c r="T114" s="40">
        <f t="shared" si="67"/>
        <v>88.074000000000012</v>
      </c>
      <c r="U114" s="40">
        <f t="shared" si="67"/>
        <v>83.16</v>
      </c>
      <c r="V114" s="40">
        <f t="shared" si="67"/>
        <v>68.039999999999992</v>
      </c>
      <c r="W114" s="40">
        <f t="shared" si="67"/>
        <v>72.954000000000008</v>
      </c>
      <c r="X114" s="40">
        <f t="shared" si="67"/>
        <v>92.664000000000001</v>
      </c>
      <c r="Y114" s="40">
        <f t="shared" si="67"/>
        <v>67.661999999999992</v>
      </c>
      <c r="Z114" s="40">
        <f t="shared" si="67"/>
        <v>96.390000000000015</v>
      </c>
      <c r="AA114" s="40">
        <f t="shared" si="67"/>
        <v>82.025999999999996</v>
      </c>
    </row>
    <row r="115" spans="2:29" x14ac:dyDescent="0.3">
      <c r="B115" s="18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  <c r="AA115" s="41"/>
    </row>
    <row r="116" spans="2:29" x14ac:dyDescent="0.3">
      <c r="B116" s="181"/>
      <c r="C116" s="129" t="s">
        <v>38</v>
      </c>
      <c r="D116" s="43">
        <f t="shared" ref="D116:O116" si="68">D112</f>
        <v>75.06</v>
      </c>
      <c r="E116" s="43">
        <f t="shared" si="68"/>
        <v>79.38</v>
      </c>
      <c r="F116" s="43">
        <f t="shared" si="68"/>
        <v>91.14</v>
      </c>
      <c r="G116" s="43">
        <f t="shared" si="68"/>
        <v>92.820000000000007</v>
      </c>
      <c r="H116" s="43">
        <f t="shared" si="68"/>
        <v>76.86</v>
      </c>
      <c r="I116" s="43">
        <f t="shared" si="68"/>
        <v>55.440000000000012</v>
      </c>
      <c r="J116" s="43">
        <f t="shared" si="68"/>
        <v>62.999999999999993</v>
      </c>
      <c r="K116" s="43">
        <f t="shared" si="68"/>
        <v>68.08</v>
      </c>
      <c r="L116" s="43">
        <f t="shared" si="68"/>
        <v>85.68</v>
      </c>
      <c r="M116" s="43">
        <f t="shared" si="68"/>
        <v>102.48</v>
      </c>
      <c r="N116" s="43">
        <f t="shared" si="68"/>
        <v>85.26</v>
      </c>
      <c r="O116" s="43">
        <f t="shared" si="68"/>
        <v>88.199999999999989</v>
      </c>
      <c r="P116" s="43">
        <f>P112</f>
        <v>83.16</v>
      </c>
      <c r="Q116" s="43">
        <f t="shared" ref="Q116:AA116" si="69">Q112</f>
        <v>73.92</v>
      </c>
      <c r="R116" s="43">
        <f t="shared" si="69"/>
        <v>92.82</v>
      </c>
      <c r="S116" s="43">
        <f t="shared" si="69"/>
        <v>110.04900000000001</v>
      </c>
      <c r="T116" s="43">
        <f t="shared" si="69"/>
        <v>97.860000000000014</v>
      </c>
      <c r="U116" s="43">
        <f t="shared" si="69"/>
        <v>92.399999999999991</v>
      </c>
      <c r="V116" s="43">
        <f t="shared" si="69"/>
        <v>75.599999999999994</v>
      </c>
      <c r="W116" s="43">
        <f t="shared" si="69"/>
        <v>81.06</v>
      </c>
      <c r="X116" s="43">
        <f t="shared" si="69"/>
        <v>102.96</v>
      </c>
      <c r="Y116" s="43">
        <f t="shared" si="69"/>
        <v>75.179999999999993</v>
      </c>
      <c r="Z116" s="43">
        <f t="shared" si="69"/>
        <v>107.10000000000001</v>
      </c>
      <c r="AA116" s="43">
        <f t="shared" si="69"/>
        <v>91.14</v>
      </c>
    </row>
    <row r="117" spans="2:29" x14ac:dyDescent="0.3">
      <c r="B117" s="181"/>
      <c r="C117" s="129" t="s">
        <v>39</v>
      </c>
      <c r="D117" s="127">
        <f>'SIMULAÇÃO CENÁRIOS'!$E$7</f>
        <v>220</v>
      </c>
      <c r="E117" s="127">
        <f>'SIMULAÇÃO CENÁRIOS'!$E$7</f>
        <v>220</v>
      </c>
      <c r="F117" s="127">
        <f>'SIMULAÇÃO CENÁRIOS'!$E$7</f>
        <v>220</v>
      </c>
      <c r="G117" s="127">
        <f>'SIMULAÇÃO CENÁRIOS'!$E$7</f>
        <v>220</v>
      </c>
      <c r="H117" s="127">
        <f>'SIMULAÇÃO CENÁRIOS'!$E$7</f>
        <v>220</v>
      </c>
      <c r="I117" s="127">
        <f>'SIMULAÇÃO CENÁRIOS'!$E$7</f>
        <v>220</v>
      </c>
      <c r="J117" s="127">
        <f>'SIMULAÇÃO CENÁRIOS'!$E$7</f>
        <v>220</v>
      </c>
      <c r="K117" s="127">
        <f>'SIMULAÇÃO CENÁRIOS'!$E$7</f>
        <v>220</v>
      </c>
      <c r="L117" s="127">
        <f>'SIMULAÇÃO CENÁRIOS'!$E$7</f>
        <v>220</v>
      </c>
      <c r="M117" s="127">
        <f>'SIMULAÇÃO CENÁRIOS'!$E$7</f>
        <v>220</v>
      </c>
      <c r="N117" s="127">
        <f>'SIMULAÇÃO CENÁRIOS'!$E$7</f>
        <v>220</v>
      </c>
      <c r="O117" s="127">
        <f>'SIMULAÇÃO CENÁRIOS'!$E$7</f>
        <v>220</v>
      </c>
      <c r="P117" s="127">
        <f>'SIMULAÇÃO CENÁRIOS'!$E$7</f>
        <v>220</v>
      </c>
      <c r="Q117" s="127">
        <f>'SIMULAÇÃO CENÁRIOS'!$E$7</f>
        <v>220</v>
      </c>
      <c r="R117" s="127">
        <f>'SIMULAÇÃO CENÁRIOS'!$E$7</f>
        <v>220</v>
      </c>
      <c r="S117" s="127">
        <f>'SIMULAÇÃO CENÁRIOS'!$E$7</f>
        <v>220</v>
      </c>
      <c r="T117" s="127">
        <f>'SIMULAÇÃO CENÁRIOS'!$E$7</f>
        <v>220</v>
      </c>
      <c r="U117" s="127">
        <f>'SIMULAÇÃO CENÁRIOS'!$E$7</f>
        <v>220</v>
      </c>
      <c r="V117" s="127">
        <f>'SIMULAÇÃO CENÁRIOS'!$E$7</f>
        <v>220</v>
      </c>
      <c r="W117" s="127">
        <f>'SIMULAÇÃO CENÁRIOS'!$E$7</f>
        <v>220</v>
      </c>
      <c r="X117" s="127">
        <f>'SIMULAÇÃO CENÁRIOS'!$E$7</f>
        <v>220</v>
      </c>
      <c r="Y117" s="127">
        <f>'SIMULAÇÃO CENÁRIOS'!$E$7</f>
        <v>220</v>
      </c>
      <c r="Z117" s="127">
        <f>'SIMULAÇÃO CENÁRIOS'!$E$7</f>
        <v>220</v>
      </c>
      <c r="AA117" s="127">
        <f>'SIMULAÇÃO CENÁRIOS'!$E$7</f>
        <v>220</v>
      </c>
    </row>
    <row r="118" spans="2:29" x14ac:dyDescent="0.3">
      <c r="B118" s="181"/>
      <c r="C118" s="129" t="s">
        <v>40</v>
      </c>
      <c r="D118" s="44">
        <f>D116*D117/(1-$P$27)</f>
        <v>22620.821917808222</v>
      </c>
      <c r="E118" s="44">
        <f t="shared" ref="E118:O118" si="70">E116*E117/(1-$P$27)</f>
        <v>23922.739726027397</v>
      </c>
      <c r="F118" s="44">
        <f t="shared" si="70"/>
        <v>27466.849315068492</v>
      </c>
      <c r="G118" s="44">
        <f t="shared" si="70"/>
        <v>27973.150684931508</v>
      </c>
      <c r="H118" s="44">
        <f t="shared" si="70"/>
        <v>23163.28767123288</v>
      </c>
      <c r="I118" s="44">
        <f t="shared" si="70"/>
        <v>16707.945205479456</v>
      </c>
      <c r="J118" s="44">
        <f t="shared" si="70"/>
        <v>18986.301369863013</v>
      </c>
      <c r="K118" s="44">
        <f t="shared" si="70"/>
        <v>20517.260273972603</v>
      </c>
      <c r="L118" s="44">
        <f t="shared" si="70"/>
        <v>25821.369863013701</v>
      </c>
      <c r="M118" s="44">
        <f t="shared" si="70"/>
        <v>30884.383561643841</v>
      </c>
      <c r="N118" s="44">
        <f t="shared" si="70"/>
        <v>25694.794520547948</v>
      </c>
      <c r="O118" s="44">
        <f t="shared" si="70"/>
        <v>26580.821917808214</v>
      </c>
      <c r="P118" s="44">
        <f>P116*P117/(1-$P$27)</f>
        <v>25061.917808219179</v>
      </c>
      <c r="Q118" s="44">
        <f t="shared" ref="Q118:AA118" si="71">Q116*Q117/(1-$P$27)</f>
        <v>22277.260273972603</v>
      </c>
      <c r="R118" s="44">
        <f t="shared" si="71"/>
        <v>27973.150684931505</v>
      </c>
      <c r="S118" s="44">
        <f t="shared" si="71"/>
        <v>33165.452054794521</v>
      </c>
      <c r="T118" s="44">
        <f t="shared" si="71"/>
        <v>29492.054794520554</v>
      </c>
      <c r="U118" s="44">
        <f t="shared" si="71"/>
        <v>27846.575342465749</v>
      </c>
      <c r="V118" s="44">
        <f t="shared" si="71"/>
        <v>22783.561643835616</v>
      </c>
      <c r="W118" s="44">
        <f t="shared" si="71"/>
        <v>24429.041095890414</v>
      </c>
      <c r="X118" s="44">
        <f t="shared" si="71"/>
        <v>31029.041095890407</v>
      </c>
      <c r="Y118" s="44">
        <f t="shared" si="71"/>
        <v>22656.986301369863</v>
      </c>
      <c r="Z118" s="44">
        <f t="shared" si="71"/>
        <v>32276.712328767127</v>
      </c>
      <c r="AA118" s="44">
        <f t="shared" si="71"/>
        <v>27466.849315068492</v>
      </c>
    </row>
    <row r="119" spans="2:29" ht="17.25" thickBot="1" x14ac:dyDescent="0.35">
      <c r="B119" s="18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  <c r="AA119" s="45"/>
    </row>
    <row r="120" spans="2:29" ht="17.25" thickBot="1" x14ac:dyDescent="0.35">
      <c r="B120" s="181"/>
      <c r="C120" s="134" t="s">
        <v>98</v>
      </c>
      <c r="D120" s="46">
        <f t="shared" ref="D120:O120" si="72">+D118+D105+D104</f>
        <v>53499.312358984702</v>
      </c>
      <c r="E120" s="46">
        <f t="shared" si="72"/>
        <v>55331.001931909748</v>
      </c>
      <c r="F120" s="46">
        <f t="shared" si="72"/>
        <v>63275.733909186136</v>
      </c>
      <c r="G120" s="46">
        <f t="shared" si="72"/>
        <v>62015.747020225623</v>
      </c>
      <c r="H120" s="46">
        <f t="shared" si="72"/>
        <v>53276.361041821117</v>
      </c>
      <c r="I120" s="46">
        <f t="shared" si="72"/>
        <v>39756.534699597105</v>
      </c>
      <c r="J120" s="46">
        <f t="shared" si="72"/>
        <v>45920.457369863012</v>
      </c>
      <c r="K120" s="46">
        <f t="shared" si="72"/>
        <v>49060.543932796136</v>
      </c>
      <c r="L120" s="46">
        <f t="shared" si="72"/>
        <v>59974.526504190173</v>
      </c>
      <c r="M120" s="46">
        <f t="shared" si="72"/>
        <v>70056.229649879126</v>
      </c>
      <c r="N120" s="46">
        <f t="shared" si="72"/>
        <v>57331.057308783245</v>
      </c>
      <c r="O120" s="46">
        <f t="shared" si="72"/>
        <v>61536.089741337622</v>
      </c>
      <c r="P120" s="46">
        <f>+P118+P105+P104</f>
        <v>56440.652655278005</v>
      </c>
      <c r="Q120" s="46">
        <f t="shared" ref="Q120:AA120" si="73">+Q118+Q105+Q104</f>
        <v>50057.483915149074</v>
      </c>
      <c r="R120" s="46">
        <f t="shared" si="73"/>
        <v>63988.057631990327</v>
      </c>
      <c r="S120" s="46">
        <f t="shared" si="73"/>
        <v>73758.58007538275</v>
      </c>
      <c r="T120" s="46">
        <f t="shared" si="73"/>
        <v>65138.873494520565</v>
      </c>
      <c r="U120" s="46">
        <f t="shared" si="73"/>
        <v>63809.976701289277</v>
      </c>
      <c r="V120" s="46">
        <f t="shared" si="73"/>
        <v>53728.273555600324</v>
      </c>
      <c r="W120" s="46">
        <f t="shared" si="73"/>
        <v>58015.63626647865</v>
      </c>
      <c r="X120" s="46">
        <f t="shared" si="73"/>
        <v>69273.595407655113</v>
      </c>
      <c r="Y120" s="46">
        <f t="shared" si="73"/>
        <v>52070.959666075752</v>
      </c>
      <c r="Z120" s="46">
        <f t="shared" si="73"/>
        <v>72015.119887590656</v>
      </c>
      <c r="AA120" s="46">
        <f t="shared" si="73"/>
        <v>61796.500950362606</v>
      </c>
      <c r="AC120" s="47">
        <f>SUM(D120:AA120)</f>
        <v>1411127.3056759464</v>
      </c>
    </row>
    <row r="121" spans="2:29" x14ac:dyDescent="0.3">
      <c r="B121" s="181"/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100"/>
    </row>
    <row r="122" spans="2:29" ht="45.75" x14ac:dyDescent="0.3">
      <c r="B122" s="181"/>
      <c r="C122" s="172" t="s">
        <v>99</v>
      </c>
      <c r="D122" s="172"/>
      <c r="E122" s="172"/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3"/>
    </row>
    <row r="123" spans="2:29" x14ac:dyDescent="0.3">
      <c r="B123" s="181"/>
      <c r="C123" s="129" t="s">
        <v>101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3">
        <v>0</v>
      </c>
      <c r="R123" s="43">
        <v>0</v>
      </c>
      <c r="S123" s="43">
        <v>0</v>
      </c>
      <c r="T123" s="43">
        <v>0</v>
      </c>
      <c r="U123" s="43">
        <v>0</v>
      </c>
      <c r="V123" s="43">
        <v>0</v>
      </c>
      <c r="W123" s="43">
        <v>0</v>
      </c>
      <c r="X123" s="43">
        <v>0</v>
      </c>
      <c r="Y123" s="43">
        <v>0</v>
      </c>
      <c r="Z123" s="43">
        <v>0</v>
      </c>
      <c r="AA123" s="43">
        <v>0</v>
      </c>
    </row>
    <row r="124" spans="2:29" x14ac:dyDescent="0.3">
      <c r="B124" s="181"/>
      <c r="C124" s="129" t="s">
        <v>102</v>
      </c>
      <c r="D124" s="17">
        <f t="shared" ref="D124:O124" si="74">D77*D89+D79*D89*2</f>
        <v>9630</v>
      </c>
      <c r="E124" s="17">
        <f t="shared" si="74"/>
        <v>9630</v>
      </c>
      <c r="F124" s="17">
        <f t="shared" si="74"/>
        <v>9630</v>
      </c>
      <c r="G124" s="17">
        <f t="shared" si="74"/>
        <v>9630</v>
      </c>
      <c r="H124" s="17">
        <f t="shared" si="74"/>
        <v>9630</v>
      </c>
      <c r="I124" s="17">
        <f t="shared" si="74"/>
        <v>9630</v>
      </c>
      <c r="J124" s="17">
        <f t="shared" si="74"/>
        <v>9630</v>
      </c>
      <c r="K124" s="17">
        <f t="shared" si="74"/>
        <v>9630</v>
      </c>
      <c r="L124" s="17">
        <f t="shared" si="74"/>
        <v>9630</v>
      </c>
      <c r="M124" s="17">
        <f t="shared" si="74"/>
        <v>9630</v>
      </c>
      <c r="N124" s="17">
        <f t="shared" si="74"/>
        <v>9630</v>
      </c>
      <c r="O124" s="17">
        <f t="shared" si="74"/>
        <v>9630</v>
      </c>
      <c r="P124" s="17">
        <f>P77*P89+P79*P89*2</f>
        <v>9630</v>
      </c>
      <c r="Q124" s="18">
        <f t="shared" ref="Q124:AA124" si="75">Q77*Q89+Q79*Q89*2</f>
        <v>9630</v>
      </c>
      <c r="R124" s="18">
        <f t="shared" si="75"/>
        <v>9630</v>
      </c>
      <c r="S124" s="18">
        <f t="shared" si="75"/>
        <v>9630</v>
      </c>
      <c r="T124" s="18">
        <f t="shared" si="75"/>
        <v>9630</v>
      </c>
      <c r="U124" s="18">
        <f t="shared" si="75"/>
        <v>9630</v>
      </c>
      <c r="V124" s="18">
        <f t="shared" si="75"/>
        <v>9630</v>
      </c>
      <c r="W124" s="18">
        <f t="shared" si="75"/>
        <v>9630</v>
      </c>
      <c r="X124" s="18">
        <f t="shared" si="75"/>
        <v>9630</v>
      </c>
      <c r="Y124" s="18">
        <f t="shared" si="75"/>
        <v>9630</v>
      </c>
      <c r="Z124" s="18">
        <f t="shared" si="75"/>
        <v>9630</v>
      </c>
      <c r="AA124" s="18">
        <f t="shared" si="75"/>
        <v>9630</v>
      </c>
    </row>
    <row r="125" spans="2:29" x14ac:dyDescent="0.3">
      <c r="B125" s="181"/>
      <c r="C125" s="129" t="s">
        <v>103</v>
      </c>
      <c r="D125" s="102">
        <f t="shared" ref="D125:O125" si="76">D80*D90</f>
        <v>13576.08</v>
      </c>
      <c r="E125" s="102">
        <f t="shared" si="76"/>
        <v>13576.08</v>
      </c>
      <c r="F125" s="102">
        <f t="shared" si="76"/>
        <v>16834.339199999999</v>
      </c>
      <c r="G125" s="102">
        <f t="shared" si="76"/>
        <v>14662.1664</v>
      </c>
      <c r="H125" s="102">
        <f t="shared" si="76"/>
        <v>12489.9936</v>
      </c>
      <c r="I125" s="102">
        <f t="shared" si="76"/>
        <v>7602.6048000000001</v>
      </c>
      <c r="J125" s="102">
        <f t="shared" si="76"/>
        <v>10860.864000000001</v>
      </c>
      <c r="K125" s="102">
        <f t="shared" si="76"/>
        <v>11946.9504</v>
      </c>
      <c r="L125" s="102">
        <f t="shared" si="76"/>
        <v>15748.2528</v>
      </c>
      <c r="M125" s="102">
        <f t="shared" si="76"/>
        <v>19006.511999999999</v>
      </c>
      <c r="N125" s="102">
        <f t="shared" si="76"/>
        <v>13033.0368</v>
      </c>
      <c r="O125" s="102">
        <f t="shared" si="76"/>
        <v>16291.296</v>
      </c>
      <c r="P125" s="102">
        <f>P80*P90</f>
        <v>13033.0368</v>
      </c>
      <c r="Q125" s="103">
        <f t="shared" ref="Q125:AA125" si="77">Q80*Q90</f>
        <v>10317.820800000001</v>
      </c>
      <c r="R125" s="103">
        <f t="shared" si="77"/>
        <v>16834.339199999999</v>
      </c>
      <c r="S125" s="103">
        <f t="shared" si="77"/>
        <v>19549.555199999999</v>
      </c>
      <c r="T125" s="103">
        <f t="shared" si="77"/>
        <v>15748.2528</v>
      </c>
      <c r="U125" s="103">
        <f t="shared" si="77"/>
        <v>16834.339199999999</v>
      </c>
      <c r="V125" s="103">
        <f t="shared" si="77"/>
        <v>13576.08</v>
      </c>
      <c r="W125" s="103">
        <f t="shared" si="77"/>
        <v>15748.2528</v>
      </c>
      <c r="X125" s="103">
        <f t="shared" si="77"/>
        <v>17920.425599999999</v>
      </c>
      <c r="Y125" s="103">
        <f t="shared" si="77"/>
        <v>11946.9504</v>
      </c>
      <c r="Z125" s="103">
        <f t="shared" si="77"/>
        <v>19006.511999999999</v>
      </c>
      <c r="AA125" s="103">
        <f t="shared" si="77"/>
        <v>15205.2096</v>
      </c>
    </row>
    <row r="126" spans="2:29" x14ac:dyDescent="0.3">
      <c r="B126" s="181"/>
      <c r="C126" s="129" t="s">
        <v>104</v>
      </c>
      <c r="D126" s="17">
        <f t="shared" ref="D126:O126" si="78">D81*D91</f>
        <v>5383.6584000000003</v>
      </c>
      <c r="E126" s="17">
        <f t="shared" si="78"/>
        <v>5743.9031999999997</v>
      </c>
      <c r="F126" s="17">
        <f t="shared" si="78"/>
        <v>6514.4268000000002</v>
      </c>
      <c r="G126" s="17">
        <f t="shared" si="78"/>
        <v>6794.6172000000006</v>
      </c>
      <c r="H126" s="17">
        <f t="shared" si="78"/>
        <v>5603.808</v>
      </c>
      <c r="I126" s="17">
        <f t="shared" si="78"/>
        <v>4132.8083999999999</v>
      </c>
      <c r="J126" s="17">
        <f t="shared" si="78"/>
        <v>4553.0940000000001</v>
      </c>
      <c r="K126" s="17">
        <f t="shared" si="78"/>
        <v>4906.6676000000007</v>
      </c>
      <c r="L126" s="17">
        <f t="shared" si="78"/>
        <v>6129.165</v>
      </c>
      <c r="M126" s="17">
        <f t="shared" si="78"/>
        <v>7319.9742000000006</v>
      </c>
      <c r="N126" s="17">
        <f t="shared" si="78"/>
        <v>6269.2602000000006</v>
      </c>
      <c r="O126" s="17">
        <f t="shared" si="78"/>
        <v>6304.2839999999997</v>
      </c>
      <c r="P126" s="17">
        <f>P81*P91</f>
        <v>6094.1412</v>
      </c>
      <c r="Q126" s="18">
        <f t="shared" ref="Q126:AA126" si="79">Q81*Q91</f>
        <v>5498.7366000000002</v>
      </c>
      <c r="R126" s="18">
        <f t="shared" si="79"/>
        <v>6654.5219999999999</v>
      </c>
      <c r="S126" s="18">
        <f t="shared" si="79"/>
        <v>7916.1293100000003</v>
      </c>
      <c r="T126" s="18">
        <f t="shared" si="79"/>
        <v>7144.8552000000009</v>
      </c>
      <c r="U126" s="18">
        <f t="shared" si="79"/>
        <v>6619.4982</v>
      </c>
      <c r="V126" s="18">
        <f t="shared" si="79"/>
        <v>5428.6889999999994</v>
      </c>
      <c r="W126" s="18">
        <f t="shared" si="79"/>
        <v>5743.9031999999997</v>
      </c>
      <c r="X126" s="18">
        <f t="shared" si="79"/>
        <v>7430.049</v>
      </c>
      <c r="Y126" s="18">
        <f t="shared" si="79"/>
        <v>5498.7366000000002</v>
      </c>
      <c r="Z126" s="18">
        <f t="shared" si="79"/>
        <v>7705.2360000000008</v>
      </c>
      <c r="AA126" s="18">
        <f t="shared" si="79"/>
        <v>6619.4982</v>
      </c>
    </row>
    <row r="127" spans="2:29" x14ac:dyDescent="0.3">
      <c r="B127" s="181"/>
      <c r="C127" s="129" t="s">
        <v>105</v>
      </c>
      <c r="D127" s="102">
        <f t="shared" ref="D127:O127" si="80">D80*D92</f>
        <v>4417.1400000000003</v>
      </c>
      <c r="E127" s="102">
        <f t="shared" si="80"/>
        <v>4417.1400000000003</v>
      </c>
      <c r="F127" s="102">
        <f t="shared" si="80"/>
        <v>5477.2536</v>
      </c>
      <c r="G127" s="102">
        <f t="shared" si="80"/>
        <v>4770.5111999999999</v>
      </c>
      <c r="H127" s="102">
        <f t="shared" si="80"/>
        <v>4063.7688000000003</v>
      </c>
      <c r="I127" s="102">
        <f t="shared" si="80"/>
        <v>2473.5983999999999</v>
      </c>
      <c r="J127" s="102">
        <f t="shared" si="80"/>
        <v>3533.712</v>
      </c>
      <c r="K127" s="102">
        <f t="shared" si="80"/>
        <v>3887.0832</v>
      </c>
      <c r="L127" s="102">
        <f t="shared" si="80"/>
        <v>5123.8824000000004</v>
      </c>
      <c r="M127" s="102">
        <f t="shared" si="80"/>
        <v>6183.9960000000001</v>
      </c>
      <c r="N127" s="102">
        <f t="shared" si="80"/>
        <v>4240.4544000000005</v>
      </c>
      <c r="O127" s="102">
        <f t="shared" si="80"/>
        <v>5300.5680000000002</v>
      </c>
      <c r="P127" s="102">
        <f>P80*P92</f>
        <v>4240.4544000000005</v>
      </c>
      <c r="Q127" s="103">
        <f t="shared" ref="Q127:AA127" si="81">Q80*Q92</f>
        <v>3357.0264000000002</v>
      </c>
      <c r="R127" s="103">
        <f t="shared" si="81"/>
        <v>5477.2536</v>
      </c>
      <c r="S127" s="103">
        <f t="shared" si="81"/>
        <v>6360.6815999999999</v>
      </c>
      <c r="T127" s="103">
        <f t="shared" si="81"/>
        <v>5123.8824000000004</v>
      </c>
      <c r="U127" s="103">
        <f t="shared" si="81"/>
        <v>5477.2536</v>
      </c>
      <c r="V127" s="103">
        <f t="shared" si="81"/>
        <v>4417.1400000000003</v>
      </c>
      <c r="W127" s="103">
        <f t="shared" si="81"/>
        <v>5123.8824000000004</v>
      </c>
      <c r="X127" s="103">
        <f t="shared" si="81"/>
        <v>5830.6247999999996</v>
      </c>
      <c r="Y127" s="103">
        <f t="shared" si="81"/>
        <v>3887.0832</v>
      </c>
      <c r="Z127" s="103">
        <f t="shared" si="81"/>
        <v>6183.9960000000001</v>
      </c>
      <c r="AA127" s="103">
        <f t="shared" si="81"/>
        <v>4947.1967999999997</v>
      </c>
    </row>
    <row r="128" spans="2:29" x14ac:dyDescent="0.3">
      <c r="B128" s="181"/>
      <c r="C128" s="129" t="s">
        <v>106</v>
      </c>
      <c r="D128" s="17">
        <f t="shared" ref="D128:O128" si="82">D81*D93</f>
        <v>16232.966400000001</v>
      </c>
      <c r="E128" s="17">
        <f t="shared" si="82"/>
        <v>17319.1872</v>
      </c>
      <c r="F128" s="17">
        <f t="shared" si="82"/>
        <v>19642.4928</v>
      </c>
      <c r="G128" s="17">
        <f t="shared" si="82"/>
        <v>20487.331200000001</v>
      </c>
      <c r="H128" s="17">
        <f t="shared" si="82"/>
        <v>16896.768</v>
      </c>
      <c r="I128" s="17">
        <f t="shared" si="82"/>
        <v>12461.366400000001</v>
      </c>
      <c r="J128" s="17">
        <f t="shared" si="82"/>
        <v>13728.624</v>
      </c>
      <c r="K128" s="17">
        <f t="shared" si="82"/>
        <v>14794.729600000001</v>
      </c>
      <c r="L128" s="17">
        <f t="shared" si="82"/>
        <v>18480.84</v>
      </c>
      <c r="M128" s="17">
        <f t="shared" si="82"/>
        <v>22071.403200000001</v>
      </c>
      <c r="N128" s="17">
        <f t="shared" si="82"/>
        <v>18903.2592</v>
      </c>
      <c r="O128" s="17">
        <f t="shared" si="82"/>
        <v>19008.863999999998</v>
      </c>
      <c r="P128" s="17">
        <f>P81*P93</f>
        <v>18375.235199999999</v>
      </c>
      <c r="Q128" s="18">
        <f t="shared" ref="Q128:AA128" si="83">Q81*Q93</f>
        <v>16579.953600000001</v>
      </c>
      <c r="R128" s="18">
        <f t="shared" si="83"/>
        <v>20064.912</v>
      </c>
      <c r="S128" s="18">
        <f t="shared" si="83"/>
        <v>23868.947759999999</v>
      </c>
      <c r="T128" s="18">
        <f t="shared" si="83"/>
        <v>21543.379200000003</v>
      </c>
      <c r="U128" s="18">
        <f t="shared" si="83"/>
        <v>19959.307199999999</v>
      </c>
      <c r="V128" s="18">
        <f t="shared" si="83"/>
        <v>16368.743999999999</v>
      </c>
      <c r="W128" s="18">
        <f t="shared" si="83"/>
        <v>17319.1872</v>
      </c>
      <c r="X128" s="18">
        <f t="shared" si="83"/>
        <v>22403.304</v>
      </c>
      <c r="Y128" s="18">
        <f t="shared" si="83"/>
        <v>16579.953600000001</v>
      </c>
      <c r="Z128" s="18">
        <f t="shared" si="83"/>
        <v>23233.056</v>
      </c>
      <c r="AA128" s="18">
        <f t="shared" si="83"/>
        <v>19959.307199999999</v>
      </c>
    </row>
    <row r="129" spans="2:35" x14ac:dyDescent="0.3">
      <c r="B129" s="181"/>
      <c r="C129" s="130" t="s">
        <v>107</v>
      </c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3"/>
      <c r="R129" s="103"/>
      <c r="S129" s="103"/>
      <c r="T129" s="103"/>
      <c r="U129" s="103"/>
      <c r="V129" s="103"/>
      <c r="W129" s="103"/>
      <c r="X129" s="103"/>
      <c r="Y129" s="103"/>
      <c r="Z129" s="103"/>
      <c r="AA129" s="103"/>
    </row>
    <row r="130" spans="2:35" x14ac:dyDescent="0.3">
      <c r="B130" s="181"/>
      <c r="C130" s="130" t="s">
        <v>110</v>
      </c>
      <c r="D130" s="21">
        <f t="shared" ref="D130:O130" si="84">SUM(D123:D129)/(1-SUM(D95:D96))*SUM(D95:D96)</f>
        <v>23171.691670588243</v>
      </c>
      <c r="E130" s="21">
        <f t="shared" si="84"/>
        <v>23852.381364705885</v>
      </c>
      <c r="F130" s="21">
        <f t="shared" si="84"/>
        <v>27340.476423529413</v>
      </c>
      <c r="G130" s="21">
        <f t="shared" si="84"/>
        <v>26515.118117647064</v>
      </c>
      <c r="H130" s="21">
        <f t="shared" si="84"/>
        <v>22910.276894117655</v>
      </c>
      <c r="I130" s="21">
        <f t="shared" si="84"/>
        <v>17082.530823529418</v>
      </c>
      <c r="J130" s="21">
        <f t="shared" si="84"/>
        <v>19908.84423529412</v>
      </c>
      <c r="K130" s="21">
        <f t="shared" si="84"/>
        <v>21254.320376470594</v>
      </c>
      <c r="L130" s="21">
        <f t="shared" si="84"/>
        <v>25935.124800000005</v>
      </c>
      <c r="M130" s="21">
        <f t="shared" si="84"/>
        <v>30217.357835294122</v>
      </c>
      <c r="N130" s="21">
        <f t="shared" si="84"/>
        <v>24506.35792941177</v>
      </c>
      <c r="O130" s="21">
        <f t="shared" si="84"/>
        <v>26604.711529411768</v>
      </c>
      <c r="P130" s="21">
        <f>SUM(P123:P129)/(1-SUM(P95:P96))*SUM(P95:P96)</f>
        <v>24175.467105882355</v>
      </c>
      <c r="Q130" s="22">
        <f t="shared" ref="Q130:AA130" si="85">SUM(Q123:Q129)/(1-SUM(Q95:Q96))*SUM(Q95:Q96)</f>
        <v>21356.95877647059</v>
      </c>
      <c r="R130" s="22">
        <f t="shared" si="85"/>
        <v>27605.189082352939</v>
      </c>
      <c r="S130" s="22">
        <f t="shared" si="85"/>
        <v>31682.500644705884</v>
      </c>
      <c r="T130" s="22">
        <f t="shared" si="85"/>
        <v>27854.291576470594</v>
      </c>
      <c r="U130" s="22">
        <f t="shared" si="85"/>
        <v>27539.010917647058</v>
      </c>
      <c r="V130" s="22">
        <f t="shared" si="85"/>
        <v>23256.777882352941</v>
      </c>
      <c r="W130" s="22">
        <f t="shared" si="85"/>
        <v>25207.164988235301</v>
      </c>
      <c r="X130" s="22">
        <f t="shared" si="85"/>
        <v>29747.95454117647</v>
      </c>
      <c r="Y130" s="22">
        <f t="shared" si="85"/>
        <v>22373.046494117654</v>
      </c>
      <c r="Z130" s="22">
        <f t="shared" si="85"/>
        <v>30945.31764705883</v>
      </c>
      <c r="AA130" s="22">
        <f t="shared" si="85"/>
        <v>26522.923200000005</v>
      </c>
    </row>
    <row r="131" spans="2:35" ht="17.25" thickBot="1" x14ac:dyDescent="0.35">
      <c r="B131" s="181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  <c r="AA131" s="45"/>
    </row>
    <row r="132" spans="2:35" ht="17.25" thickBot="1" x14ac:dyDescent="0.35">
      <c r="B132" s="181"/>
      <c r="C132" s="134" t="s">
        <v>109</v>
      </c>
      <c r="D132" s="46">
        <f t="shared" ref="D132:O132" si="86">+SUM(D123:D130)</f>
        <v>72411.536470588253</v>
      </c>
      <c r="E132" s="46">
        <f t="shared" si="86"/>
        <v>74538.691764705887</v>
      </c>
      <c r="F132" s="46">
        <f t="shared" si="86"/>
        <v>85438.98882352942</v>
      </c>
      <c r="G132" s="46">
        <f t="shared" si="86"/>
        <v>82859.74411764706</v>
      </c>
      <c r="H132" s="46">
        <f t="shared" si="86"/>
        <v>71594.615294117655</v>
      </c>
      <c r="I132" s="46">
        <f t="shared" si="86"/>
        <v>53382.908823529418</v>
      </c>
      <c r="J132" s="46">
        <f t="shared" si="86"/>
        <v>62215.138235294122</v>
      </c>
      <c r="K132" s="46">
        <f t="shared" si="86"/>
        <v>66419.7511764706</v>
      </c>
      <c r="L132" s="46">
        <f t="shared" si="86"/>
        <v>81047.265000000014</v>
      </c>
      <c r="M132" s="46">
        <f t="shared" si="86"/>
        <v>94429.243235294125</v>
      </c>
      <c r="N132" s="46">
        <f t="shared" si="86"/>
        <v>76582.368529411775</v>
      </c>
      <c r="O132" s="46">
        <f t="shared" si="86"/>
        <v>83139.723529411771</v>
      </c>
      <c r="P132" s="46">
        <f>+SUM(P123:P130)</f>
        <v>75548.334705882357</v>
      </c>
      <c r="Q132" s="46">
        <f t="shared" ref="Q132:AA132" si="87">+SUM(Q123:Q130)</f>
        <v>66740.496176470595</v>
      </c>
      <c r="R132" s="46">
        <f t="shared" si="87"/>
        <v>86266.215882352932</v>
      </c>
      <c r="S132" s="46">
        <f t="shared" si="87"/>
        <v>99007.814514705882</v>
      </c>
      <c r="T132" s="46">
        <f t="shared" si="87"/>
        <v>87044.661176470603</v>
      </c>
      <c r="U132" s="46">
        <f t="shared" si="87"/>
        <v>86059.409117647054</v>
      </c>
      <c r="V132" s="46">
        <f t="shared" si="87"/>
        <v>72677.430882352943</v>
      </c>
      <c r="W132" s="46">
        <f t="shared" si="87"/>
        <v>78772.390588235314</v>
      </c>
      <c r="X132" s="46">
        <f t="shared" si="87"/>
        <v>92962.357941176466</v>
      </c>
      <c r="Y132" s="46">
        <f t="shared" si="87"/>
        <v>69915.770294117654</v>
      </c>
      <c r="Z132" s="46">
        <f t="shared" si="87"/>
        <v>96704.117647058825</v>
      </c>
      <c r="AA132" s="46">
        <f t="shared" si="87"/>
        <v>82884.135000000009</v>
      </c>
      <c r="AC132" s="47">
        <f>SUM(D132:AA132)</f>
        <v>1898643.1089264709</v>
      </c>
    </row>
    <row r="133" spans="2:35" ht="17.25" thickBot="1" x14ac:dyDescent="0.35">
      <c r="B133" s="181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  <c r="AA133" s="41"/>
    </row>
    <row r="134" spans="2:35" ht="18.75" customHeight="1" thickBot="1" x14ac:dyDescent="0.35">
      <c r="B134" s="181"/>
      <c r="C134" s="134" t="s">
        <v>111</v>
      </c>
      <c r="D134" s="46">
        <f t="shared" ref="D134:O134" si="88">D132-D120</f>
        <v>18912.224111603551</v>
      </c>
      <c r="E134" s="46">
        <f t="shared" si="88"/>
        <v>19207.689832796139</v>
      </c>
      <c r="F134" s="46">
        <f t="shared" si="88"/>
        <v>22163.254914343284</v>
      </c>
      <c r="G134" s="46">
        <f t="shared" si="88"/>
        <v>20843.997097421438</v>
      </c>
      <c r="H134" s="46">
        <f t="shared" si="88"/>
        <v>18318.254252296538</v>
      </c>
      <c r="I134" s="46">
        <f t="shared" si="88"/>
        <v>13626.374123932314</v>
      </c>
      <c r="J134" s="46">
        <f t="shared" si="88"/>
        <v>16294.68086543111</v>
      </c>
      <c r="K134" s="46">
        <f t="shared" si="88"/>
        <v>17359.207243674464</v>
      </c>
      <c r="L134" s="46">
        <f t="shared" si="88"/>
        <v>21072.738495809841</v>
      </c>
      <c r="M134" s="46">
        <f t="shared" si="88"/>
        <v>24373.013585414999</v>
      </c>
      <c r="N134" s="46">
        <f t="shared" si="88"/>
        <v>19251.31122062853</v>
      </c>
      <c r="O134" s="46">
        <f t="shared" si="88"/>
        <v>21603.633788074148</v>
      </c>
      <c r="P134" s="46">
        <f>P132-P120</f>
        <v>19107.682050604351</v>
      </c>
      <c r="Q134" s="46">
        <f t="shared" ref="Q134:AA134" si="89">Q132-Q120</f>
        <v>16683.012261321521</v>
      </c>
      <c r="R134" s="46">
        <f t="shared" si="89"/>
        <v>22278.158250362605</v>
      </c>
      <c r="S134" s="46">
        <f t="shared" si="89"/>
        <v>25249.234439323132</v>
      </c>
      <c r="T134" s="46">
        <f t="shared" si="89"/>
        <v>21905.787681950038</v>
      </c>
      <c r="U134" s="46">
        <f t="shared" si="89"/>
        <v>22249.432416357777</v>
      </c>
      <c r="V134" s="46">
        <f t="shared" si="89"/>
        <v>18949.157326752618</v>
      </c>
      <c r="W134" s="46">
        <f t="shared" si="89"/>
        <v>20756.754321756664</v>
      </c>
      <c r="X134" s="46">
        <f t="shared" si="89"/>
        <v>23688.762533521352</v>
      </c>
      <c r="Y134" s="46">
        <f t="shared" si="89"/>
        <v>17844.810628041902</v>
      </c>
      <c r="Z134" s="46">
        <f t="shared" si="89"/>
        <v>24688.99775946817</v>
      </c>
      <c r="AA134" s="46">
        <f t="shared" si="89"/>
        <v>21087.634049637403</v>
      </c>
      <c r="AC134" s="47">
        <f>AC132-AC120</f>
        <v>487515.80325052445</v>
      </c>
    </row>
    <row r="135" spans="2:35" ht="17.25" thickBot="1" x14ac:dyDescent="0.35">
      <c r="B135" s="182"/>
      <c r="C135" s="134" t="s">
        <v>112</v>
      </c>
      <c r="D135" s="105">
        <f t="shared" ref="D135:O135" si="90">D134/D132</f>
        <v>0.26117694822406123</v>
      </c>
      <c r="E135" s="105">
        <f t="shared" si="90"/>
        <v>0.25768750937336671</v>
      </c>
      <c r="F135" s="105">
        <f t="shared" si="90"/>
        <v>0.25940446182152904</v>
      </c>
      <c r="G135" s="105">
        <f t="shared" si="90"/>
        <v>0.2515575846797985</v>
      </c>
      <c r="H135" s="105">
        <f t="shared" si="90"/>
        <v>0.25586078194628692</v>
      </c>
      <c r="I135" s="105">
        <f t="shared" si="90"/>
        <v>0.25525724289355806</v>
      </c>
      <c r="J135" s="105">
        <f t="shared" si="90"/>
        <v>0.26190861786412095</v>
      </c>
      <c r="K135" s="105">
        <f t="shared" si="90"/>
        <v>0.26135610170463897</v>
      </c>
      <c r="L135" s="105">
        <f t="shared" si="90"/>
        <v>0.26000554732858461</v>
      </c>
      <c r="M135" s="105">
        <f t="shared" si="90"/>
        <v>0.25810874629889313</v>
      </c>
      <c r="N135" s="105">
        <f t="shared" si="90"/>
        <v>0.25138046250469498</v>
      </c>
      <c r="O135" s="105">
        <f t="shared" si="90"/>
        <v>0.25984731330543309</v>
      </c>
      <c r="P135" s="105">
        <f>P134/P132</f>
        <v>0.25291996342464168</v>
      </c>
      <c r="Q135" s="105">
        <f>Q134/Q132</f>
        <v>0.24996835829942671</v>
      </c>
      <c r="R135" s="105">
        <f t="shared" ref="R135:AA135" si="91">R134/R132</f>
        <v>0.25824893351929146</v>
      </c>
      <c r="S135" s="105">
        <f t="shared" si="91"/>
        <v>0.25502264203168329</v>
      </c>
      <c r="T135" s="105">
        <f t="shared" si="91"/>
        <v>0.25166147338478562</v>
      </c>
      <c r="U135" s="105">
        <f t="shared" si="91"/>
        <v>0.25853573298349991</v>
      </c>
      <c r="V135" s="105">
        <f t="shared" si="91"/>
        <v>0.26072959785035177</v>
      </c>
      <c r="W135" s="105">
        <f t="shared" si="91"/>
        <v>0.26350291221016586</v>
      </c>
      <c r="X135" s="105">
        <f t="shared" si="91"/>
        <v>0.25482101635708104</v>
      </c>
      <c r="Y135" s="105">
        <f t="shared" si="91"/>
        <v>0.25523298324503008</v>
      </c>
      <c r="Z135" s="105">
        <f t="shared" si="91"/>
        <v>0.25530451401847898</v>
      </c>
      <c r="AA135" s="105">
        <f t="shared" si="91"/>
        <v>0.25442304549160583</v>
      </c>
      <c r="AC135" s="106">
        <f>AC134/AC132</f>
        <v>0.25677063844093123</v>
      </c>
    </row>
    <row r="136" spans="2:35" x14ac:dyDescent="0.3"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"/>
    </row>
    <row r="137" spans="2:35" ht="17.25" thickBot="1" x14ac:dyDescent="0.35"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"/>
    </row>
    <row r="138" spans="2:35" ht="45.75" x14ac:dyDescent="0.3">
      <c r="B138" s="180" t="s">
        <v>95</v>
      </c>
      <c r="C138" s="170" t="s">
        <v>100</v>
      </c>
      <c r="D138" s="170"/>
      <c r="E138" s="170"/>
      <c r="F138" s="170"/>
      <c r="G138" s="170"/>
      <c r="H138" s="170"/>
      <c r="I138" s="170"/>
      <c r="J138" s="170"/>
      <c r="K138" s="170"/>
      <c r="L138" s="170"/>
      <c r="M138" s="170"/>
      <c r="N138" s="170"/>
      <c r="O138" s="170"/>
      <c r="P138" s="170"/>
      <c r="Q138" s="170"/>
      <c r="R138" s="170"/>
      <c r="S138" s="170"/>
      <c r="T138" s="170"/>
      <c r="U138" s="170"/>
      <c r="V138" s="170"/>
      <c r="W138" s="170"/>
      <c r="X138" s="170"/>
      <c r="Y138" s="170"/>
      <c r="Z138" s="170"/>
      <c r="AA138" s="171"/>
      <c r="AC138" s="5"/>
    </row>
    <row r="139" spans="2:35" x14ac:dyDescent="0.3">
      <c r="B139" s="181"/>
      <c r="C139" s="128" t="s">
        <v>3</v>
      </c>
      <c r="D139" s="7">
        <v>43101</v>
      </c>
      <c r="E139" s="7">
        <v>43133</v>
      </c>
      <c r="F139" s="7">
        <v>43165</v>
      </c>
      <c r="G139" s="7">
        <v>43197</v>
      </c>
      <c r="H139" s="7">
        <v>43229</v>
      </c>
      <c r="I139" s="7">
        <v>43261</v>
      </c>
      <c r="J139" s="7">
        <v>43293</v>
      </c>
      <c r="K139" s="7">
        <v>43325</v>
      </c>
      <c r="L139" s="7">
        <v>43357</v>
      </c>
      <c r="M139" s="7">
        <v>43389</v>
      </c>
      <c r="N139" s="7">
        <v>43421</v>
      </c>
      <c r="O139" s="7">
        <v>43453</v>
      </c>
      <c r="P139" s="7">
        <v>43485</v>
      </c>
      <c r="Q139" s="7">
        <v>43517</v>
      </c>
      <c r="R139" s="7">
        <v>43549</v>
      </c>
      <c r="S139" s="7">
        <v>43581</v>
      </c>
      <c r="T139" s="7">
        <v>43613</v>
      </c>
      <c r="U139" s="7">
        <v>43645</v>
      </c>
      <c r="V139" s="7">
        <v>43677</v>
      </c>
      <c r="W139" s="7">
        <v>43709</v>
      </c>
      <c r="X139" s="7">
        <v>43741</v>
      </c>
      <c r="Y139" s="7">
        <v>43773</v>
      </c>
      <c r="Z139" s="7">
        <v>43805</v>
      </c>
      <c r="AA139" s="7">
        <v>43806</v>
      </c>
    </row>
    <row r="140" spans="2:35" x14ac:dyDescent="0.3">
      <c r="B140" s="181"/>
      <c r="C140" s="128" t="s">
        <v>4</v>
      </c>
      <c r="D140" s="6">
        <v>744</v>
      </c>
      <c r="E140" s="6">
        <v>696</v>
      </c>
      <c r="F140" s="6">
        <v>744</v>
      </c>
      <c r="G140" s="6">
        <v>720</v>
      </c>
      <c r="H140" s="6">
        <v>744</v>
      </c>
      <c r="I140" s="6">
        <v>720</v>
      </c>
      <c r="J140" s="6">
        <v>744</v>
      </c>
      <c r="K140" s="6">
        <v>744</v>
      </c>
      <c r="L140" s="6">
        <v>720</v>
      </c>
      <c r="M140" s="6">
        <v>744</v>
      </c>
      <c r="N140" s="6">
        <v>720</v>
      </c>
      <c r="O140" s="6">
        <v>744</v>
      </c>
      <c r="P140" s="6">
        <v>744</v>
      </c>
      <c r="Q140" s="6">
        <v>672</v>
      </c>
      <c r="R140" s="6">
        <v>744</v>
      </c>
      <c r="S140" s="6">
        <v>720</v>
      </c>
      <c r="T140" s="6">
        <v>744</v>
      </c>
      <c r="U140" s="6">
        <v>720</v>
      </c>
      <c r="V140" s="6">
        <v>744</v>
      </c>
      <c r="W140" s="6">
        <v>744</v>
      </c>
      <c r="X140" s="6">
        <v>720</v>
      </c>
      <c r="Y140" s="6">
        <v>744</v>
      </c>
      <c r="Z140" s="6">
        <v>720</v>
      </c>
      <c r="AA140" s="6">
        <v>744</v>
      </c>
    </row>
    <row r="141" spans="2:35" x14ac:dyDescent="0.3">
      <c r="B141" s="181"/>
      <c r="C141" s="107"/>
      <c r="D141" s="107"/>
      <c r="E141" s="107"/>
      <c r="F141" s="107"/>
      <c r="G141" s="107"/>
      <c r="H141" s="107"/>
      <c r="I141" s="107"/>
      <c r="J141" s="107"/>
      <c r="K141" s="107"/>
      <c r="L141" s="107"/>
      <c r="M141" s="107"/>
      <c r="N141" s="107"/>
      <c r="O141" s="107"/>
      <c r="P141" s="107"/>
      <c r="Q141" s="107"/>
      <c r="R141" s="107"/>
      <c r="S141" s="107"/>
      <c r="T141" s="107"/>
      <c r="U141" s="107"/>
      <c r="V141" s="107"/>
      <c r="W141" s="107"/>
      <c r="X141" s="107"/>
      <c r="Y141" s="107"/>
      <c r="Z141" s="107"/>
      <c r="AA141" s="8"/>
    </row>
    <row r="142" spans="2:35" x14ac:dyDescent="0.3">
      <c r="B142" s="181"/>
      <c r="C142" s="129" t="s">
        <v>5</v>
      </c>
      <c r="D142" s="43">
        <v>268.8</v>
      </c>
      <c r="E142" s="43">
        <v>302.39999999999998</v>
      </c>
      <c r="F142" s="43">
        <v>302.39999999999998</v>
      </c>
      <c r="G142" s="43">
        <v>268.8</v>
      </c>
      <c r="H142" s="43">
        <v>277.2</v>
      </c>
      <c r="I142" s="43">
        <v>130.19999999999999</v>
      </c>
      <c r="J142" s="43">
        <v>222.6</v>
      </c>
      <c r="K142" s="43">
        <v>235.2</v>
      </c>
      <c r="L142" s="43">
        <v>285.60000000000002</v>
      </c>
      <c r="M142" s="43">
        <v>315</v>
      </c>
      <c r="N142" s="43">
        <v>302.39999999999998</v>
      </c>
      <c r="O142" s="43">
        <v>281.39999999999998</v>
      </c>
      <c r="P142" s="43">
        <v>273</v>
      </c>
      <c r="Q142" s="43">
        <v>256.2</v>
      </c>
      <c r="R142" s="43">
        <v>315</v>
      </c>
      <c r="S142" s="43">
        <v>319.2</v>
      </c>
      <c r="T142" s="43">
        <v>294</v>
      </c>
      <c r="U142" s="43">
        <v>320.39999999999998</v>
      </c>
      <c r="V142" s="43">
        <v>260.39999999999998</v>
      </c>
      <c r="W142" s="43">
        <v>247.8</v>
      </c>
      <c r="X142" s="43">
        <v>298.2</v>
      </c>
      <c r="Y142" s="43">
        <v>319.2</v>
      </c>
      <c r="Z142" s="43">
        <v>302.39999999999998</v>
      </c>
      <c r="AA142" s="43">
        <v>331.8</v>
      </c>
      <c r="AB142" s="2"/>
      <c r="AC142" s="94" t="s">
        <v>92</v>
      </c>
      <c r="AD142" s="96" t="s">
        <v>96</v>
      </c>
      <c r="AE142" s="94" t="s">
        <v>97</v>
      </c>
      <c r="AF142" s="104" t="s">
        <v>108</v>
      </c>
      <c r="AH142" s="94" t="s">
        <v>124</v>
      </c>
      <c r="AI142" s="135">
        <f>AA200</f>
        <v>82884.135000000009</v>
      </c>
    </row>
    <row r="143" spans="2:35" x14ac:dyDescent="0.3">
      <c r="B143" s="181"/>
      <c r="C143" s="129" t="s">
        <v>41</v>
      </c>
      <c r="D143" s="18">
        <v>277.2</v>
      </c>
      <c r="E143" s="18">
        <v>348.6</v>
      </c>
      <c r="F143" s="18">
        <v>386.4</v>
      </c>
      <c r="G143" s="18">
        <v>327.60000000000002</v>
      </c>
      <c r="H143" s="18">
        <v>348.6</v>
      </c>
      <c r="I143" s="18">
        <v>151.19999999999999</v>
      </c>
      <c r="J143" s="18">
        <v>256.2</v>
      </c>
      <c r="K143" s="18">
        <v>247.8</v>
      </c>
      <c r="L143" s="18">
        <v>373.8</v>
      </c>
      <c r="M143" s="18">
        <v>403.2</v>
      </c>
      <c r="N143" s="18">
        <v>365.4</v>
      </c>
      <c r="O143" s="18">
        <v>365.4</v>
      </c>
      <c r="P143" s="18">
        <v>365.4</v>
      </c>
      <c r="Q143" s="18">
        <v>365.4</v>
      </c>
      <c r="R143" s="18">
        <v>415.8</v>
      </c>
      <c r="S143" s="18">
        <v>378</v>
      </c>
      <c r="T143" s="18">
        <v>306.60000000000002</v>
      </c>
      <c r="U143" s="18">
        <v>378</v>
      </c>
      <c r="V143" s="18">
        <v>298.2</v>
      </c>
      <c r="W143" s="18">
        <v>327.60000000000002</v>
      </c>
      <c r="X143" s="18">
        <v>373.8</v>
      </c>
      <c r="Y143" s="18">
        <v>420</v>
      </c>
      <c r="Z143" s="18">
        <v>403.2</v>
      </c>
      <c r="AA143" s="18">
        <v>386.4</v>
      </c>
      <c r="AB143" s="2"/>
      <c r="AC143" s="94" t="s">
        <v>93</v>
      </c>
      <c r="AD143" s="95">
        <v>0</v>
      </c>
      <c r="AE143" s="96">
        <v>175</v>
      </c>
      <c r="AF143" s="104">
        <v>13.43</v>
      </c>
      <c r="AI143" s="137"/>
    </row>
    <row r="144" spans="2:35" x14ac:dyDescent="0.3">
      <c r="B144" s="181"/>
      <c r="C144" s="129" t="s">
        <v>6</v>
      </c>
      <c r="D144" s="13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3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2"/>
      <c r="AC144" s="94" t="s">
        <v>94</v>
      </c>
      <c r="AD144" s="95">
        <v>0.5</v>
      </c>
      <c r="AE144" s="96">
        <v>220</v>
      </c>
      <c r="AF144" s="104">
        <v>41.69</v>
      </c>
      <c r="AH144" s="94" t="s">
        <v>127</v>
      </c>
      <c r="AI144" s="135">
        <f>AA188</f>
        <v>61105.667706527005</v>
      </c>
    </row>
    <row r="145" spans="2:35" x14ac:dyDescent="0.3">
      <c r="B145" s="181"/>
      <c r="C145" s="129" t="s">
        <v>7</v>
      </c>
      <c r="D145" s="123">
        <v>500</v>
      </c>
      <c r="E145" s="123">
        <v>500</v>
      </c>
      <c r="F145" s="123">
        <v>500</v>
      </c>
      <c r="G145" s="123">
        <v>500</v>
      </c>
      <c r="H145" s="123">
        <v>500</v>
      </c>
      <c r="I145" s="123">
        <v>500</v>
      </c>
      <c r="J145" s="123">
        <v>500</v>
      </c>
      <c r="K145" s="123">
        <v>500</v>
      </c>
      <c r="L145" s="123">
        <v>500</v>
      </c>
      <c r="M145" s="123">
        <v>500</v>
      </c>
      <c r="N145" s="123">
        <v>500</v>
      </c>
      <c r="O145" s="123">
        <v>500</v>
      </c>
      <c r="P145" s="124">
        <v>500</v>
      </c>
      <c r="Q145" s="124">
        <v>500</v>
      </c>
      <c r="R145" s="124">
        <v>500</v>
      </c>
      <c r="S145" s="124">
        <v>500</v>
      </c>
      <c r="T145" s="124">
        <v>500</v>
      </c>
      <c r="U145" s="124">
        <v>500</v>
      </c>
      <c r="V145" s="124">
        <v>500</v>
      </c>
      <c r="W145" s="124">
        <v>500</v>
      </c>
      <c r="X145" s="124">
        <v>500</v>
      </c>
      <c r="Y145" s="124">
        <v>500</v>
      </c>
      <c r="Z145" s="124">
        <v>500</v>
      </c>
      <c r="AA145" s="124">
        <v>500</v>
      </c>
      <c r="AB145" s="2"/>
      <c r="AC145" s="94" t="s">
        <v>95</v>
      </c>
      <c r="AD145" s="95">
        <v>1</v>
      </c>
      <c r="AE145" s="96">
        <v>310</v>
      </c>
      <c r="AF145" s="104">
        <v>62.43</v>
      </c>
      <c r="AH145" s="94" t="s">
        <v>125</v>
      </c>
      <c r="AI145" s="136">
        <f>(AI142-AI144)/AI142</f>
        <v>0.26275797284333124</v>
      </c>
    </row>
    <row r="146" spans="2:35" x14ac:dyDescent="0.3">
      <c r="B146" s="181"/>
      <c r="C146" s="129" t="s">
        <v>8</v>
      </c>
      <c r="D146" s="16">
        <f t="shared" ref="D146:AA146" si="92">IF(D155="Verde",0,IF(D142&gt;D144*1.05,D142-D144,0))</f>
        <v>0</v>
      </c>
      <c r="E146" s="16">
        <f t="shared" si="92"/>
        <v>0</v>
      </c>
      <c r="F146" s="16">
        <f t="shared" si="92"/>
        <v>0</v>
      </c>
      <c r="G146" s="16">
        <f t="shared" si="92"/>
        <v>0</v>
      </c>
      <c r="H146" s="16">
        <f t="shared" si="92"/>
        <v>0</v>
      </c>
      <c r="I146" s="16">
        <f t="shared" si="92"/>
        <v>0</v>
      </c>
      <c r="J146" s="16">
        <f t="shared" si="92"/>
        <v>0</v>
      </c>
      <c r="K146" s="16">
        <f t="shared" si="92"/>
        <v>0</v>
      </c>
      <c r="L146" s="16">
        <f t="shared" si="92"/>
        <v>0</v>
      </c>
      <c r="M146" s="16">
        <f t="shared" si="92"/>
        <v>0</v>
      </c>
      <c r="N146" s="16">
        <f t="shared" si="92"/>
        <v>0</v>
      </c>
      <c r="O146" s="16">
        <f t="shared" si="92"/>
        <v>0</v>
      </c>
      <c r="P146" s="16">
        <f t="shared" si="92"/>
        <v>0</v>
      </c>
      <c r="Q146" s="16">
        <f t="shared" si="92"/>
        <v>0</v>
      </c>
      <c r="R146" s="16">
        <f t="shared" si="92"/>
        <v>0</v>
      </c>
      <c r="S146" s="16">
        <f t="shared" si="92"/>
        <v>0</v>
      </c>
      <c r="T146" s="16">
        <f t="shared" si="92"/>
        <v>0</v>
      </c>
      <c r="U146" s="16">
        <f t="shared" si="92"/>
        <v>0</v>
      </c>
      <c r="V146" s="16">
        <f t="shared" si="92"/>
        <v>0</v>
      </c>
      <c r="W146" s="16">
        <f t="shared" si="92"/>
        <v>0</v>
      </c>
      <c r="X146" s="16">
        <f t="shared" si="92"/>
        <v>0</v>
      </c>
      <c r="Y146" s="16">
        <f t="shared" si="92"/>
        <v>0</v>
      </c>
      <c r="Z146" s="16">
        <f t="shared" si="92"/>
        <v>0</v>
      </c>
      <c r="AA146" s="16">
        <f t="shared" si="92"/>
        <v>0</v>
      </c>
      <c r="AB146" s="2"/>
    </row>
    <row r="147" spans="2:35" x14ac:dyDescent="0.3">
      <c r="B147" s="181"/>
      <c r="C147" s="129" t="s">
        <v>9</v>
      </c>
      <c r="D147" s="18">
        <f t="shared" ref="D147:AA147" si="93">IF(D143&gt;D145*1.05,D143-D145,0)</f>
        <v>0</v>
      </c>
      <c r="E147" s="18">
        <f t="shared" si="93"/>
        <v>0</v>
      </c>
      <c r="F147" s="18">
        <f t="shared" si="93"/>
        <v>0</v>
      </c>
      <c r="G147" s="18">
        <f t="shared" si="93"/>
        <v>0</v>
      </c>
      <c r="H147" s="18">
        <f t="shared" si="93"/>
        <v>0</v>
      </c>
      <c r="I147" s="18">
        <f t="shared" si="93"/>
        <v>0</v>
      </c>
      <c r="J147" s="18">
        <f t="shared" si="93"/>
        <v>0</v>
      </c>
      <c r="K147" s="18">
        <f t="shared" si="93"/>
        <v>0</v>
      </c>
      <c r="L147" s="18">
        <f t="shared" si="93"/>
        <v>0</v>
      </c>
      <c r="M147" s="18">
        <f t="shared" si="93"/>
        <v>0</v>
      </c>
      <c r="N147" s="18">
        <f t="shared" si="93"/>
        <v>0</v>
      </c>
      <c r="O147" s="18">
        <f t="shared" si="93"/>
        <v>0</v>
      </c>
      <c r="P147" s="18">
        <f t="shared" si="93"/>
        <v>0</v>
      </c>
      <c r="Q147" s="18">
        <f t="shared" si="93"/>
        <v>0</v>
      </c>
      <c r="R147" s="18">
        <f t="shared" si="93"/>
        <v>0</v>
      </c>
      <c r="S147" s="18">
        <f t="shared" si="93"/>
        <v>0</v>
      </c>
      <c r="T147" s="18">
        <f t="shared" si="93"/>
        <v>0</v>
      </c>
      <c r="U147" s="18">
        <f t="shared" si="93"/>
        <v>0</v>
      </c>
      <c r="V147" s="18">
        <f t="shared" si="93"/>
        <v>0</v>
      </c>
      <c r="W147" s="18">
        <f t="shared" si="93"/>
        <v>0</v>
      </c>
      <c r="X147" s="18">
        <f t="shared" si="93"/>
        <v>0</v>
      </c>
      <c r="Y147" s="18">
        <f t="shared" si="93"/>
        <v>0</v>
      </c>
      <c r="Z147" s="18">
        <f t="shared" si="93"/>
        <v>0</v>
      </c>
      <c r="AA147" s="18">
        <f t="shared" si="93"/>
        <v>0</v>
      </c>
      <c r="AB147" s="1" t="s">
        <v>43</v>
      </c>
      <c r="AH147" s="94" t="s">
        <v>123</v>
      </c>
      <c r="AI147" s="135">
        <f>AA257</f>
        <v>0</v>
      </c>
    </row>
    <row r="148" spans="2:35" x14ac:dyDescent="0.3">
      <c r="B148" s="181"/>
      <c r="C148" s="129" t="s">
        <v>10</v>
      </c>
      <c r="D148" s="43">
        <v>10.5</v>
      </c>
      <c r="E148" s="43">
        <v>10.5</v>
      </c>
      <c r="F148" s="43">
        <v>13.02</v>
      </c>
      <c r="G148" s="43">
        <v>11.34</v>
      </c>
      <c r="H148" s="43">
        <v>9.66</v>
      </c>
      <c r="I148" s="43">
        <v>5.88</v>
      </c>
      <c r="J148" s="43">
        <v>8.4</v>
      </c>
      <c r="K148" s="43">
        <v>9.24</v>
      </c>
      <c r="L148" s="43">
        <v>12.18</v>
      </c>
      <c r="M148" s="43">
        <v>14.7</v>
      </c>
      <c r="N148" s="43">
        <v>10.08</v>
      </c>
      <c r="O148" s="43">
        <v>12.6</v>
      </c>
      <c r="P148" s="43">
        <v>10.08</v>
      </c>
      <c r="Q148" s="43">
        <v>7.98</v>
      </c>
      <c r="R148" s="43">
        <v>13.02</v>
      </c>
      <c r="S148" s="43">
        <v>15.12</v>
      </c>
      <c r="T148" s="43">
        <v>12.18</v>
      </c>
      <c r="U148" s="43">
        <v>13.02</v>
      </c>
      <c r="V148" s="43">
        <v>10.5</v>
      </c>
      <c r="W148" s="43">
        <v>12.18</v>
      </c>
      <c r="X148" s="43">
        <v>13.86</v>
      </c>
      <c r="Y148" s="43">
        <v>9.24</v>
      </c>
      <c r="Z148" s="43">
        <v>14.7</v>
      </c>
      <c r="AA148" s="43">
        <v>11.76</v>
      </c>
      <c r="AB148" s="2"/>
      <c r="AH148" s="94" t="s">
        <v>125</v>
      </c>
      <c r="AI148" s="136">
        <f>(AI142-AI147)/AI142</f>
        <v>1</v>
      </c>
    </row>
    <row r="149" spans="2:35" x14ac:dyDescent="0.3">
      <c r="B149" s="181"/>
      <c r="C149" s="129" t="s">
        <v>11</v>
      </c>
      <c r="D149" s="18">
        <v>64.56</v>
      </c>
      <c r="E149" s="18">
        <v>68.88</v>
      </c>
      <c r="F149" s="18">
        <v>78.12</v>
      </c>
      <c r="G149" s="18">
        <v>81.48</v>
      </c>
      <c r="H149" s="18">
        <v>67.2</v>
      </c>
      <c r="I149" s="18">
        <v>49.56</v>
      </c>
      <c r="J149" s="18">
        <v>54.6</v>
      </c>
      <c r="K149" s="18">
        <v>58.84</v>
      </c>
      <c r="L149" s="18">
        <v>73.5</v>
      </c>
      <c r="M149" s="18">
        <v>87.78</v>
      </c>
      <c r="N149" s="18">
        <v>75.180000000000007</v>
      </c>
      <c r="O149" s="18">
        <v>75.599999999999994</v>
      </c>
      <c r="P149" s="18">
        <v>73.08</v>
      </c>
      <c r="Q149" s="18">
        <v>65.94</v>
      </c>
      <c r="R149" s="18">
        <v>79.8</v>
      </c>
      <c r="S149" s="18">
        <v>94.929000000000002</v>
      </c>
      <c r="T149" s="18">
        <v>85.68</v>
      </c>
      <c r="U149" s="18">
        <v>79.38</v>
      </c>
      <c r="V149" s="18">
        <v>65.099999999999994</v>
      </c>
      <c r="W149" s="18">
        <v>68.88</v>
      </c>
      <c r="X149" s="18">
        <v>89.1</v>
      </c>
      <c r="Y149" s="18">
        <v>65.94</v>
      </c>
      <c r="Z149" s="18">
        <v>92.4</v>
      </c>
      <c r="AA149" s="18">
        <v>79.38</v>
      </c>
      <c r="AB149" s="2"/>
      <c r="AC149" s="1" t="s">
        <v>45</v>
      </c>
      <c r="AD149" s="1">
        <f>SUM(P148:AA149)/SUM(P140:AA140)</f>
        <v>0.12365856164383562</v>
      </c>
      <c r="AF149" s="1">
        <v>145</v>
      </c>
      <c r="AI149" s="137"/>
    </row>
    <row r="150" spans="2:35" x14ac:dyDescent="0.3">
      <c r="B150" s="181"/>
      <c r="C150" s="129" t="s">
        <v>0</v>
      </c>
      <c r="D150" s="19" t="s">
        <v>44</v>
      </c>
      <c r="E150" s="20" t="s">
        <v>44</v>
      </c>
      <c r="F150" s="20" t="s">
        <v>44</v>
      </c>
      <c r="G150" s="20" t="s">
        <v>44</v>
      </c>
      <c r="H150" s="20" t="s">
        <v>44</v>
      </c>
      <c r="I150" s="20" t="s">
        <v>44</v>
      </c>
      <c r="J150" s="19" t="s">
        <v>44</v>
      </c>
      <c r="K150" s="20" t="s">
        <v>44</v>
      </c>
      <c r="L150" s="20" t="s">
        <v>44</v>
      </c>
      <c r="M150" s="20" t="s">
        <v>44</v>
      </c>
      <c r="N150" s="20" t="s">
        <v>44</v>
      </c>
      <c r="O150" s="20" t="s">
        <v>44</v>
      </c>
      <c r="P150" s="20" t="s">
        <v>44</v>
      </c>
      <c r="Q150" s="20" t="s">
        <v>44</v>
      </c>
      <c r="R150" s="20" t="s">
        <v>44</v>
      </c>
      <c r="S150" s="20" t="s">
        <v>44</v>
      </c>
      <c r="T150" s="20" t="s">
        <v>44</v>
      </c>
      <c r="U150" s="20" t="s">
        <v>44</v>
      </c>
      <c r="V150" s="20" t="s">
        <v>44</v>
      </c>
      <c r="W150" s="20" t="s">
        <v>44</v>
      </c>
      <c r="X150" s="20" t="s">
        <v>44</v>
      </c>
      <c r="Y150" s="20" t="s">
        <v>44</v>
      </c>
      <c r="Z150" s="20" t="s">
        <v>44</v>
      </c>
      <c r="AA150" s="20" t="s">
        <v>44</v>
      </c>
      <c r="AB150" s="2"/>
      <c r="AC150" s="1" t="s">
        <v>91</v>
      </c>
      <c r="AD150" s="93">
        <f>SUM(P148:AA148)/SUM(P148:AA149)</f>
        <v>0.1326010917157551</v>
      </c>
      <c r="AF150" s="1">
        <v>17.64</v>
      </c>
      <c r="AH150" s="94" t="s">
        <v>126</v>
      </c>
      <c r="AI150" s="135">
        <f>AA326</f>
        <v>0</v>
      </c>
    </row>
    <row r="151" spans="2:35" x14ac:dyDescent="0.3">
      <c r="B151" s="181"/>
      <c r="C151" s="107"/>
      <c r="D151" s="107"/>
      <c r="E151" s="107"/>
      <c r="F151" s="107"/>
      <c r="G151" s="107"/>
      <c r="H151" s="107"/>
      <c r="I151" s="107"/>
      <c r="J151" s="107"/>
      <c r="K151" s="107"/>
      <c r="L151" s="107"/>
      <c r="M151" s="107"/>
      <c r="N151" s="107"/>
      <c r="O151" s="107"/>
      <c r="P151" s="107"/>
      <c r="Q151" s="107"/>
      <c r="R151" s="107"/>
      <c r="S151" s="107"/>
      <c r="T151" s="107"/>
      <c r="U151" s="107"/>
      <c r="V151" s="107"/>
      <c r="W151" s="107"/>
      <c r="X151" s="107"/>
      <c r="Y151" s="107"/>
      <c r="Z151" s="107"/>
      <c r="AA151" s="108"/>
      <c r="AD151" s="1">
        <v>0.12392200974878137</v>
      </c>
      <c r="AF151" s="1">
        <f>AF149+AF150</f>
        <v>162.63999999999999</v>
      </c>
      <c r="AH151" s="94" t="s">
        <v>125</v>
      </c>
      <c r="AI151" s="136">
        <f>(AI142-AI150)/AI142</f>
        <v>1</v>
      </c>
    </row>
    <row r="152" spans="2:35" x14ac:dyDescent="0.3">
      <c r="B152" s="181"/>
      <c r="C152" s="129" t="s">
        <v>12</v>
      </c>
      <c r="D152" s="126">
        <f>'SIMULAÇÃO CENÁRIOS'!$D$8</f>
        <v>1</v>
      </c>
      <c r="E152" s="126">
        <f>'SIMULAÇÃO CENÁRIOS'!$D$8</f>
        <v>1</v>
      </c>
      <c r="F152" s="126">
        <f>'SIMULAÇÃO CENÁRIOS'!$D$8</f>
        <v>1</v>
      </c>
      <c r="G152" s="126">
        <f>'SIMULAÇÃO CENÁRIOS'!$D$8</f>
        <v>1</v>
      </c>
      <c r="H152" s="126">
        <f>'SIMULAÇÃO CENÁRIOS'!$D$8</f>
        <v>1</v>
      </c>
      <c r="I152" s="126">
        <f>'SIMULAÇÃO CENÁRIOS'!$D$8</f>
        <v>1</v>
      </c>
      <c r="J152" s="126">
        <f>'SIMULAÇÃO CENÁRIOS'!$D$8</f>
        <v>1</v>
      </c>
      <c r="K152" s="126">
        <f>'SIMULAÇÃO CENÁRIOS'!$D$8</f>
        <v>1</v>
      </c>
      <c r="L152" s="126">
        <f>'SIMULAÇÃO CENÁRIOS'!$D$8</f>
        <v>1</v>
      </c>
      <c r="M152" s="126">
        <f>'SIMULAÇÃO CENÁRIOS'!$D$8</f>
        <v>1</v>
      </c>
      <c r="N152" s="126">
        <f>'SIMULAÇÃO CENÁRIOS'!$D$8</f>
        <v>1</v>
      </c>
      <c r="O152" s="126">
        <f>'SIMULAÇÃO CENÁRIOS'!$D$8</f>
        <v>1</v>
      </c>
      <c r="P152" s="126">
        <f>'SIMULAÇÃO CENÁRIOS'!$D$8</f>
        <v>1</v>
      </c>
      <c r="Q152" s="126">
        <f>'SIMULAÇÃO CENÁRIOS'!$D$8</f>
        <v>1</v>
      </c>
      <c r="R152" s="126">
        <f>'SIMULAÇÃO CENÁRIOS'!$D$8</f>
        <v>1</v>
      </c>
      <c r="S152" s="126">
        <f>'SIMULAÇÃO CENÁRIOS'!$D$8</f>
        <v>1</v>
      </c>
      <c r="T152" s="126">
        <f>'SIMULAÇÃO CENÁRIOS'!$D$8</f>
        <v>1</v>
      </c>
      <c r="U152" s="126">
        <f>'SIMULAÇÃO CENÁRIOS'!$D$8</f>
        <v>1</v>
      </c>
      <c r="V152" s="126">
        <f>'SIMULAÇÃO CENÁRIOS'!$D$8</f>
        <v>1</v>
      </c>
      <c r="W152" s="126">
        <f>'SIMULAÇÃO CENÁRIOS'!$D$8</f>
        <v>1</v>
      </c>
      <c r="X152" s="126">
        <f>'SIMULAÇÃO CENÁRIOS'!$D$8</f>
        <v>1</v>
      </c>
      <c r="Y152" s="126">
        <f>'SIMULAÇÃO CENÁRIOS'!$D$8</f>
        <v>1</v>
      </c>
      <c r="Z152" s="126">
        <f>'SIMULAÇÃO CENÁRIOS'!$D$8</f>
        <v>1</v>
      </c>
      <c r="AA152" s="126">
        <f>'SIMULAÇÃO CENÁRIOS'!$D$8</f>
        <v>1</v>
      </c>
    </row>
    <row r="153" spans="2:35" x14ac:dyDescent="0.3">
      <c r="B153" s="181"/>
      <c r="C153" s="107"/>
      <c r="D153" s="107"/>
      <c r="E153" s="107"/>
      <c r="F153" s="107"/>
      <c r="G153" s="107"/>
      <c r="H153" s="107"/>
      <c r="I153" s="107"/>
      <c r="J153" s="107"/>
      <c r="K153" s="107"/>
      <c r="L153" s="107"/>
      <c r="M153" s="107"/>
      <c r="N153" s="107"/>
      <c r="O153" s="107"/>
      <c r="P153" s="107"/>
      <c r="Q153" s="107"/>
      <c r="R153" s="107"/>
      <c r="S153" s="107"/>
      <c r="T153" s="107"/>
      <c r="U153" s="107"/>
      <c r="V153" s="107"/>
      <c r="W153" s="107"/>
      <c r="X153" s="107"/>
      <c r="Y153" s="107"/>
      <c r="Z153" s="107"/>
      <c r="AA153" s="108"/>
    </row>
    <row r="154" spans="2:35" x14ac:dyDescent="0.3">
      <c r="B154" s="181"/>
      <c r="C154" s="129" t="s">
        <v>13</v>
      </c>
      <c r="D154" s="9" t="s">
        <v>1</v>
      </c>
      <c r="E154" s="10" t="s">
        <v>1</v>
      </c>
      <c r="F154" s="10" t="s">
        <v>1</v>
      </c>
      <c r="G154" s="10" t="s">
        <v>1</v>
      </c>
      <c r="H154" s="10" t="s">
        <v>1</v>
      </c>
      <c r="I154" s="10" t="s">
        <v>1</v>
      </c>
      <c r="J154" s="9" t="s">
        <v>1</v>
      </c>
      <c r="K154" s="10" t="s">
        <v>1</v>
      </c>
      <c r="L154" s="10" t="s">
        <v>1</v>
      </c>
      <c r="M154" s="10" t="s">
        <v>1</v>
      </c>
      <c r="N154" s="10" t="s">
        <v>1</v>
      </c>
      <c r="O154" s="10" t="s">
        <v>1</v>
      </c>
      <c r="P154" s="9" t="s">
        <v>1</v>
      </c>
      <c r="Q154" s="9" t="s">
        <v>1</v>
      </c>
      <c r="R154" s="9" t="s">
        <v>1</v>
      </c>
      <c r="S154" s="9" t="s">
        <v>1</v>
      </c>
      <c r="T154" s="9" t="s">
        <v>1</v>
      </c>
      <c r="U154" s="9" t="s">
        <v>1</v>
      </c>
      <c r="V154" s="9" t="s">
        <v>1</v>
      </c>
      <c r="W154" s="9" t="s">
        <v>1</v>
      </c>
      <c r="X154" s="9" t="s">
        <v>1</v>
      </c>
      <c r="Y154" s="9" t="s">
        <v>1</v>
      </c>
      <c r="Z154" s="9" t="s">
        <v>1</v>
      </c>
      <c r="AA154" s="9" t="s">
        <v>1</v>
      </c>
      <c r="AF154" s="92">
        <f>AF151*1000</f>
        <v>162640</v>
      </c>
    </row>
    <row r="155" spans="2:35" x14ac:dyDescent="0.3">
      <c r="B155" s="181"/>
      <c r="C155" s="129" t="s">
        <v>14</v>
      </c>
      <c r="D155" s="11" t="s">
        <v>42</v>
      </c>
      <c r="E155" s="12" t="s">
        <v>42</v>
      </c>
      <c r="F155" s="12" t="s">
        <v>42</v>
      </c>
      <c r="G155" s="12" t="s">
        <v>42</v>
      </c>
      <c r="H155" s="12" t="s">
        <v>42</v>
      </c>
      <c r="I155" s="12" t="s">
        <v>42</v>
      </c>
      <c r="J155" s="11" t="s">
        <v>42</v>
      </c>
      <c r="K155" s="12" t="s">
        <v>42</v>
      </c>
      <c r="L155" s="12" t="s">
        <v>42</v>
      </c>
      <c r="M155" s="12" t="s">
        <v>42</v>
      </c>
      <c r="N155" s="12" t="s">
        <v>42</v>
      </c>
      <c r="O155" s="12" t="s">
        <v>42</v>
      </c>
      <c r="P155" s="12" t="s">
        <v>42</v>
      </c>
      <c r="Q155" s="12" t="s">
        <v>42</v>
      </c>
      <c r="R155" s="12" t="s">
        <v>42</v>
      </c>
      <c r="S155" s="12" t="s">
        <v>42</v>
      </c>
      <c r="T155" s="12" t="s">
        <v>42</v>
      </c>
      <c r="U155" s="12" t="s">
        <v>42</v>
      </c>
      <c r="V155" s="12" t="s">
        <v>42</v>
      </c>
      <c r="W155" s="12" t="s">
        <v>42</v>
      </c>
      <c r="X155" s="12" t="s">
        <v>42</v>
      </c>
      <c r="Y155" s="12" t="s">
        <v>42</v>
      </c>
      <c r="Z155" s="12" t="s">
        <v>42</v>
      </c>
      <c r="AA155" s="12" t="s">
        <v>42</v>
      </c>
      <c r="AF155" s="92">
        <f>AF154/100</f>
        <v>1626.4</v>
      </c>
    </row>
    <row r="156" spans="2:35" x14ac:dyDescent="0.3">
      <c r="B156" s="181"/>
      <c r="C156" s="129" t="s">
        <v>15</v>
      </c>
      <c r="D156" s="13">
        <v>49.84</v>
      </c>
      <c r="E156" s="14">
        <v>49.84</v>
      </c>
      <c r="F156" s="14">
        <v>49.84</v>
      </c>
      <c r="G156" s="14">
        <v>49.84</v>
      </c>
      <c r="H156" s="14">
        <v>49.84</v>
      </c>
      <c r="I156" s="14">
        <v>49.84</v>
      </c>
      <c r="J156" s="13">
        <v>49.84</v>
      </c>
      <c r="K156" s="14">
        <v>49.84</v>
      </c>
      <c r="L156" s="14">
        <v>49.84</v>
      </c>
      <c r="M156" s="14">
        <v>49.84</v>
      </c>
      <c r="N156" s="14">
        <v>49.84</v>
      </c>
      <c r="O156" s="14">
        <v>49.84</v>
      </c>
      <c r="P156" s="14">
        <v>49.84</v>
      </c>
      <c r="Q156" s="14">
        <v>49.84</v>
      </c>
      <c r="R156" s="14">
        <v>49.84</v>
      </c>
      <c r="S156" s="14">
        <v>49.84</v>
      </c>
      <c r="T156" s="14">
        <v>49.84</v>
      </c>
      <c r="U156" s="14">
        <v>49.84</v>
      </c>
      <c r="V156" s="14">
        <v>49.84</v>
      </c>
      <c r="W156" s="14">
        <v>49.84</v>
      </c>
      <c r="X156" s="14">
        <v>49.84</v>
      </c>
      <c r="Y156" s="14">
        <v>49.84</v>
      </c>
      <c r="Z156" s="14">
        <v>49.84</v>
      </c>
      <c r="AA156" s="14">
        <v>49.84</v>
      </c>
      <c r="AF156" s="1">
        <f>AF155*1.343</f>
        <v>2184.2552000000001</v>
      </c>
    </row>
    <row r="157" spans="2:35" x14ac:dyDescent="0.3">
      <c r="B157" s="181"/>
      <c r="C157" s="129" t="s">
        <v>16</v>
      </c>
      <c r="D157" s="11">
        <v>19.260000000000002</v>
      </c>
      <c r="E157" s="12">
        <v>19.260000000000002</v>
      </c>
      <c r="F157" s="12">
        <v>19.260000000000002</v>
      </c>
      <c r="G157" s="12">
        <v>19.260000000000002</v>
      </c>
      <c r="H157" s="12">
        <v>19.260000000000002</v>
      </c>
      <c r="I157" s="12">
        <v>19.260000000000002</v>
      </c>
      <c r="J157" s="11">
        <v>19.260000000000002</v>
      </c>
      <c r="K157" s="12">
        <v>19.260000000000002</v>
      </c>
      <c r="L157" s="12">
        <v>19.260000000000002</v>
      </c>
      <c r="M157" s="12">
        <v>19.260000000000002</v>
      </c>
      <c r="N157" s="12">
        <v>19.260000000000002</v>
      </c>
      <c r="O157" s="12">
        <v>19.260000000000002</v>
      </c>
      <c r="P157" s="12">
        <v>19.260000000000002</v>
      </c>
      <c r="Q157" s="12">
        <v>19.260000000000002</v>
      </c>
      <c r="R157" s="12">
        <v>19.260000000000002</v>
      </c>
      <c r="S157" s="12">
        <v>19.260000000000002</v>
      </c>
      <c r="T157" s="12">
        <v>19.260000000000002</v>
      </c>
      <c r="U157" s="12">
        <v>19.260000000000002</v>
      </c>
      <c r="V157" s="12">
        <v>19.260000000000002</v>
      </c>
      <c r="W157" s="12">
        <v>19.260000000000002</v>
      </c>
      <c r="X157" s="12">
        <v>19.260000000000002</v>
      </c>
      <c r="Y157" s="12">
        <v>19.260000000000002</v>
      </c>
      <c r="Z157" s="12">
        <v>19.260000000000002</v>
      </c>
      <c r="AA157" s="12">
        <v>19.260000000000002</v>
      </c>
    </row>
    <row r="158" spans="2:35" x14ac:dyDescent="0.3">
      <c r="B158" s="181"/>
      <c r="C158" s="129" t="s">
        <v>17</v>
      </c>
      <c r="D158" s="15">
        <v>1292.96</v>
      </c>
      <c r="E158" s="16">
        <v>1292.96</v>
      </c>
      <c r="F158" s="16">
        <v>1292.96</v>
      </c>
      <c r="G158" s="16">
        <v>1292.96</v>
      </c>
      <c r="H158" s="16">
        <v>1292.96</v>
      </c>
      <c r="I158" s="16">
        <v>1292.96</v>
      </c>
      <c r="J158" s="15">
        <v>1292.96</v>
      </c>
      <c r="K158" s="16">
        <v>1292.96</v>
      </c>
      <c r="L158" s="16">
        <v>1292.96</v>
      </c>
      <c r="M158" s="16">
        <v>1292.96</v>
      </c>
      <c r="N158" s="16">
        <v>1292.96</v>
      </c>
      <c r="O158" s="16">
        <v>1292.96</v>
      </c>
      <c r="P158" s="16">
        <v>1292.96</v>
      </c>
      <c r="Q158" s="16">
        <v>1292.96</v>
      </c>
      <c r="R158" s="16">
        <v>1292.96</v>
      </c>
      <c r="S158" s="16">
        <v>1292.96</v>
      </c>
      <c r="T158" s="16">
        <v>1292.96</v>
      </c>
      <c r="U158" s="16">
        <v>1292.96</v>
      </c>
      <c r="V158" s="16">
        <v>1292.96</v>
      </c>
      <c r="W158" s="16">
        <v>1292.96</v>
      </c>
      <c r="X158" s="16">
        <v>1292.96</v>
      </c>
      <c r="Y158" s="16">
        <v>1292.96</v>
      </c>
      <c r="Z158" s="16">
        <v>1292.96</v>
      </c>
      <c r="AA158" s="16">
        <v>1292.96</v>
      </c>
    </row>
    <row r="159" spans="2:35" x14ac:dyDescent="0.3">
      <c r="B159" s="181"/>
      <c r="C159" s="129" t="s">
        <v>18</v>
      </c>
      <c r="D159" s="17">
        <v>83.39</v>
      </c>
      <c r="E159" s="18">
        <v>83.39</v>
      </c>
      <c r="F159" s="18">
        <v>83.39</v>
      </c>
      <c r="G159" s="18">
        <v>83.39</v>
      </c>
      <c r="H159" s="18">
        <v>83.39</v>
      </c>
      <c r="I159" s="18">
        <v>83.39</v>
      </c>
      <c r="J159" s="17">
        <v>83.39</v>
      </c>
      <c r="K159" s="18">
        <v>83.39</v>
      </c>
      <c r="L159" s="18">
        <v>83.39</v>
      </c>
      <c r="M159" s="18">
        <v>83.39</v>
      </c>
      <c r="N159" s="18">
        <v>83.39</v>
      </c>
      <c r="O159" s="18">
        <v>83.39</v>
      </c>
      <c r="P159" s="18">
        <v>83.39</v>
      </c>
      <c r="Q159" s="18">
        <v>83.39</v>
      </c>
      <c r="R159" s="18">
        <v>83.39</v>
      </c>
      <c r="S159" s="18">
        <v>83.39</v>
      </c>
      <c r="T159" s="18">
        <v>83.39</v>
      </c>
      <c r="U159" s="18">
        <v>83.39</v>
      </c>
      <c r="V159" s="18">
        <v>83.39</v>
      </c>
      <c r="W159" s="18">
        <v>83.39</v>
      </c>
      <c r="X159" s="18">
        <v>83.39</v>
      </c>
      <c r="Y159" s="18">
        <v>83.39</v>
      </c>
      <c r="Z159" s="18">
        <v>83.39</v>
      </c>
      <c r="AA159" s="18">
        <v>83.39</v>
      </c>
    </row>
    <row r="160" spans="2:35" x14ac:dyDescent="0.3">
      <c r="B160" s="181"/>
      <c r="C160" s="129" t="s">
        <v>19</v>
      </c>
      <c r="D160" s="15">
        <v>420.68</v>
      </c>
      <c r="E160" s="16">
        <v>420.68</v>
      </c>
      <c r="F160" s="16">
        <v>420.68</v>
      </c>
      <c r="G160" s="16">
        <v>420.68</v>
      </c>
      <c r="H160" s="16">
        <v>420.68</v>
      </c>
      <c r="I160" s="16">
        <v>420.68</v>
      </c>
      <c r="J160" s="15">
        <v>420.68</v>
      </c>
      <c r="K160" s="16">
        <v>420.68</v>
      </c>
      <c r="L160" s="16">
        <v>420.68</v>
      </c>
      <c r="M160" s="16">
        <v>420.68</v>
      </c>
      <c r="N160" s="16">
        <v>420.68</v>
      </c>
      <c r="O160" s="16">
        <v>420.68</v>
      </c>
      <c r="P160" s="16">
        <v>420.68</v>
      </c>
      <c r="Q160" s="16">
        <v>420.68</v>
      </c>
      <c r="R160" s="16">
        <v>420.68</v>
      </c>
      <c r="S160" s="16">
        <v>420.68</v>
      </c>
      <c r="T160" s="16">
        <v>420.68</v>
      </c>
      <c r="U160" s="16">
        <v>420.68</v>
      </c>
      <c r="V160" s="16">
        <v>420.68</v>
      </c>
      <c r="W160" s="16">
        <v>420.68</v>
      </c>
      <c r="X160" s="16">
        <v>420.68</v>
      </c>
      <c r="Y160" s="16">
        <v>420.68</v>
      </c>
      <c r="Z160" s="16">
        <v>420.68</v>
      </c>
      <c r="AA160" s="16">
        <v>420.68</v>
      </c>
    </row>
    <row r="161" spans="2:27" x14ac:dyDescent="0.3">
      <c r="B161" s="181"/>
      <c r="C161" s="130" t="s">
        <v>20</v>
      </c>
      <c r="D161" s="21">
        <v>251.44</v>
      </c>
      <c r="E161" s="22">
        <v>251.44</v>
      </c>
      <c r="F161" s="22">
        <v>251.44</v>
      </c>
      <c r="G161" s="22">
        <v>251.44</v>
      </c>
      <c r="H161" s="22">
        <v>251.44</v>
      </c>
      <c r="I161" s="22">
        <v>251.44</v>
      </c>
      <c r="J161" s="21">
        <v>251.44</v>
      </c>
      <c r="K161" s="22">
        <v>251.44</v>
      </c>
      <c r="L161" s="22">
        <v>251.44</v>
      </c>
      <c r="M161" s="22">
        <v>251.44</v>
      </c>
      <c r="N161" s="22">
        <v>251.44</v>
      </c>
      <c r="O161" s="22">
        <v>251.44</v>
      </c>
      <c r="P161" s="22">
        <v>251.44</v>
      </c>
      <c r="Q161" s="22">
        <v>251.44</v>
      </c>
      <c r="R161" s="22">
        <v>251.44</v>
      </c>
      <c r="S161" s="22">
        <v>251.44</v>
      </c>
      <c r="T161" s="22">
        <v>251.44</v>
      </c>
      <c r="U161" s="22">
        <v>251.44</v>
      </c>
      <c r="V161" s="22">
        <v>251.44</v>
      </c>
      <c r="W161" s="22">
        <v>251.44</v>
      </c>
      <c r="X161" s="22">
        <v>251.44</v>
      </c>
      <c r="Y161" s="22">
        <v>251.44</v>
      </c>
      <c r="Z161" s="22">
        <v>251.44</v>
      </c>
      <c r="AA161" s="22">
        <v>251.44</v>
      </c>
    </row>
    <row r="162" spans="2:27" x14ac:dyDescent="0.3">
      <c r="B162" s="181"/>
      <c r="C162" s="107"/>
      <c r="D162" s="107"/>
      <c r="E162" s="107"/>
      <c r="F162" s="107"/>
      <c r="G162" s="107"/>
      <c r="H162" s="107"/>
      <c r="I162" s="107"/>
      <c r="J162" s="107"/>
      <c r="K162" s="107"/>
      <c r="L162" s="107"/>
      <c r="M162" s="107"/>
      <c r="N162" s="107"/>
      <c r="O162" s="107"/>
      <c r="P162" s="107"/>
      <c r="Q162" s="107"/>
      <c r="R162" s="107"/>
      <c r="S162" s="107"/>
      <c r="T162" s="107"/>
      <c r="U162" s="107"/>
      <c r="V162" s="107"/>
      <c r="W162" s="107"/>
      <c r="X162" s="107"/>
      <c r="Y162" s="107"/>
      <c r="Z162" s="107"/>
      <c r="AA162" s="23"/>
    </row>
    <row r="163" spans="2:27" x14ac:dyDescent="0.3">
      <c r="B163" s="181"/>
      <c r="C163" s="129" t="s">
        <v>21</v>
      </c>
      <c r="D163" s="24">
        <v>0.27</v>
      </c>
      <c r="E163" s="24">
        <v>0.27</v>
      </c>
      <c r="F163" s="24">
        <v>0.27</v>
      </c>
      <c r="G163" s="24">
        <v>0.27</v>
      </c>
      <c r="H163" s="24">
        <v>0.27</v>
      </c>
      <c r="I163" s="24">
        <v>0.27</v>
      </c>
      <c r="J163" s="24">
        <v>0.27</v>
      </c>
      <c r="K163" s="24">
        <v>0.27</v>
      </c>
      <c r="L163" s="24">
        <v>0.27</v>
      </c>
      <c r="M163" s="24">
        <v>0.27</v>
      </c>
      <c r="N163" s="24">
        <v>0.27</v>
      </c>
      <c r="O163" s="24">
        <v>0.27</v>
      </c>
      <c r="P163" s="24">
        <v>0.27</v>
      </c>
      <c r="Q163" s="24">
        <v>0.27</v>
      </c>
      <c r="R163" s="24">
        <v>0.27</v>
      </c>
      <c r="S163" s="24">
        <v>0.27</v>
      </c>
      <c r="T163" s="24">
        <v>0.27</v>
      </c>
      <c r="U163" s="24">
        <v>0.27</v>
      </c>
      <c r="V163" s="24">
        <v>0.27</v>
      </c>
      <c r="W163" s="24">
        <v>0.27</v>
      </c>
      <c r="X163" s="24">
        <v>0.27</v>
      </c>
      <c r="Y163" s="24">
        <v>0.27</v>
      </c>
      <c r="Z163" s="24">
        <v>0.27</v>
      </c>
      <c r="AA163" s="24">
        <v>0.27</v>
      </c>
    </row>
    <row r="164" spans="2:27" x14ac:dyDescent="0.3">
      <c r="B164" s="181"/>
      <c r="C164" s="129" t="s">
        <v>22</v>
      </c>
      <c r="D164" s="25">
        <v>0.05</v>
      </c>
      <c r="E164" s="26">
        <v>0.05</v>
      </c>
      <c r="F164" s="26">
        <v>0.05</v>
      </c>
      <c r="G164" s="26">
        <v>0.05</v>
      </c>
      <c r="H164" s="26">
        <v>0.05</v>
      </c>
      <c r="I164" s="26">
        <v>0.05</v>
      </c>
      <c r="J164" s="25">
        <v>0.05</v>
      </c>
      <c r="K164" s="26">
        <v>0.05</v>
      </c>
      <c r="L164" s="26">
        <v>0.05</v>
      </c>
      <c r="M164" s="26">
        <v>0.05</v>
      </c>
      <c r="N164" s="26">
        <v>0.05</v>
      </c>
      <c r="O164" s="26">
        <v>0.05</v>
      </c>
      <c r="P164" s="26">
        <v>0.05</v>
      </c>
      <c r="Q164" s="26">
        <v>0.05</v>
      </c>
      <c r="R164" s="26">
        <v>0.05</v>
      </c>
      <c r="S164" s="26">
        <v>0.05</v>
      </c>
      <c r="T164" s="26">
        <v>0.05</v>
      </c>
      <c r="U164" s="26">
        <v>0.05</v>
      </c>
      <c r="V164" s="26">
        <v>0.05</v>
      </c>
      <c r="W164" s="26">
        <v>0.05</v>
      </c>
      <c r="X164" s="26">
        <v>0.05</v>
      </c>
      <c r="Y164" s="26">
        <v>0.05</v>
      </c>
      <c r="Z164" s="26">
        <v>0.05</v>
      </c>
      <c r="AA164" s="26">
        <v>0.05</v>
      </c>
    </row>
    <row r="165" spans="2:27" x14ac:dyDescent="0.3">
      <c r="B165" s="181"/>
      <c r="C165" s="107"/>
      <c r="D165" s="107"/>
      <c r="E165" s="107"/>
      <c r="F165" s="107"/>
      <c r="G165" s="107"/>
      <c r="H165" s="107"/>
      <c r="I165" s="107"/>
      <c r="J165" s="107"/>
      <c r="K165" s="107"/>
      <c r="L165" s="107"/>
      <c r="M165" s="107"/>
      <c r="N165" s="107"/>
      <c r="O165" s="107"/>
      <c r="P165" s="107"/>
      <c r="Q165" s="107"/>
      <c r="R165" s="107"/>
      <c r="S165" s="107"/>
      <c r="T165" s="107"/>
      <c r="U165" s="107"/>
      <c r="V165" s="107"/>
      <c r="W165" s="107"/>
      <c r="X165" s="107"/>
      <c r="Y165" s="107"/>
      <c r="Z165" s="107"/>
      <c r="AA165" s="23"/>
    </row>
    <row r="166" spans="2:27" x14ac:dyDescent="0.3">
      <c r="B166" s="181"/>
      <c r="C166" s="131" t="s">
        <v>23</v>
      </c>
      <c r="D166" s="27">
        <f>IF(D155="Azul",D144*D156*(1-D152),0)</f>
        <v>0</v>
      </c>
      <c r="E166" s="28">
        <f t="shared" ref="E166:O166" si="94">IF(E155="Azul",E144*E156*(1-E152),0)</f>
        <v>0</v>
      </c>
      <c r="F166" s="28">
        <f t="shared" si="94"/>
        <v>0</v>
      </c>
      <c r="G166" s="28">
        <f t="shared" si="94"/>
        <v>0</v>
      </c>
      <c r="H166" s="28">
        <f t="shared" si="94"/>
        <v>0</v>
      </c>
      <c r="I166" s="28">
        <f t="shared" si="94"/>
        <v>0</v>
      </c>
      <c r="J166" s="27">
        <f t="shared" si="94"/>
        <v>0</v>
      </c>
      <c r="K166" s="28">
        <f t="shared" si="94"/>
        <v>0</v>
      </c>
      <c r="L166" s="28">
        <f t="shared" si="94"/>
        <v>0</v>
      </c>
      <c r="M166" s="28">
        <f t="shared" si="94"/>
        <v>0</v>
      </c>
      <c r="N166" s="28">
        <f t="shared" si="94"/>
        <v>0</v>
      </c>
      <c r="O166" s="28">
        <f t="shared" si="94"/>
        <v>0</v>
      </c>
      <c r="P166" s="27">
        <f>IF(P155="Azul",P144*P156*(1-P152),0)</f>
        <v>0</v>
      </c>
      <c r="Q166" s="28">
        <f t="shared" ref="Q166:AA166" si="95">IF(Q155="Azul",Q144*Q156*(1-Q152),0)</f>
        <v>0</v>
      </c>
      <c r="R166" s="28">
        <f t="shared" si="95"/>
        <v>0</v>
      </c>
      <c r="S166" s="28">
        <f t="shared" si="95"/>
        <v>0</v>
      </c>
      <c r="T166" s="28">
        <f t="shared" si="95"/>
        <v>0</v>
      </c>
      <c r="U166" s="28">
        <f t="shared" si="95"/>
        <v>0</v>
      </c>
      <c r="V166" s="28">
        <f t="shared" si="95"/>
        <v>0</v>
      </c>
      <c r="W166" s="28">
        <f t="shared" si="95"/>
        <v>0</v>
      </c>
      <c r="X166" s="28">
        <f t="shared" si="95"/>
        <v>0</v>
      </c>
      <c r="Y166" s="28">
        <f t="shared" si="95"/>
        <v>0</v>
      </c>
      <c r="Z166" s="28">
        <f t="shared" si="95"/>
        <v>0</v>
      </c>
      <c r="AA166" s="28">
        <f t="shared" si="95"/>
        <v>0</v>
      </c>
    </row>
    <row r="167" spans="2:27" x14ac:dyDescent="0.3">
      <c r="B167" s="181"/>
      <c r="C167" s="131" t="s">
        <v>24</v>
      </c>
      <c r="D167" s="29">
        <f>D146*D156*2</f>
        <v>0</v>
      </c>
      <c r="E167" s="30">
        <f t="shared" ref="E167:O167" si="96">E146*E156*2</f>
        <v>0</v>
      </c>
      <c r="F167" s="30">
        <f t="shared" si="96"/>
        <v>0</v>
      </c>
      <c r="G167" s="30">
        <f t="shared" si="96"/>
        <v>0</v>
      </c>
      <c r="H167" s="30">
        <f t="shared" si="96"/>
        <v>0</v>
      </c>
      <c r="I167" s="30">
        <f t="shared" si="96"/>
        <v>0</v>
      </c>
      <c r="J167" s="29">
        <f t="shared" si="96"/>
        <v>0</v>
      </c>
      <c r="K167" s="30">
        <f t="shared" si="96"/>
        <v>0</v>
      </c>
      <c r="L167" s="30">
        <f t="shared" si="96"/>
        <v>0</v>
      </c>
      <c r="M167" s="30">
        <f t="shared" si="96"/>
        <v>0</v>
      </c>
      <c r="N167" s="30">
        <f t="shared" si="96"/>
        <v>0</v>
      </c>
      <c r="O167" s="30">
        <f t="shared" si="96"/>
        <v>0</v>
      </c>
      <c r="P167" s="29">
        <f>P146*P156*2</f>
        <v>0</v>
      </c>
      <c r="Q167" s="30">
        <f t="shared" ref="Q167:AA167" si="97">Q146*Q156*2</f>
        <v>0</v>
      </c>
      <c r="R167" s="30">
        <f t="shared" si="97"/>
        <v>0</v>
      </c>
      <c r="S167" s="30">
        <f t="shared" si="97"/>
        <v>0</v>
      </c>
      <c r="T167" s="30">
        <f t="shared" si="97"/>
        <v>0</v>
      </c>
      <c r="U167" s="30">
        <f t="shared" si="97"/>
        <v>0</v>
      </c>
      <c r="V167" s="30">
        <f t="shared" si="97"/>
        <v>0</v>
      </c>
      <c r="W167" s="30">
        <f t="shared" si="97"/>
        <v>0</v>
      </c>
      <c r="X167" s="30">
        <f t="shared" si="97"/>
        <v>0</v>
      </c>
      <c r="Y167" s="30">
        <f t="shared" si="97"/>
        <v>0</v>
      </c>
      <c r="Z167" s="30">
        <f t="shared" si="97"/>
        <v>0</v>
      </c>
      <c r="AA167" s="30">
        <f t="shared" si="97"/>
        <v>0</v>
      </c>
    </row>
    <row r="168" spans="2:27" x14ac:dyDescent="0.3">
      <c r="B168" s="181"/>
      <c r="C168" s="131" t="s">
        <v>25</v>
      </c>
      <c r="D168" s="31">
        <f>D145*D157*(1-D152)</f>
        <v>0</v>
      </c>
      <c r="E168" s="32">
        <f t="shared" ref="E168:O168" si="98">E145*E157*(1-E152)</f>
        <v>0</v>
      </c>
      <c r="F168" s="32">
        <f t="shared" si="98"/>
        <v>0</v>
      </c>
      <c r="G168" s="32">
        <f t="shared" si="98"/>
        <v>0</v>
      </c>
      <c r="H168" s="32">
        <f t="shared" si="98"/>
        <v>0</v>
      </c>
      <c r="I168" s="32">
        <f t="shared" si="98"/>
        <v>0</v>
      </c>
      <c r="J168" s="31">
        <f t="shared" si="98"/>
        <v>0</v>
      </c>
      <c r="K168" s="32">
        <f t="shared" si="98"/>
        <v>0</v>
      </c>
      <c r="L168" s="32">
        <f t="shared" si="98"/>
        <v>0</v>
      </c>
      <c r="M168" s="32">
        <f t="shared" si="98"/>
        <v>0</v>
      </c>
      <c r="N168" s="32">
        <f t="shared" si="98"/>
        <v>0</v>
      </c>
      <c r="O168" s="32">
        <f t="shared" si="98"/>
        <v>0</v>
      </c>
      <c r="P168" s="31">
        <f>P145*P157*(1-P152)</f>
        <v>0</v>
      </c>
      <c r="Q168" s="32">
        <f t="shared" ref="Q168:AA168" si="99">Q145*Q157*(1-Q152)</f>
        <v>0</v>
      </c>
      <c r="R168" s="32">
        <f t="shared" si="99"/>
        <v>0</v>
      </c>
      <c r="S168" s="32">
        <f t="shared" si="99"/>
        <v>0</v>
      </c>
      <c r="T168" s="32">
        <f t="shared" si="99"/>
        <v>0</v>
      </c>
      <c r="U168" s="32">
        <f t="shared" si="99"/>
        <v>0</v>
      </c>
      <c r="V168" s="32">
        <f t="shared" si="99"/>
        <v>0</v>
      </c>
      <c r="W168" s="32">
        <f t="shared" si="99"/>
        <v>0</v>
      </c>
      <c r="X168" s="32">
        <f t="shared" si="99"/>
        <v>0</v>
      </c>
      <c r="Y168" s="32">
        <f t="shared" si="99"/>
        <v>0</v>
      </c>
      <c r="Z168" s="32">
        <f t="shared" si="99"/>
        <v>0</v>
      </c>
      <c r="AA168" s="32">
        <f t="shared" si="99"/>
        <v>0</v>
      </c>
    </row>
    <row r="169" spans="2:27" x14ac:dyDescent="0.3">
      <c r="B169" s="181"/>
      <c r="C169" s="131" t="s">
        <v>26</v>
      </c>
      <c r="D169" s="29">
        <f>D147*D157*2</f>
        <v>0</v>
      </c>
      <c r="E169" s="30">
        <f t="shared" ref="E169:O169" si="100">E147*E157*2</f>
        <v>0</v>
      </c>
      <c r="F169" s="30">
        <f t="shared" si="100"/>
        <v>0</v>
      </c>
      <c r="G169" s="30">
        <f t="shared" si="100"/>
        <v>0</v>
      </c>
      <c r="H169" s="30">
        <f t="shared" si="100"/>
        <v>0</v>
      </c>
      <c r="I169" s="30">
        <f t="shared" si="100"/>
        <v>0</v>
      </c>
      <c r="J169" s="29">
        <f t="shared" si="100"/>
        <v>0</v>
      </c>
      <c r="K169" s="30">
        <f t="shared" si="100"/>
        <v>0</v>
      </c>
      <c r="L169" s="30">
        <f t="shared" si="100"/>
        <v>0</v>
      </c>
      <c r="M169" s="30">
        <f t="shared" si="100"/>
        <v>0</v>
      </c>
      <c r="N169" s="30">
        <f t="shared" si="100"/>
        <v>0</v>
      </c>
      <c r="O169" s="30">
        <f t="shared" si="100"/>
        <v>0</v>
      </c>
      <c r="P169" s="29">
        <f>P147*P157*2</f>
        <v>0</v>
      </c>
      <c r="Q169" s="30">
        <f t="shared" ref="Q169:AA169" si="101">Q147*Q157*2</f>
        <v>0</v>
      </c>
      <c r="R169" s="30">
        <f t="shared" si="101"/>
        <v>0</v>
      </c>
      <c r="S169" s="30">
        <f t="shared" si="101"/>
        <v>0</v>
      </c>
      <c r="T169" s="30">
        <f t="shared" si="101"/>
        <v>0</v>
      </c>
      <c r="U169" s="30">
        <f t="shared" si="101"/>
        <v>0</v>
      </c>
      <c r="V169" s="30">
        <f t="shared" si="101"/>
        <v>0</v>
      </c>
      <c r="W169" s="30">
        <f t="shared" si="101"/>
        <v>0</v>
      </c>
      <c r="X169" s="30">
        <f t="shared" si="101"/>
        <v>0</v>
      </c>
      <c r="Y169" s="30">
        <f t="shared" si="101"/>
        <v>0</v>
      </c>
      <c r="Z169" s="30">
        <f t="shared" si="101"/>
        <v>0</v>
      </c>
      <c r="AA169" s="30">
        <f t="shared" si="101"/>
        <v>0</v>
      </c>
    </row>
    <row r="170" spans="2:27" x14ac:dyDescent="0.3">
      <c r="B170" s="181"/>
      <c r="C170" s="131" t="s">
        <v>27</v>
      </c>
      <c r="D170" s="31">
        <f>IF(D155="Azul",D148*D159,D148*((D158-D159)*(1-D152)+D159))</f>
        <v>875.59500000000003</v>
      </c>
      <c r="E170" s="32">
        <f t="shared" ref="E170:O170" si="102">IF(E155="Azul",E148*E159,E148*((E158-E159)*(1-E152)+E159))</f>
        <v>875.59500000000003</v>
      </c>
      <c r="F170" s="32">
        <f t="shared" si="102"/>
        <v>1085.7377999999999</v>
      </c>
      <c r="G170" s="32">
        <f t="shared" si="102"/>
        <v>945.64260000000002</v>
      </c>
      <c r="H170" s="32">
        <f t="shared" si="102"/>
        <v>805.54740000000004</v>
      </c>
      <c r="I170" s="32">
        <f t="shared" si="102"/>
        <v>490.33319999999998</v>
      </c>
      <c r="J170" s="31">
        <f t="shared" si="102"/>
        <v>700.476</v>
      </c>
      <c r="K170" s="32">
        <f t="shared" si="102"/>
        <v>770.52359999999999</v>
      </c>
      <c r="L170" s="32">
        <f t="shared" si="102"/>
        <v>1015.6902</v>
      </c>
      <c r="M170" s="32">
        <f t="shared" si="102"/>
        <v>1225.8329999999999</v>
      </c>
      <c r="N170" s="32">
        <f t="shared" si="102"/>
        <v>840.57119999999998</v>
      </c>
      <c r="O170" s="32">
        <f t="shared" si="102"/>
        <v>1050.7139999999999</v>
      </c>
      <c r="P170" s="31">
        <f>IF(P155="Azul",P148*P159,P148*((P158-P159)*(1-P152)+P159))</f>
        <v>840.57119999999998</v>
      </c>
      <c r="Q170" s="32">
        <f t="shared" ref="Q170:AA170" si="103">IF(Q155="Azul",Q148*Q159,Q148*((Q158-Q159)*(1-Q152)+Q159))</f>
        <v>665.45220000000006</v>
      </c>
      <c r="R170" s="32">
        <f t="shared" si="103"/>
        <v>1085.7377999999999</v>
      </c>
      <c r="S170" s="32">
        <f t="shared" si="103"/>
        <v>1260.8568</v>
      </c>
      <c r="T170" s="32">
        <f t="shared" si="103"/>
        <v>1015.6902</v>
      </c>
      <c r="U170" s="32">
        <f t="shared" si="103"/>
        <v>1085.7377999999999</v>
      </c>
      <c r="V170" s="32">
        <f t="shared" si="103"/>
        <v>875.59500000000003</v>
      </c>
      <c r="W170" s="32">
        <f t="shared" si="103"/>
        <v>1015.6902</v>
      </c>
      <c r="X170" s="32">
        <f t="shared" si="103"/>
        <v>1155.7854</v>
      </c>
      <c r="Y170" s="32">
        <f t="shared" si="103"/>
        <v>770.52359999999999</v>
      </c>
      <c r="Z170" s="32">
        <f t="shared" si="103"/>
        <v>1225.8329999999999</v>
      </c>
      <c r="AA170" s="32">
        <f t="shared" si="103"/>
        <v>980.66639999999995</v>
      </c>
    </row>
    <row r="171" spans="2:27" x14ac:dyDescent="0.3">
      <c r="B171" s="181"/>
      <c r="C171" s="132" t="s">
        <v>28</v>
      </c>
      <c r="D171" s="33">
        <f>D149*D159</f>
        <v>5383.6584000000003</v>
      </c>
      <c r="E171" s="34">
        <f t="shared" ref="E171:O171" si="104">E149*E159</f>
        <v>5743.9031999999997</v>
      </c>
      <c r="F171" s="34">
        <f t="shared" si="104"/>
        <v>6514.4268000000002</v>
      </c>
      <c r="G171" s="34">
        <f t="shared" si="104"/>
        <v>6794.6172000000006</v>
      </c>
      <c r="H171" s="34">
        <f t="shared" si="104"/>
        <v>5603.808</v>
      </c>
      <c r="I171" s="34">
        <f t="shared" si="104"/>
        <v>4132.8083999999999</v>
      </c>
      <c r="J171" s="33">
        <f t="shared" si="104"/>
        <v>4553.0940000000001</v>
      </c>
      <c r="K171" s="34">
        <f t="shared" si="104"/>
        <v>4906.6676000000007</v>
      </c>
      <c r="L171" s="34">
        <f t="shared" si="104"/>
        <v>6129.165</v>
      </c>
      <c r="M171" s="34">
        <f t="shared" si="104"/>
        <v>7319.9742000000006</v>
      </c>
      <c r="N171" s="34">
        <f t="shared" si="104"/>
        <v>6269.2602000000006</v>
      </c>
      <c r="O171" s="34">
        <f t="shared" si="104"/>
        <v>6304.2839999999997</v>
      </c>
      <c r="P171" s="33">
        <f>P149*P159</f>
        <v>6094.1412</v>
      </c>
      <c r="Q171" s="34">
        <f t="shared" ref="Q171:AA171" si="105">Q149*Q159</f>
        <v>5498.7366000000002</v>
      </c>
      <c r="R171" s="34">
        <f t="shared" si="105"/>
        <v>6654.5219999999999</v>
      </c>
      <c r="S171" s="34">
        <f t="shared" si="105"/>
        <v>7916.1293100000003</v>
      </c>
      <c r="T171" s="34">
        <f t="shared" si="105"/>
        <v>7144.8552000000009</v>
      </c>
      <c r="U171" s="34">
        <f t="shared" si="105"/>
        <v>6619.4982</v>
      </c>
      <c r="V171" s="34">
        <f t="shared" si="105"/>
        <v>5428.6889999999994</v>
      </c>
      <c r="W171" s="34">
        <f t="shared" si="105"/>
        <v>5743.9031999999997</v>
      </c>
      <c r="X171" s="34">
        <f t="shared" si="105"/>
        <v>7430.049</v>
      </c>
      <c r="Y171" s="34">
        <f t="shared" si="105"/>
        <v>5498.7366000000002</v>
      </c>
      <c r="Z171" s="34">
        <f t="shared" si="105"/>
        <v>7705.2360000000008</v>
      </c>
      <c r="AA171" s="34">
        <f t="shared" si="105"/>
        <v>6619.4982</v>
      </c>
    </row>
    <row r="172" spans="2:27" x14ac:dyDescent="0.3">
      <c r="B172" s="181"/>
      <c r="C172" s="131" t="s">
        <v>29</v>
      </c>
      <c r="D172" s="27">
        <f>SUM(D166:D171)</f>
        <v>6259.2534000000005</v>
      </c>
      <c r="E172" s="28">
        <f>SUM(E166:E171)</f>
        <v>6619.4982</v>
      </c>
      <c r="F172" s="28">
        <f>SUM(F166:F171)</f>
        <v>7600.1646000000001</v>
      </c>
      <c r="G172" s="28">
        <f t="shared" ref="G172:O172" si="106">SUM(G166:G171)</f>
        <v>7740.2598000000007</v>
      </c>
      <c r="H172" s="28">
        <f t="shared" si="106"/>
        <v>6409.3554000000004</v>
      </c>
      <c r="I172" s="28">
        <f t="shared" si="106"/>
        <v>4623.1415999999999</v>
      </c>
      <c r="J172" s="27">
        <f t="shared" si="106"/>
        <v>5253.57</v>
      </c>
      <c r="K172" s="28">
        <f t="shared" si="106"/>
        <v>5677.1912000000011</v>
      </c>
      <c r="L172" s="28">
        <f t="shared" si="106"/>
        <v>7144.8552</v>
      </c>
      <c r="M172" s="28">
        <f t="shared" si="106"/>
        <v>8545.8072000000011</v>
      </c>
      <c r="N172" s="28">
        <f t="shared" si="106"/>
        <v>7109.8314000000009</v>
      </c>
      <c r="O172" s="28">
        <f t="shared" si="106"/>
        <v>7354.9979999999996</v>
      </c>
      <c r="P172" s="27">
        <f>SUM(P166:P171)</f>
        <v>6934.7124000000003</v>
      </c>
      <c r="Q172" s="28">
        <f t="shared" ref="Q172:AA172" si="107">SUM(Q166:Q171)</f>
        <v>6164.1887999999999</v>
      </c>
      <c r="R172" s="28">
        <f t="shared" si="107"/>
        <v>7740.2597999999998</v>
      </c>
      <c r="S172" s="28">
        <f t="shared" si="107"/>
        <v>9176.9861099999998</v>
      </c>
      <c r="T172" s="28">
        <f t="shared" si="107"/>
        <v>8160.5454000000009</v>
      </c>
      <c r="U172" s="28">
        <f t="shared" si="107"/>
        <v>7705.2359999999999</v>
      </c>
      <c r="V172" s="28">
        <f t="shared" si="107"/>
        <v>6304.2839999999997</v>
      </c>
      <c r="W172" s="28">
        <f t="shared" si="107"/>
        <v>6759.5933999999997</v>
      </c>
      <c r="X172" s="28">
        <f t="shared" si="107"/>
        <v>8585.8343999999997</v>
      </c>
      <c r="Y172" s="28">
        <f t="shared" si="107"/>
        <v>6269.2602000000006</v>
      </c>
      <c r="Z172" s="28">
        <f t="shared" si="107"/>
        <v>8931.0690000000013</v>
      </c>
      <c r="AA172" s="28">
        <f t="shared" si="107"/>
        <v>7600.1646000000001</v>
      </c>
    </row>
    <row r="173" spans="2:27" x14ac:dyDescent="0.3">
      <c r="B173" s="181"/>
      <c r="C173" s="131" t="s">
        <v>30</v>
      </c>
      <c r="D173" s="35">
        <f>D172/(1-SUM(D163:D164))*SUM(D163:D164)+((D175+D176+D177)/(1-SUM(D163:D164)))*SUM(D163:D164)</f>
        <v>13453.994541176473</v>
      </c>
      <c r="E173" s="36">
        <f t="shared" ref="E173:AA173" si="108">E172/(1-SUM(E163:E164))*SUM(E163:E164)+((E175+E176+E177)/(1-SUM(E163:E164)))*SUM(E163:E164)</f>
        <v>13623.521505882356</v>
      </c>
      <c r="F173" s="36">
        <f t="shared" si="108"/>
        <v>15519.41929411765</v>
      </c>
      <c r="G173" s="36">
        <f t="shared" si="108"/>
        <v>14629.074635294121</v>
      </c>
      <c r="H173" s="36">
        <f t="shared" si="108"/>
        <v>13046.494870588236</v>
      </c>
      <c r="I173" s="36">
        <f t="shared" si="108"/>
        <v>10054.312094117648</v>
      </c>
      <c r="J173" s="35">
        <f t="shared" si="108"/>
        <v>11785.392</v>
      </c>
      <c r="K173" s="36">
        <f t="shared" si="108"/>
        <v>12462.879058823532</v>
      </c>
      <c r="L173" s="36">
        <f t="shared" si="108"/>
        <v>14827.020141176472</v>
      </c>
      <c r="M173" s="36">
        <f t="shared" si="108"/>
        <v>16920.699388235294</v>
      </c>
      <c r="N173" s="36">
        <f t="shared" si="108"/>
        <v>13615.198588235295</v>
      </c>
      <c r="O173" s="36">
        <f t="shared" si="108"/>
        <v>15164.978823529411</v>
      </c>
      <c r="P173" s="35">
        <f t="shared" si="108"/>
        <v>13532.789647058824</v>
      </c>
      <c r="Q173" s="36">
        <f t="shared" si="108"/>
        <v>11974.850541176473</v>
      </c>
      <c r="R173" s="36">
        <f t="shared" si="108"/>
        <v>15585.346447058826</v>
      </c>
      <c r="S173" s="36">
        <f t="shared" si="108"/>
        <v>17456.792710588237</v>
      </c>
      <c r="T173" s="36">
        <f t="shared" si="108"/>
        <v>15304.992000000002</v>
      </c>
      <c r="U173" s="36">
        <f t="shared" si="108"/>
        <v>15568.864658823531</v>
      </c>
      <c r="V173" s="36">
        <f t="shared" si="108"/>
        <v>13475.185411764709</v>
      </c>
      <c r="W173" s="36">
        <f t="shared" si="108"/>
        <v>14645.720470588236</v>
      </c>
      <c r="X173" s="36">
        <f t="shared" si="108"/>
        <v>16461.399811764706</v>
      </c>
      <c r="Y173" s="36">
        <f t="shared" si="108"/>
        <v>12741.499764705884</v>
      </c>
      <c r="Z173" s="36">
        <f t="shared" si="108"/>
        <v>17101.999058823531</v>
      </c>
      <c r="AA173" s="36">
        <f t="shared" si="108"/>
        <v>14802.21543529412</v>
      </c>
    </row>
    <row r="174" spans="2:27" x14ac:dyDescent="0.3">
      <c r="B174" s="181"/>
      <c r="C174" s="107"/>
      <c r="D174" s="107"/>
      <c r="E174" s="107"/>
      <c r="F174" s="107"/>
      <c r="G174" s="107"/>
      <c r="H174" s="107"/>
      <c r="I174" s="107"/>
      <c r="J174" s="107"/>
      <c r="K174" s="107"/>
      <c r="L174" s="107"/>
      <c r="M174" s="107"/>
      <c r="N174" s="107"/>
      <c r="O174" s="107"/>
      <c r="P174" s="107"/>
      <c r="Q174" s="107"/>
      <c r="R174" s="107"/>
      <c r="S174" s="107"/>
      <c r="T174" s="107"/>
      <c r="U174" s="107"/>
      <c r="V174" s="107"/>
      <c r="W174" s="107"/>
      <c r="X174" s="107"/>
      <c r="Y174" s="107"/>
      <c r="Z174" s="107"/>
      <c r="AA174" s="37"/>
    </row>
    <row r="175" spans="2:27" x14ac:dyDescent="0.3">
      <c r="B175" s="181"/>
      <c r="C175" s="131" t="s">
        <v>31</v>
      </c>
      <c r="D175" s="9">
        <f>IF(D155="Azul",D144*D156*(D152),0)</f>
        <v>0</v>
      </c>
      <c r="E175" s="10">
        <f t="shared" ref="E175:O175" si="109">IF(E155="Azul",E144*E156*(E152),0)</f>
        <v>0</v>
      </c>
      <c r="F175" s="10">
        <f t="shared" si="109"/>
        <v>0</v>
      </c>
      <c r="G175" s="10">
        <f t="shared" si="109"/>
        <v>0</v>
      </c>
      <c r="H175" s="10">
        <f t="shared" si="109"/>
        <v>0</v>
      </c>
      <c r="I175" s="10">
        <f t="shared" si="109"/>
        <v>0</v>
      </c>
      <c r="J175" s="9">
        <f t="shared" si="109"/>
        <v>0</v>
      </c>
      <c r="K175" s="10">
        <f t="shared" si="109"/>
        <v>0</v>
      </c>
      <c r="L175" s="10">
        <f t="shared" si="109"/>
        <v>0</v>
      </c>
      <c r="M175" s="10">
        <f t="shared" si="109"/>
        <v>0</v>
      </c>
      <c r="N175" s="10">
        <f t="shared" si="109"/>
        <v>0</v>
      </c>
      <c r="O175" s="10">
        <f t="shared" si="109"/>
        <v>0</v>
      </c>
      <c r="P175" s="10">
        <f>IF(P155="Azul",P144*P156*(P152),0)</f>
        <v>0</v>
      </c>
      <c r="Q175" s="10">
        <f t="shared" ref="Q175:AA175" si="110">IF(Q155="Azul",Q144*Q156*(Q152),0)</f>
        <v>0</v>
      </c>
      <c r="R175" s="10">
        <f t="shared" si="110"/>
        <v>0</v>
      </c>
      <c r="S175" s="10">
        <f t="shared" si="110"/>
        <v>0</v>
      </c>
      <c r="T175" s="10">
        <f t="shared" si="110"/>
        <v>0</v>
      </c>
      <c r="U175" s="10">
        <f t="shared" si="110"/>
        <v>0</v>
      </c>
      <c r="V175" s="10">
        <f t="shared" si="110"/>
        <v>0</v>
      </c>
      <c r="W175" s="10">
        <f t="shared" si="110"/>
        <v>0</v>
      </c>
      <c r="X175" s="10">
        <f t="shared" si="110"/>
        <v>0</v>
      </c>
      <c r="Y175" s="10">
        <f t="shared" si="110"/>
        <v>0</v>
      </c>
      <c r="Z175" s="10">
        <f t="shared" si="110"/>
        <v>0</v>
      </c>
      <c r="AA175" s="10">
        <f t="shared" si="110"/>
        <v>0</v>
      </c>
    </row>
    <row r="176" spans="2:27" x14ac:dyDescent="0.3">
      <c r="B176" s="181"/>
      <c r="C176" s="131" t="s">
        <v>32</v>
      </c>
      <c r="D176" s="11">
        <f>D145*D157*(D152)</f>
        <v>9630</v>
      </c>
      <c r="E176" s="12">
        <f t="shared" ref="E176:O176" si="111">E145*E157*(E152)</f>
        <v>9630</v>
      </c>
      <c r="F176" s="12">
        <f t="shared" si="111"/>
        <v>9630</v>
      </c>
      <c r="G176" s="12">
        <f t="shared" si="111"/>
        <v>9630</v>
      </c>
      <c r="H176" s="12">
        <f t="shared" si="111"/>
        <v>9630</v>
      </c>
      <c r="I176" s="12">
        <f t="shared" si="111"/>
        <v>9630</v>
      </c>
      <c r="J176" s="11">
        <f t="shared" si="111"/>
        <v>9630</v>
      </c>
      <c r="K176" s="12">
        <f t="shared" si="111"/>
        <v>9630</v>
      </c>
      <c r="L176" s="12">
        <f t="shared" si="111"/>
        <v>9630</v>
      </c>
      <c r="M176" s="12">
        <f t="shared" si="111"/>
        <v>9630</v>
      </c>
      <c r="N176" s="12">
        <f t="shared" si="111"/>
        <v>9630</v>
      </c>
      <c r="O176" s="12">
        <f t="shared" si="111"/>
        <v>9630</v>
      </c>
      <c r="P176" s="12">
        <f>P145*P157*(P152)</f>
        <v>9630</v>
      </c>
      <c r="Q176" s="12">
        <f t="shared" ref="Q176:AA176" si="112">Q145*Q157*(Q152)</f>
        <v>9630</v>
      </c>
      <c r="R176" s="12">
        <f t="shared" si="112"/>
        <v>9630</v>
      </c>
      <c r="S176" s="12">
        <f t="shared" si="112"/>
        <v>9630</v>
      </c>
      <c r="T176" s="12">
        <f t="shared" si="112"/>
        <v>9630</v>
      </c>
      <c r="U176" s="12">
        <f t="shared" si="112"/>
        <v>9630</v>
      </c>
      <c r="V176" s="12">
        <f t="shared" si="112"/>
        <v>9630</v>
      </c>
      <c r="W176" s="12">
        <f t="shared" si="112"/>
        <v>9630</v>
      </c>
      <c r="X176" s="12">
        <f t="shared" si="112"/>
        <v>9630</v>
      </c>
      <c r="Y176" s="12">
        <f t="shared" si="112"/>
        <v>9630</v>
      </c>
      <c r="Z176" s="12">
        <f t="shared" si="112"/>
        <v>9630</v>
      </c>
      <c r="AA176" s="12">
        <f t="shared" si="112"/>
        <v>9630</v>
      </c>
    </row>
    <row r="177" spans="2:29" x14ac:dyDescent="0.3">
      <c r="B177" s="181"/>
      <c r="C177" s="129" t="s">
        <v>33</v>
      </c>
      <c r="D177" s="19">
        <f>IF(D155="Verde",D148*(D158-D159)*(D152),0)</f>
        <v>12700.484999999999</v>
      </c>
      <c r="E177" s="20">
        <f t="shared" ref="E177:AA177" si="113">IF(E155="Verde",E148*(E158-E159)*(E152),0)</f>
        <v>12700.484999999999</v>
      </c>
      <c r="F177" s="20">
        <f t="shared" si="113"/>
        <v>15748.6014</v>
      </c>
      <c r="G177" s="20">
        <f t="shared" si="113"/>
        <v>13716.523799999999</v>
      </c>
      <c r="H177" s="20">
        <f t="shared" si="113"/>
        <v>11684.4462</v>
      </c>
      <c r="I177" s="20">
        <f t="shared" si="113"/>
        <v>7112.2715999999991</v>
      </c>
      <c r="J177" s="19">
        <f t="shared" si="113"/>
        <v>10160.387999999999</v>
      </c>
      <c r="K177" s="20">
        <f t="shared" si="113"/>
        <v>11176.426799999999</v>
      </c>
      <c r="L177" s="20">
        <f t="shared" si="113"/>
        <v>14732.562599999999</v>
      </c>
      <c r="M177" s="20">
        <f t="shared" si="113"/>
        <v>17780.678999999996</v>
      </c>
      <c r="N177" s="20">
        <f t="shared" si="113"/>
        <v>12192.4656</v>
      </c>
      <c r="O177" s="20">
        <f t="shared" si="113"/>
        <v>15240.581999999999</v>
      </c>
      <c r="P177" s="20">
        <f t="shared" si="113"/>
        <v>12192.4656</v>
      </c>
      <c r="Q177" s="20">
        <f t="shared" si="113"/>
        <v>9652.3685999999998</v>
      </c>
      <c r="R177" s="20">
        <f t="shared" si="113"/>
        <v>15748.6014</v>
      </c>
      <c r="S177" s="20">
        <f t="shared" si="113"/>
        <v>18288.698399999997</v>
      </c>
      <c r="T177" s="20">
        <f t="shared" si="113"/>
        <v>14732.562599999999</v>
      </c>
      <c r="U177" s="20">
        <f t="shared" si="113"/>
        <v>15748.6014</v>
      </c>
      <c r="V177" s="20">
        <f t="shared" si="113"/>
        <v>12700.484999999999</v>
      </c>
      <c r="W177" s="20">
        <f t="shared" si="113"/>
        <v>14732.562599999999</v>
      </c>
      <c r="X177" s="20">
        <f t="shared" si="113"/>
        <v>16764.640199999998</v>
      </c>
      <c r="Y177" s="20">
        <f t="shared" si="113"/>
        <v>11176.426799999999</v>
      </c>
      <c r="Z177" s="20">
        <f t="shared" si="113"/>
        <v>17780.678999999996</v>
      </c>
      <c r="AA177" s="20">
        <f t="shared" si="113"/>
        <v>14224.543199999998</v>
      </c>
      <c r="AC177" s="92"/>
    </row>
    <row r="178" spans="2:29" x14ac:dyDescent="0.3">
      <c r="B178" s="181"/>
      <c r="C178" s="109"/>
      <c r="D178" s="109"/>
      <c r="E178" s="109"/>
      <c r="F178" s="109"/>
      <c r="G178" s="109"/>
      <c r="H178" s="109"/>
      <c r="I178" s="109"/>
      <c r="J178" s="109"/>
      <c r="K178" s="109"/>
      <c r="L178" s="109"/>
      <c r="M178" s="109"/>
      <c r="N178" s="109"/>
      <c r="O178" s="109"/>
      <c r="P178" s="109"/>
      <c r="Q178" s="109"/>
      <c r="R178" s="109"/>
      <c r="S178" s="109"/>
      <c r="T178" s="109"/>
      <c r="U178" s="109"/>
      <c r="V178" s="109"/>
      <c r="W178" s="109"/>
      <c r="X178" s="109"/>
      <c r="Y178" s="109"/>
      <c r="Z178" s="109"/>
      <c r="AA178" s="38"/>
    </row>
    <row r="179" spans="2:29" x14ac:dyDescent="0.3">
      <c r="B179" s="181"/>
      <c r="C179" s="129" t="s">
        <v>34</v>
      </c>
      <c r="D179" s="98">
        <f>SUM(D148:D149)/D140</f>
        <v>0.10088709677419355</v>
      </c>
      <c r="E179" s="98">
        <f t="shared" ref="E179:O179" si="114">SUM(E148:E149)/E140</f>
        <v>0.11405172413793103</v>
      </c>
      <c r="F179" s="98">
        <f t="shared" si="114"/>
        <v>0.1225</v>
      </c>
      <c r="G179" s="98">
        <f t="shared" si="114"/>
        <v>0.12891666666666668</v>
      </c>
      <c r="H179" s="98">
        <f t="shared" si="114"/>
        <v>0.10330645161290322</v>
      </c>
      <c r="I179" s="98">
        <f t="shared" si="114"/>
        <v>7.7000000000000013E-2</v>
      </c>
      <c r="J179" s="98">
        <f t="shared" si="114"/>
        <v>8.4677419354838704E-2</v>
      </c>
      <c r="K179" s="98">
        <f t="shared" si="114"/>
        <v>9.1505376344086023E-2</v>
      </c>
      <c r="L179" s="98">
        <f t="shared" si="114"/>
        <v>0.11900000000000001</v>
      </c>
      <c r="M179" s="98">
        <f t="shared" si="114"/>
        <v>0.13774193548387098</v>
      </c>
      <c r="N179" s="98">
        <f t="shared" si="114"/>
        <v>0.11841666666666667</v>
      </c>
      <c r="O179" s="98">
        <f t="shared" si="114"/>
        <v>0.11854838709677418</v>
      </c>
      <c r="P179" s="98">
        <f>SUM(P148:P149)/P140</f>
        <v>0.11177419354838709</v>
      </c>
      <c r="Q179" s="98">
        <f t="shared" ref="Q179:AA179" si="115">SUM(Q148:Q149)/Q140</f>
        <v>0.11</v>
      </c>
      <c r="R179" s="98">
        <f t="shared" si="115"/>
        <v>0.12475806451612902</v>
      </c>
      <c r="S179" s="98">
        <f t="shared" si="115"/>
        <v>0.15284583333333335</v>
      </c>
      <c r="T179" s="98">
        <f t="shared" si="115"/>
        <v>0.13153225806451616</v>
      </c>
      <c r="U179" s="98">
        <f t="shared" si="115"/>
        <v>0.12833333333333333</v>
      </c>
      <c r="V179" s="98">
        <f t="shared" si="115"/>
        <v>0.10161290322580645</v>
      </c>
      <c r="W179" s="98">
        <f t="shared" si="115"/>
        <v>0.1089516129032258</v>
      </c>
      <c r="X179" s="98">
        <f t="shared" si="115"/>
        <v>0.14299999999999999</v>
      </c>
      <c r="Y179" s="98">
        <f t="shared" si="115"/>
        <v>0.10104838709677419</v>
      </c>
      <c r="Z179" s="98">
        <f t="shared" si="115"/>
        <v>0.14875000000000002</v>
      </c>
      <c r="AA179" s="98">
        <f t="shared" si="115"/>
        <v>0.1225</v>
      </c>
    </row>
    <row r="180" spans="2:29" x14ac:dyDescent="0.3">
      <c r="B180" s="181"/>
      <c r="C180" s="133" t="s">
        <v>35</v>
      </c>
      <c r="D180" s="97">
        <f t="shared" ref="D180:T180" si="116">D179*D140</f>
        <v>75.06</v>
      </c>
      <c r="E180" s="97">
        <f t="shared" si="116"/>
        <v>79.38</v>
      </c>
      <c r="F180" s="97">
        <f t="shared" si="116"/>
        <v>91.14</v>
      </c>
      <c r="G180" s="97">
        <f t="shared" si="116"/>
        <v>92.820000000000007</v>
      </c>
      <c r="H180" s="97">
        <f t="shared" si="116"/>
        <v>76.86</v>
      </c>
      <c r="I180" s="97">
        <f t="shared" si="116"/>
        <v>55.440000000000012</v>
      </c>
      <c r="J180" s="97">
        <f t="shared" si="116"/>
        <v>62.999999999999993</v>
      </c>
      <c r="K180" s="97">
        <f t="shared" si="116"/>
        <v>68.08</v>
      </c>
      <c r="L180" s="97">
        <f t="shared" si="116"/>
        <v>85.68</v>
      </c>
      <c r="M180" s="97">
        <f t="shared" si="116"/>
        <v>102.48</v>
      </c>
      <c r="N180" s="97">
        <f t="shared" si="116"/>
        <v>85.26</v>
      </c>
      <c r="O180" s="97">
        <f t="shared" si="116"/>
        <v>88.199999999999989</v>
      </c>
      <c r="P180" s="97">
        <f t="shared" si="116"/>
        <v>83.16</v>
      </c>
      <c r="Q180" s="97">
        <f t="shared" si="116"/>
        <v>73.92</v>
      </c>
      <c r="R180" s="97">
        <f t="shared" si="116"/>
        <v>92.82</v>
      </c>
      <c r="S180" s="97">
        <f t="shared" si="116"/>
        <v>110.04900000000001</v>
      </c>
      <c r="T180" s="97">
        <f t="shared" si="116"/>
        <v>97.860000000000014</v>
      </c>
      <c r="U180" s="97">
        <f>U179*U140</f>
        <v>92.399999999999991</v>
      </c>
      <c r="V180" s="97">
        <f t="shared" ref="V180:AA180" si="117">V179*V140</f>
        <v>75.599999999999994</v>
      </c>
      <c r="W180" s="97">
        <f t="shared" si="117"/>
        <v>81.06</v>
      </c>
      <c r="X180" s="97">
        <f t="shared" si="117"/>
        <v>102.96</v>
      </c>
      <c r="Y180" s="97">
        <f t="shared" si="117"/>
        <v>75.179999999999993</v>
      </c>
      <c r="Z180" s="97">
        <f t="shared" si="117"/>
        <v>107.10000000000001</v>
      </c>
      <c r="AA180" s="97">
        <f t="shared" si="117"/>
        <v>91.14</v>
      </c>
    </row>
    <row r="181" spans="2:29" x14ac:dyDescent="0.3">
      <c r="B181" s="181"/>
      <c r="C181" s="129" t="s">
        <v>36</v>
      </c>
      <c r="D181" s="39">
        <f t="shared" ref="D181:AA181" si="118">D180*1.1</f>
        <v>82.566000000000003</v>
      </c>
      <c r="E181" s="39">
        <f t="shared" si="118"/>
        <v>87.317999999999998</v>
      </c>
      <c r="F181" s="39">
        <f t="shared" si="118"/>
        <v>100.254</v>
      </c>
      <c r="G181" s="39">
        <f t="shared" si="118"/>
        <v>102.10200000000002</v>
      </c>
      <c r="H181" s="39">
        <f t="shared" si="118"/>
        <v>84.546000000000006</v>
      </c>
      <c r="I181" s="39">
        <f t="shared" si="118"/>
        <v>60.984000000000016</v>
      </c>
      <c r="J181" s="39">
        <f t="shared" si="118"/>
        <v>69.3</v>
      </c>
      <c r="K181" s="39">
        <f t="shared" si="118"/>
        <v>74.888000000000005</v>
      </c>
      <c r="L181" s="39">
        <f t="shared" si="118"/>
        <v>94.248000000000019</v>
      </c>
      <c r="M181" s="39">
        <f t="shared" si="118"/>
        <v>112.72800000000001</v>
      </c>
      <c r="N181" s="39">
        <f t="shared" si="118"/>
        <v>93.786000000000016</v>
      </c>
      <c r="O181" s="39">
        <f t="shared" si="118"/>
        <v>97.02</v>
      </c>
      <c r="P181" s="39">
        <f t="shared" si="118"/>
        <v>91.475999999999999</v>
      </c>
      <c r="Q181" s="39">
        <f t="shared" si="118"/>
        <v>81.312000000000012</v>
      </c>
      <c r="R181" s="39">
        <f t="shared" si="118"/>
        <v>102.102</v>
      </c>
      <c r="S181" s="39">
        <f t="shared" si="118"/>
        <v>121.05390000000001</v>
      </c>
      <c r="T181" s="39">
        <f t="shared" si="118"/>
        <v>107.64600000000003</v>
      </c>
      <c r="U181" s="39">
        <f t="shared" si="118"/>
        <v>101.64</v>
      </c>
      <c r="V181" s="39">
        <f t="shared" si="118"/>
        <v>83.16</v>
      </c>
      <c r="W181" s="39">
        <f t="shared" si="118"/>
        <v>89.166000000000011</v>
      </c>
      <c r="X181" s="39">
        <f t="shared" si="118"/>
        <v>113.256</v>
      </c>
      <c r="Y181" s="39">
        <f t="shared" si="118"/>
        <v>82.697999999999993</v>
      </c>
      <c r="Z181" s="39">
        <f t="shared" si="118"/>
        <v>117.81000000000002</v>
      </c>
      <c r="AA181" s="39">
        <f t="shared" si="118"/>
        <v>100.254</v>
      </c>
    </row>
    <row r="182" spans="2:29" x14ac:dyDescent="0.3">
      <c r="B182" s="181"/>
      <c r="C182" s="129" t="s">
        <v>37</v>
      </c>
      <c r="D182" s="40">
        <f t="shared" ref="D182:AA182" si="119">D180*0.9</f>
        <v>67.554000000000002</v>
      </c>
      <c r="E182" s="40">
        <f t="shared" si="119"/>
        <v>71.441999999999993</v>
      </c>
      <c r="F182" s="40">
        <f t="shared" si="119"/>
        <v>82.025999999999996</v>
      </c>
      <c r="G182" s="40">
        <f t="shared" si="119"/>
        <v>83.538000000000011</v>
      </c>
      <c r="H182" s="40">
        <f t="shared" si="119"/>
        <v>69.174000000000007</v>
      </c>
      <c r="I182" s="40">
        <f t="shared" si="119"/>
        <v>49.896000000000015</v>
      </c>
      <c r="J182" s="40">
        <f t="shared" si="119"/>
        <v>56.699999999999996</v>
      </c>
      <c r="K182" s="40">
        <f t="shared" si="119"/>
        <v>61.271999999999998</v>
      </c>
      <c r="L182" s="40">
        <f t="shared" si="119"/>
        <v>77.112000000000009</v>
      </c>
      <c r="M182" s="40">
        <f t="shared" si="119"/>
        <v>92.231999999999999</v>
      </c>
      <c r="N182" s="40">
        <f t="shared" si="119"/>
        <v>76.734000000000009</v>
      </c>
      <c r="O182" s="40">
        <f t="shared" si="119"/>
        <v>79.38</v>
      </c>
      <c r="P182" s="40">
        <f t="shared" si="119"/>
        <v>74.843999999999994</v>
      </c>
      <c r="Q182" s="40">
        <f t="shared" si="119"/>
        <v>66.528000000000006</v>
      </c>
      <c r="R182" s="40">
        <f t="shared" si="119"/>
        <v>83.537999999999997</v>
      </c>
      <c r="S182" s="40">
        <f t="shared" si="119"/>
        <v>99.044100000000014</v>
      </c>
      <c r="T182" s="40">
        <f t="shared" si="119"/>
        <v>88.074000000000012</v>
      </c>
      <c r="U182" s="40">
        <f t="shared" si="119"/>
        <v>83.16</v>
      </c>
      <c r="V182" s="40">
        <f t="shared" si="119"/>
        <v>68.039999999999992</v>
      </c>
      <c r="W182" s="40">
        <f t="shared" si="119"/>
        <v>72.954000000000008</v>
      </c>
      <c r="X182" s="40">
        <f t="shared" si="119"/>
        <v>92.664000000000001</v>
      </c>
      <c r="Y182" s="40">
        <f t="shared" si="119"/>
        <v>67.661999999999992</v>
      </c>
      <c r="Z182" s="40">
        <f t="shared" si="119"/>
        <v>96.390000000000015</v>
      </c>
      <c r="AA182" s="40">
        <f t="shared" si="119"/>
        <v>82.025999999999996</v>
      </c>
    </row>
    <row r="183" spans="2:29" x14ac:dyDescent="0.3">
      <c r="B183" s="181"/>
      <c r="C183" s="101"/>
      <c r="D183" s="101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1"/>
      <c r="AA183" s="41"/>
    </row>
    <row r="184" spans="2:29" x14ac:dyDescent="0.3">
      <c r="B184" s="181"/>
      <c r="C184" s="129" t="s">
        <v>38</v>
      </c>
      <c r="D184" s="43">
        <f t="shared" ref="D184:O184" si="120">D180</f>
        <v>75.06</v>
      </c>
      <c r="E184" s="43">
        <f t="shared" si="120"/>
        <v>79.38</v>
      </c>
      <c r="F184" s="43">
        <f t="shared" si="120"/>
        <v>91.14</v>
      </c>
      <c r="G184" s="43">
        <f t="shared" si="120"/>
        <v>92.820000000000007</v>
      </c>
      <c r="H184" s="43">
        <f t="shared" si="120"/>
        <v>76.86</v>
      </c>
      <c r="I184" s="43">
        <f t="shared" si="120"/>
        <v>55.440000000000012</v>
      </c>
      <c r="J184" s="43">
        <f t="shared" si="120"/>
        <v>62.999999999999993</v>
      </c>
      <c r="K184" s="43">
        <f t="shared" si="120"/>
        <v>68.08</v>
      </c>
      <c r="L184" s="43">
        <f t="shared" si="120"/>
        <v>85.68</v>
      </c>
      <c r="M184" s="43">
        <f t="shared" si="120"/>
        <v>102.48</v>
      </c>
      <c r="N184" s="43">
        <f t="shared" si="120"/>
        <v>85.26</v>
      </c>
      <c r="O184" s="43">
        <f t="shared" si="120"/>
        <v>88.199999999999989</v>
      </c>
      <c r="P184" s="43">
        <f>P180</f>
        <v>83.16</v>
      </c>
      <c r="Q184" s="43">
        <f t="shared" ref="Q184:AA184" si="121">Q180</f>
        <v>73.92</v>
      </c>
      <c r="R184" s="43">
        <f t="shared" si="121"/>
        <v>92.82</v>
      </c>
      <c r="S184" s="43">
        <f t="shared" si="121"/>
        <v>110.04900000000001</v>
      </c>
      <c r="T184" s="43">
        <f t="shared" si="121"/>
        <v>97.860000000000014</v>
      </c>
      <c r="U184" s="43">
        <f t="shared" si="121"/>
        <v>92.399999999999991</v>
      </c>
      <c r="V184" s="43">
        <f t="shared" si="121"/>
        <v>75.599999999999994</v>
      </c>
      <c r="W184" s="43">
        <f t="shared" si="121"/>
        <v>81.06</v>
      </c>
      <c r="X184" s="43">
        <f t="shared" si="121"/>
        <v>102.96</v>
      </c>
      <c r="Y184" s="43">
        <f t="shared" si="121"/>
        <v>75.179999999999993</v>
      </c>
      <c r="Z184" s="43">
        <f t="shared" si="121"/>
        <v>107.10000000000001</v>
      </c>
      <c r="AA184" s="43">
        <f t="shared" si="121"/>
        <v>91.14</v>
      </c>
    </row>
    <row r="185" spans="2:29" x14ac:dyDescent="0.3">
      <c r="B185" s="181"/>
      <c r="C185" s="129" t="s">
        <v>39</v>
      </c>
      <c r="D185" s="127">
        <f>'SIMULAÇÃO CENÁRIOS'!$E$8</f>
        <v>310</v>
      </c>
      <c r="E185" s="127">
        <f>'SIMULAÇÃO CENÁRIOS'!$E$8</f>
        <v>310</v>
      </c>
      <c r="F185" s="127">
        <f>'SIMULAÇÃO CENÁRIOS'!$E$8</f>
        <v>310</v>
      </c>
      <c r="G185" s="127">
        <f>'SIMULAÇÃO CENÁRIOS'!$E$8</f>
        <v>310</v>
      </c>
      <c r="H185" s="127">
        <f>'SIMULAÇÃO CENÁRIOS'!$E$8</f>
        <v>310</v>
      </c>
      <c r="I185" s="127">
        <f>'SIMULAÇÃO CENÁRIOS'!$E$8</f>
        <v>310</v>
      </c>
      <c r="J185" s="127">
        <f>'SIMULAÇÃO CENÁRIOS'!$E$8</f>
        <v>310</v>
      </c>
      <c r="K185" s="127">
        <f>'SIMULAÇÃO CENÁRIOS'!$E$8</f>
        <v>310</v>
      </c>
      <c r="L185" s="127">
        <f>'SIMULAÇÃO CENÁRIOS'!$E$8</f>
        <v>310</v>
      </c>
      <c r="M185" s="127">
        <f>'SIMULAÇÃO CENÁRIOS'!$E$8</f>
        <v>310</v>
      </c>
      <c r="N185" s="127">
        <f>'SIMULAÇÃO CENÁRIOS'!$E$8</f>
        <v>310</v>
      </c>
      <c r="O185" s="127">
        <f>'SIMULAÇÃO CENÁRIOS'!$E$8</f>
        <v>310</v>
      </c>
      <c r="P185" s="127">
        <f>'SIMULAÇÃO CENÁRIOS'!$E$8</f>
        <v>310</v>
      </c>
      <c r="Q185" s="127">
        <f>'SIMULAÇÃO CENÁRIOS'!$E$8</f>
        <v>310</v>
      </c>
      <c r="R185" s="127">
        <f>'SIMULAÇÃO CENÁRIOS'!$E$8</f>
        <v>310</v>
      </c>
      <c r="S185" s="127">
        <f>'SIMULAÇÃO CENÁRIOS'!$E$8</f>
        <v>310</v>
      </c>
      <c r="T185" s="127">
        <f>'SIMULAÇÃO CENÁRIOS'!$E$8</f>
        <v>310</v>
      </c>
      <c r="U185" s="127">
        <f>'SIMULAÇÃO CENÁRIOS'!$E$8</f>
        <v>310</v>
      </c>
      <c r="V185" s="127">
        <f>'SIMULAÇÃO CENÁRIOS'!$E$8</f>
        <v>310</v>
      </c>
      <c r="W185" s="127">
        <f>'SIMULAÇÃO CENÁRIOS'!$E$8</f>
        <v>310</v>
      </c>
      <c r="X185" s="127">
        <f>'SIMULAÇÃO CENÁRIOS'!$E$8</f>
        <v>310</v>
      </c>
      <c r="Y185" s="127">
        <f>'SIMULAÇÃO CENÁRIOS'!$E$8</f>
        <v>310</v>
      </c>
      <c r="Z185" s="127">
        <f>'SIMULAÇÃO CENÁRIOS'!$E$8</f>
        <v>310</v>
      </c>
      <c r="AA185" s="127">
        <f>'SIMULAÇÃO CENÁRIOS'!$E$8</f>
        <v>310</v>
      </c>
    </row>
    <row r="186" spans="2:29" x14ac:dyDescent="0.3">
      <c r="B186" s="181"/>
      <c r="C186" s="129" t="s">
        <v>40</v>
      </c>
      <c r="D186" s="44">
        <f>D184*D185/(1-$P$27)</f>
        <v>31874.794520547948</v>
      </c>
      <c r="E186" s="44">
        <f t="shared" ref="E186:O186" si="122">E184*E185/(1-$P$27)</f>
        <v>33709.315068493153</v>
      </c>
      <c r="F186" s="44">
        <f t="shared" si="122"/>
        <v>38703.28767123288</v>
      </c>
      <c r="G186" s="44">
        <f t="shared" si="122"/>
        <v>39416.712328767127</v>
      </c>
      <c r="H186" s="44">
        <f t="shared" si="122"/>
        <v>32639.178082191778</v>
      </c>
      <c r="I186" s="44">
        <f t="shared" si="122"/>
        <v>23543.013698630144</v>
      </c>
      <c r="J186" s="44">
        <f t="shared" si="122"/>
        <v>26753.424657534244</v>
      </c>
      <c r="K186" s="44">
        <f t="shared" si="122"/>
        <v>28910.68493150685</v>
      </c>
      <c r="L186" s="44">
        <f t="shared" si="122"/>
        <v>36384.65753424658</v>
      </c>
      <c r="M186" s="44">
        <f t="shared" si="122"/>
        <v>43518.90410958905</v>
      </c>
      <c r="N186" s="44">
        <f t="shared" si="122"/>
        <v>36206.301369863017</v>
      </c>
      <c r="O186" s="44">
        <f t="shared" si="122"/>
        <v>37454.794520547941</v>
      </c>
      <c r="P186" s="44">
        <f>P184*P185/(1-$P$27)</f>
        <v>35314.520547945205</v>
      </c>
      <c r="Q186" s="44">
        <f t="shared" ref="Q186:AA186" si="123">Q184*Q185/(1-$P$27)</f>
        <v>31390.68493150685</v>
      </c>
      <c r="R186" s="44">
        <f t="shared" si="123"/>
        <v>39416.71232876712</v>
      </c>
      <c r="S186" s="44">
        <f t="shared" si="123"/>
        <v>46733.136986301375</v>
      </c>
      <c r="T186" s="44">
        <f t="shared" si="123"/>
        <v>41556.98630136987</v>
      </c>
      <c r="U186" s="44">
        <f t="shared" si="123"/>
        <v>39238.356164383556</v>
      </c>
      <c r="V186" s="44">
        <f t="shared" si="123"/>
        <v>32104.109589041098</v>
      </c>
      <c r="W186" s="44">
        <f t="shared" si="123"/>
        <v>34422.739726027401</v>
      </c>
      <c r="X186" s="44">
        <f t="shared" si="123"/>
        <v>43722.739726027394</v>
      </c>
      <c r="Y186" s="44">
        <f t="shared" si="123"/>
        <v>31925.753424657534</v>
      </c>
      <c r="Z186" s="44">
        <f t="shared" si="123"/>
        <v>45480.821917808222</v>
      </c>
      <c r="AA186" s="44">
        <f t="shared" si="123"/>
        <v>38703.28767123288</v>
      </c>
    </row>
    <row r="187" spans="2:29" ht="17.25" thickBot="1" x14ac:dyDescent="0.35">
      <c r="B187" s="181"/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1"/>
      <c r="AA187" s="45"/>
    </row>
    <row r="188" spans="2:29" ht="17.25" thickBot="1" x14ac:dyDescent="0.35">
      <c r="B188" s="181"/>
      <c r="C188" s="134" t="s">
        <v>98</v>
      </c>
      <c r="D188" s="46">
        <f>+D186+D173+D172</f>
        <v>51588.042461724421</v>
      </c>
      <c r="E188" s="46">
        <f t="shared" ref="E188:O188" si="124">+E186+E173+E172</f>
        <v>53952.334774375515</v>
      </c>
      <c r="F188" s="46">
        <f t="shared" si="124"/>
        <v>61822.871565350535</v>
      </c>
      <c r="G188" s="46">
        <f t="shared" si="124"/>
        <v>61786.046764061248</v>
      </c>
      <c r="H188" s="46">
        <f t="shared" si="124"/>
        <v>52095.028352780013</v>
      </c>
      <c r="I188" s="46">
        <f t="shared" si="124"/>
        <v>38220.467392747792</v>
      </c>
      <c r="J188" s="46">
        <f t="shared" si="124"/>
        <v>43792.386657534247</v>
      </c>
      <c r="K188" s="46">
        <f t="shared" si="124"/>
        <v>47050.755190330383</v>
      </c>
      <c r="L188" s="46">
        <f t="shared" si="124"/>
        <v>58356.53287542305</v>
      </c>
      <c r="M188" s="46">
        <f t="shared" si="124"/>
        <v>68985.410697824336</v>
      </c>
      <c r="N188" s="46">
        <f t="shared" si="124"/>
        <v>56931.331358098316</v>
      </c>
      <c r="O188" s="46">
        <f t="shared" si="124"/>
        <v>59974.771344077351</v>
      </c>
      <c r="P188" s="46">
        <f>+P186+P173+P172</f>
        <v>55782.022595004033</v>
      </c>
      <c r="Q188" s="46">
        <f t="shared" ref="Q188:AA188" si="125">+Q186+Q173+Q172</f>
        <v>49529.724272683321</v>
      </c>
      <c r="R188" s="46">
        <f t="shared" si="125"/>
        <v>62742.31857582595</v>
      </c>
      <c r="S188" s="46">
        <f t="shared" si="125"/>
        <v>73366.915806889607</v>
      </c>
      <c r="T188" s="46">
        <f t="shared" si="125"/>
        <v>65022.523701369879</v>
      </c>
      <c r="U188" s="46">
        <f t="shared" si="125"/>
        <v>62512.456823207081</v>
      </c>
      <c r="V188" s="46">
        <f t="shared" si="125"/>
        <v>51883.57900080581</v>
      </c>
      <c r="W188" s="46">
        <f t="shared" si="125"/>
        <v>55828.053596615631</v>
      </c>
      <c r="X188" s="46">
        <f t="shared" si="125"/>
        <v>68769.973937792092</v>
      </c>
      <c r="Y188" s="46">
        <f t="shared" si="125"/>
        <v>50936.513389363419</v>
      </c>
      <c r="Z188" s="46">
        <f t="shared" si="125"/>
        <v>71513.889976631748</v>
      </c>
      <c r="AA188" s="46">
        <f t="shared" si="125"/>
        <v>61105.667706527005</v>
      </c>
      <c r="AC188" s="47">
        <f>SUM(D188:AA188)</f>
        <v>1383549.618817043</v>
      </c>
    </row>
    <row r="189" spans="2:29" x14ac:dyDescent="0.3">
      <c r="B189" s="181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100"/>
    </row>
    <row r="190" spans="2:29" ht="45.75" x14ac:dyDescent="0.3">
      <c r="B190" s="181"/>
      <c r="C190" s="172" t="s">
        <v>99</v>
      </c>
      <c r="D190" s="172"/>
      <c r="E190" s="172"/>
      <c r="F190" s="172"/>
      <c r="G190" s="172"/>
      <c r="H190" s="172"/>
      <c r="I190" s="172"/>
      <c r="J190" s="172"/>
      <c r="K190" s="172"/>
      <c r="L190" s="172"/>
      <c r="M190" s="172"/>
      <c r="N190" s="172"/>
      <c r="O190" s="172"/>
      <c r="P190" s="172"/>
      <c r="Q190" s="172"/>
      <c r="R190" s="172"/>
      <c r="S190" s="172"/>
      <c r="T190" s="172"/>
      <c r="U190" s="172"/>
      <c r="V190" s="172"/>
      <c r="W190" s="172"/>
      <c r="X190" s="172"/>
      <c r="Y190" s="172"/>
      <c r="Z190" s="172"/>
      <c r="AA190" s="173"/>
    </row>
    <row r="191" spans="2:29" x14ac:dyDescent="0.3">
      <c r="B191" s="181"/>
      <c r="C191" s="129" t="s">
        <v>101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3">
        <v>0</v>
      </c>
      <c r="R191" s="43">
        <v>0</v>
      </c>
      <c r="S191" s="43">
        <v>0</v>
      </c>
      <c r="T191" s="43">
        <v>0</v>
      </c>
      <c r="U191" s="43">
        <v>0</v>
      </c>
      <c r="V191" s="43">
        <v>0</v>
      </c>
      <c r="W191" s="43">
        <v>0</v>
      </c>
      <c r="X191" s="43">
        <v>0</v>
      </c>
      <c r="Y191" s="43">
        <v>0</v>
      </c>
      <c r="Z191" s="43">
        <v>0</v>
      </c>
      <c r="AA191" s="43">
        <v>0</v>
      </c>
    </row>
    <row r="192" spans="2:29" x14ac:dyDescent="0.3">
      <c r="B192" s="181"/>
      <c r="C192" s="129" t="s">
        <v>102</v>
      </c>
      <c r="D192" s="17">
        <f t="shared" ref="D192:O192" si="126">D145*D157+D147*D157*2</f>
        <v>9630</v>
      </c>
      <c r="E192" s="17">
        <f t="shared" si="126"/>
        <v>9630</v>
      </c>
      <c r="F192" s="17">
        <f t="shared" si="126"/>
        <v>9630</v>
      </c>
      <c r="G192" s="17">
        <f t="shared" si="126"/>
        <v>9630</v>
      </c>
      <c r="H192" s="17">
        <f t="shared" si="126"/>
        <v>9630</v>
      </c>
      <c r="I192" s="17">
        <f t="shared" si="126"/>
        <v>9630</v>
      </c>
      <c r="J192" s="17">
        <f t="shared" si="126"/>
        <v>9630</v>
      </c>
      <c r="K192" s="17">
        <f t="shared" si="126"/>
        <v>9630</v>
      </c>
      <c r="L192" s="17">
        <f t="shared" si="126"/>
        <v>9630</v>
      </c>
      <c r="M192" s="17">
        <f t="shared" si="126"/>
        <v>9630</v>
      </c>
      <c r="N192" s="17">
        <f t="shared" si="126"/>
        <v>9630</v>
      </c>
      <c r="O192" s="17">
        <f t="shared" si="126"/>
        <v>9630</v>
      </c>
      <c r="P192" s="17">
        <f>P145*P157+P147*P157*2</f>
        <v>9630</v>
      </c>
      <c r="Q192" s="18">
        <f t="shared" ref="Q192:AA192" si="127">Q145*Q157+Q147*Q157*2</f>
        <v>9630</v>
      </c>
      <c r="R192" s="18">
        <f t="shared" si="127"/>
        <v>9630</v>
      </c>
      <c r="S192" s="18">
        <f t="shared" si="127"/>
        <v>9630</v>
      </c>
      <c r="T192" s="18">
        <f t="shared" si="127"/>
        <v>9630</v>
      </c>
      <c r="U192" s="18">
        <f t="shared" si="127"/>
        <v>9630</v>
      </c>
      <c r="V192" s="18">
        <f t="shared" si="127"/>
        <v>9630</v>
      </c>
      <c r="W192" s="18">
        <f t="shared" si="127"/>
        <v>9630</v>
      </c>
      <c r="X192" s="18">
        <f t="shared" si="127"/>
        <v>9630</v>
      </c>
      <c r="Y192" s="18">
        <f t="shared" si="127"/>
        <v>9630</v>
      </c>
      <c r="Z192" s="18">
        <f t="shared" si="127"/>
        <v>9630</v>
      </c>
      <c r="AA192" s="18">
        <f t="shared" si="127"/>
        <v>9630</v>
      </c>
    </row>
    <row r="193" spans="2:29" x14ac:dyDescent="0.3">
      <c r="B193" s="181"/>
      <c r="C193" s="129" t="s">
        <v>103</v>
      </c>
      <c r="D193" s="102">
        <f t="shared" ref="D193:O193" si="128">D148*D158</f>
        <v>13576.08</v>
      </c>
      <c r="E193" s="102">
        <f t="shared" si="128"/>
        <v>13576.08</v>
      </c>
      <c r="F193" s="102">
        <f t="shared" si="128"/>
        <v>16834.339199999999</v>
      </c>
      <c r="G193" s="102">
        <f t="shared" si="128"/>
        <v>14662.1664</v>
      </c>
      <c r="H193" s="102">
        <f t="shared" si="128"/>
        <v>12489.9936</v>
      </c>
      <c r="I193" s="102">
        <f t="shared" si="128"/>
        <v>7602.6048000000001</v>
      </c>
      <c r="J193" s="102">
        <f t="shared" si="128"/>
        <v>10860.864000000001</v>
      </c>
      <c r="K193" s="102">
        <f t="shared" si="128"/>
        <v>11946.9504</v>
      </c>
      <c r="L193" s="102">
        <f t="shared" si="128"/>
        <v>15748.2528</v>
      </c>
      <c r="M193" s="102">
        <f t="shared" si="128"/>
        <v>19006.511999999999</v>
      </c>
      <c r="N193" s="102">
        <f t="shared" si="128"/>
        <v>13033.0368</v>
      </c>
      <c r="O193" s="102">
        <f t="shared" si="128"/>
        <v>16291.296</v>
      </c>
      <c r="P193" s="102">
        <f>P148*P158</f>
        <v>13033.0368</v>
      </c>
      <c r="Q193" s="103">
        <f t="shared" ref="Q193:AA193" si="129">Q148*Q158</f>
        <v>10317.820800000001</v>
      </c>
      <c r="R193" s="103">
        <f t="shared" si="129"/>
        <v>16834.339199999999</v>
      </c>
      <c r="S193" s="103">
        <f t="shared" si="129"/>
        <v>19549.555199999999</v>
      </c>
      <c r="T193" s="103">
        <f t="shared" si="129"/>
        <v>15748.2528</v>
      </c>
      <c r="U193" s="103">
        <f t="shared" si="129"/>
        <v>16834.339199999999</v>
      </c>
      <c r="V193" s="103">
        <f t="shared" si="129"/>
        <v>13576.08</v>
      </c>
      <c r="W193" s="103">
        <f t="shared" si="129"/>
        <v>15748.2528</v>
      </c>
      <c r="X193" s="103">
        <f t="shared" si="129"/>
        <v>17920.425599999999</v>
      </c>
      <c r="Y193" s="103">
        <f t="shared" si="129"/>
        <v>11946.9504</v>
      </c>
      <c r="Z193" s="103">
        <f t="shared" si="129"/>
        <v>19006.511999999999</v>
      </c>
      <c r="AA193" s="103">
        <f t="shared" si="129"/>
        <v>15205.2096</v>
      </c>
    </row>
    <row r="194" spans="2:29" x14ac:dyDescent="0.3">
      <c r="B194" s="181"/>
      <c r="C194" s="129" t="s">
        <v>104</v>
      </c>
      <c r="D194" s="17">
        <f t="shared" ref="D194:O194" si="130">D149*D159</f>
        <v>5383.6584000000003</v>
      </c>
      <c r="E194" s="17">
        <f t="shared" si="130"/>
        <v>5743.9031999999997</v>
      </c>
      <c r="F194" s="17">
        <f t="shared" si="130"/>
        <v>6514.4268000000002</v>
      </c>
      <c r="G194" s="17">
        <f t="shared" si="130"/>
        <v>6794.6172000000006</v>
      </c>
      <c r="H194" s="17">
        <f t="shared" si="130"/>
        <v>5603.808</v>
      </c>
      <c r="I194" s="17">
        <f t="shared" si="130"/>
        <v>4132.8083999999999</v>
      </c>
      <c r="J194" s="17">
        <f t="shared" si="130"/>
        <v>4553.0940000000001</v>
      </c>
      <c r="K194" s="17">
        <f t="shared" si="130"/>
        <v>4906.6676000000007</v>
      </c>
      <c r="L194" s="17">
        <f t="shared" si="130"/>
        <v>6129.165</v>
      </c>
      <c r="M194" s="17">
        <f t="shared" si="130"/>
        <v>7319.9742000000006</v>
      </c>
      <c r="N194" s="17">
        <f t="shared" si="130"/>
        <v>6269.2602000000006</v>
      </c>
      <c r="O194" s="17">
        <f t="shared" si="130"/>
        <v>6304.2839999999997</v>
      </c>
      <c r="P194" s="17">
        <f>P149*P159</f>
        <v>6094.1412</v>
      </c>
      <c r="Q194" s="18">
        <f t="shared" ref="Q194:AA194" si="131">Q149*Q159</f>
        <v>5498.7366000000002</v>
      </c>
      <c r="R194" s="18">
        <f t="shared" si="131"/>
        <v>6654.5219999999999</v>
      </c>
      <c r="S194" s="18">
        <f t="shared" si="131"/>
        <v>7916.1293100000003</v>
      </c>
      <c r="T194" s="18">
        <f t="shared" si="131"/>
        <v>7144.8552000000009</v>
      </c>
      <c r="U194" s="18">
        <f t="shared" si="131"/>
        <v>6619.4982</v>
      </c>
      <c r="V194" s="18">
        <f t="shared" si="131"/>
        <v>5428.6889999999994</v>
      </c>
      <c r="W194" s="18">
        <f t="shared" si="131"/>
        <v>5743.9031999999997</v>
      </c>
      <c r="X194" s="18">
        <f t="shared" si="131"/>
        <v>7430.049</v>
      </c>
      <c r="Y194" s="18">
        <f t="shared" si="131"/>
        <v>5498.7366000000002</v>
      </c>
      <c r="Z194" s="18">
        <f t="shared" si="131"/>
        <v>7705.2360000000008</v>
      </c>
      <c r="AA194" s="18">
        <f t="shared" si="131"/>
        <v>6619.4982</v>
      </c>
    </row>
    <row r="195" spans="2:29" x14ac:dyDescent="0.3">
      <c r="B195" s="181"/>
      <c r="C195" s="129" t="s">
        <v>105</v>
      </c>
      <c r="D195" s="102">
        <f t="shared" ref="D195:O195" si="132">D148*D160</f>
        <v>4417.1400000000003</v>
      </c>
      <c r="E195" s="102">
        <f t="shared" si="132"/>
        <v>4417.1400000000003</v>
      </c>
      <c r="F195" s="102">
        <f t="shared" si="132"/>
        <v>5477.2536</v>
      </c>
      <c r="G195" s="102">
        <f t="shared" si="132"/>
        <v>4770.5111999999999</v>
      </c>
      <c r="H195" s="102">
        <f t="shared" si="132"/>
        <v>4063.7688000000003</v>
      </c>
      <c r="I195" s="102">
        <f t="shared" si="132"/>
        <v>2473.5983999999999</v>
      </c>
      <c r="J195" s="102">
        <f t="shared" si="132"/>
        <v>3533.712</v>
      </c>
      <c r="K195" s="102">
        <f t="shared" si="132"/>
        <v>3887.0832</v>
      </c>
      <c r="L195" s="102">
        <f t="shared" si="132"/>
        <v>5123.8824000000004</v>
      </c>
      <c r="M195" s="102">
        <f t="shared" si="132"/>
        <v>6183.9960000000001</v>
      </c>
      <c r="N195" s="102">
        <f t="shared" si="132"/>
        <v>4240.4544000000005</v>
      </c>
      <c r="O195" s="102">
        <f t="shared" si="132"/>
        <v>5300.5680000000002</v>
      </c>
      <c r="P195" s="102">
        <f>P148*P160</f>
        <v>4240.4544000000005</v>
      </c>
      <c r="Q195" s="103">
        <f t="shared" ref="Q195:AA195" si="133">Q148*Q160</f>
        <v>3357.0264000000002</v>
      </c>
      <c r="R195" s="103">
        <f t="shared" si="133"/>
        <v>5477.2536</v>
      </c>
      <c r="S195" s="103">
        <f t="shared" si="133"/>
        <v>6360.6815999999999</v>
      </c>
      <c r="T195" s="103">
        <f t="shared" si="133"/>
        <v>5123.8824000000004</v>
      </c>
      <c r="U195" s="103">
        <f t="shared" si="133"/>
        <v>5477.2536</v>
      </c>
      <c r="V195" s="103">
        <f t="shared" si="133"/>
        <v>4417.1400000000003</v>
      </c>
      <c r="W195" s="103">
        <f t="shared" si="133"/>
        <v>5123.8824000000004</v>
      </c>
      <c r="X195" s="103">
        <f t="shared" si="133"/>
        <v>5830.6247999999996</v>
      </c>
      <c r="Y195" s="103">
        <f t="shared" si="133"/>
        <v>3887.0832</v>
      </c>
      <c r="Z195" s="103">
        <f t="shared" si="133"/>
        <v>6183.9960000000001</v>
      </c>
      <c r="AA195" s="103">
        <f t="shared" si="133"/>
        <v>4947.1967999999997</v>
      </c>
    </row>
    <row r="196" spans="2:29" x14ac:dyDescent="0.3">
      <c r="B196" s="181"/>
      <c r="C196" s="129" t="s">
        <v>106</v>
      </c>
      <c r="D196" s="17">
        <f t="shared" ref="D196:O196" si="134">D149*D161</f>
        <v>16232.966400000001</v>
      </c>
      <c r="E196" s="17">
        <f t="shared" si="134"/>
        <v>17319.1872</v>
      </c>
      <c r="F196" s="17">
        <f t="shared" si="134"/>
        <v>19642.4928</v>
      </c>
      <c r="G196" s="17">
        <f t="shared" si="134"/>
        <v>20487.331200000001</v>
      </c>
      <c r="H196" s="17">
        <f t="shared" si="134"/>
        <v>16896.768</v>
      </c>
      <c r="I196" s="17">
        <f t="shared" si="134"/>
        <v>12461.366400000001</v>
      </c>
      <c r="J196" s="17">
        <f t="shared" si="134"/>
        <v>13728.624</v>
      </c>
      <c r="K196" s="17">
        <f t="shared" si="134"/>
        <v>14794.729600000001</v>
      </c>
      <c r="L196" s="17">
        <f t="shared" si="134"/>
        <v>18480.84</v>
      </c>
      <c r="M196" s="17">
        <f t="shared" si="134"/>
        <v>22071.403200000001</v>
      </c>
      <c r="N196" s="17">
        <f t="shared" si="134"/>
        <v>18903.2592</v>
      </c>
      <c r="O196" s="17">
        <f t="shared" si="134"/>
        <v>19008.863999999998</v>
      </c>
      <c r="P196" s="17">
        <f>P149*P161</f>
        <v>18375.235199999999</v>
      </c>
      <c r="Q196" s="18">
        <f t="shared" ref="Q196:AA196" si="135">Q149*Q161</f>
        <v>16579.953600000001</v>
      </c>
      <c r="R196" s="18">
        <f t="shared" si="135"/>
        <v>20064.912</v>
      </c>
      <c r="S196" s="18">
        <f t="shared" si="135"/>
        <v>23868.947759999999</v>
      </c>
      <c r="T196" s="18">
        <f t="shared" si="135"/>
        <v>21543.379200000003</v>
      </c>
      <c r="U196" s="18">
        <f t="shared" si="135"/>
        <v>19959.307199999999</v>
      </c>
      <c r="V196" s="18">
        <f t="shared" si="135"/>
        <v>16368.743999999999</v>
      </c>
      <c r="W196" s="18">
        <f t="shared" si="135"/>
        <v>17319.1872</v>
      </c>
      <c r="X196" s="18">
        <f t="shared" si="135"/>
        <v>22403.304</v>
      </c>
      <c r="Y196" s="18">
        <f t="shared" si="135"/>
        <v>16579.953600000001</v>
      </c>
      <c r="Z196" s="18">
        <f t="shared" si="135"/>
        <v>23233.056</v>
      </c>
      <c r="AA196" s="18">
        <f t="shared" si="135"/>
        <v>19959.307199999999</v>
      </c>
    </row>
    <row r="197" spans="2:29" x14ac:dyDescent="0.3">
      <c r="B197" s="181"/>
      <c r="C197" s="130" t="s">
        <v>107</v>
      </c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3"/>
      <c r="R197" s="103"/>
      <c r="S197" s="103"/>
      <c r="T197" s="103"/>
      <c r="U197" s="103"/>
      <c r="V197" s="103"/>
      <c r="W197" s="103"/>
      <c r="X197" s="103"/>
      <c r="Y197" s="103"/>
      <c r="Z197" s="103"/>
      <c r="AA197" s="103"/>
    </row>
    <row r="198" spans="2:29" x14ac:dyDescent="0.3">
      <c r="B198" s="181"/>
      <c r="C198" s="130" t="s">
        <v>110</v>
      </c>
      <c r="D198" s="21">
        <f t="shared" ref="D198:O198" si="136">SUM(D191:D197)/(1-SUM(D163:D164))*SUM(D163:D164)</f>
        <v>23171.691670588243</v>
      </c>
      <c r="E198" s="21">
        <f t="shared" si="136"/>
        <v>23852.381364705885</v>
      </c>
      <c r="F198" s="21">
        <f t="shared" si="136"/>
        <v>27340.476423529413</v>
      </c>
      <c r="G198" s="21">
        <f t="shared" si="136"/>
        <v>26515.118117647064</v>
      </c>
      <c r="H198" s="21">
        <f t="shared" si="136"/>
        <v>22910.276894117655</v>
      </c>
      <c r="I198" s="21">
        <f t="shared" si="136"/>
        <v>17082.530823529418</v>
      </c>
      <c r="J198" s="21">
        <f t="shared" si="136"/>
        <v>19908.84423529412</v>
      </c>
      <c r="K198" s="21">
        <f t="shared" si="136"/>
        <v>21254.320376470594</v>
      </c>
      <c r="L198" s="21">
        <f t="shared" si="136"/>
        <v>25935.124800000005</v>
      </c>
      <c r="M198" s="21">
        <f t="shared" si="136"/>
        <v>30217.357835294122</v>
      </c>
      <c r="N198" s="21">
        <f t="shared" si="136"/>
        <v>24506.35792941177</v>
      </c>
      <c r="O198" s="21">
        <f t="shared" si="136"/>
        <v>26604.711529411768</v>
      </c>
      <c r="P198" s="21">
        <f>SUM(P191:P197)/(1-SUM(P163:P164))*SUM(P163:P164)</f>
        <v>24175.467105882355</v>
      </c>
      <c r="Q198" s="22">
        <f t="shared" ref="Q198:AA198" si="137">SUM(Q191:Q197)/(1-SUM(Q163:Q164))*SUM(Q163:Q164)</f>
        <v>21356.95877647059</v>
      </c>
      <c r="R198" s="22">
        <f t="shared" si="137"/>
        <v>27605.189082352939</v>
      </c>
      <c r="S198" s="22">
        <f t="shared" si="137"/>
        <v>31682.500644705884</v>
      </c>
      <c r="T198" s="22">
        <f t="shared" si="137"/>
        <v>27854.291576470594</v>
      </c>
      <c r="U198" s="22">
        <f t="shared" si="137"/>
        <v>27539.010917647058</v>
      </c>
      <c r="V198" s="22">
        <f t="shared" si="137"/>
        <v>23256.777882352941</v>
      </c>
      <c r="W198" s="22">
        <f t="shared" si="137"/>
        <v>25207.164988235301</v>
      </c>
      <c r="X198" s="22">
        <f t="shared" si="137"/>
        <v>29747.95454117647</v>
      </c>
      <c r="Y198" s="22">
        <f t="shared" si="137"/>
        <v>22373.046494117654</v>
      </c>
      <c r="Z198" s="22">
        <f t="shared" si="137"/>
        <v>30945.31764705883</v>
      </c>
      <c r="AA198" s="22">
        <f t="shared" si="137"/>
        <v>26522.923200000005</v>
      </c>
    </row>
    <row r="199" spans="2:29" ht="17.25" thickBot="1" x14ac:dyDescent="0.35">
      <c r="B199" s="181"/>
      <c r="C199" s="101"/>
      <c r="D199" s="101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  <c r="Z199" s="101"/>
      <c r="AA199" s="45"/>
    </row>
    <row r="200" spans="2:29" ht="17.25" thickBot="1" x14ac:dyDescent="0.35">
      <c r="B200" s="181"/>
      <c r="C200" s="134" t="s">
        <v>109</v>
      </c>
      <c r="D200" s="46">
        <f t="shared" ref="D200:O200" si="138">+SUM(D191:D198)</f>
        <v>72411.536470588253</v>
      </c>
      <c r="E200" s="46">
        <f t="shared" si="138"/>
        <v>74538.691764705887</v>
      </c>
      <c r="F200" s="46">
        <f t="shared" si="138"/>
        <v>85438.98882352942</v>
      </c>
      <c r="G200" s="46">
        <f t="shared" si="138"/>
        <v>82859.74411764706</v>
      </c>
      <c r="H200" s="46">
        <f t="shared" si="138"/>
        <v>71594.615294117655</v>
      </c>
      <c r="I200" s="46">
        <f t="shared" si="138"/>
        <v>53382.908823529418</v>
      </c>
      <c r="J200" s="46">
        <f t="shared" si="138"/>
        <v>62215.138235294122</v>
      </c>
      <c r="K200" s="46">
        <f t="shared" si="138"/>
        <v>66419.7511764706</v>
      </c>
      <c r="L200" s="46">
        <f t="shared" si="138"/>
        <v>81047.265000000014</v>
      </c>
      <c r="M200" s="46">
        <f t="shared" si="138"/>
        <v>94429.243235294125</v>
      </c>
      <c r="N200" s="46">
        <f t="shared" si="138"/>
        <v>76582.368529411775</v>
      </c>
      <c r="O200" s="46">
        <f t="shared" si="138"/>
        <v>83139.723529411771</v>
      </c>
      <c r="P200" s="46">
        <f>+SUM(P191:P198)</f>
        <v>75548.334705882357</v>
      </c>
      <c r="Q200" s="46">
        <f t="shared" ref="Q200:AA200" si="139">+SUM(Q191:Q198)</f>
        <v>66740.496176470595</v>
      </c>
      <c r="R200" s="46">
        <f t="shared" si="139"/>
        <v>86266.215882352932</v>
      </c>
      <c r="S200" s="46">
        <f t="shared" si="139"/>
        <v>99007.814514705882</v>
      </c>
      <c r="T200" s="46">
        <f t="shared" si="139"/>
        <v>87044.661176470603</v>
      </c>
      <c r="U200" s="46">
        <f t="shared" si="139"/>
        <v>86059.409117647054</v>
      </c>
      <c r="V200" s="46">
        <f t="shared" si="139"/>
        <v>72677.430882352943</v>
      </c>
      <c r="W200" s="46">
        <f t="shared" si="139"/>
        <v>78772.390588235314</v>
      </c>
      <c r="X200" s="46">
        <f t="shared" si="139"/>
        <v>92962.357941176466</v>
      </c>
      <c r="Y200" s="46">
        <f t="shared" si="139"/>
        <v>69915.770294117654</v>
      </c>
      <c r="Z200" s="46">
        <f t="shared" si="139"/>
        <v>96704.117647058825</v>
      </c>
      <c r="AA200" s="46">
        <f t="shared" si="139"/>
        <v>82884.135000000009</v>
      </c>
      <c r="AC200" s="47">
        <f>SUM(D200:AA200)</f>
        <v>1898643.1089264709</v>
      </c>
    </row>
    <row r="201" spans="2:29" ht="17.25" thickBot="1" x14ac:dyDescent="0.35">
      <c r="B201" s="181"/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101"/>
      <c r="AA201" s="41"/>
    </row>
    <row r="202" spans="2:29" ht="17.25" thickBot="1" x14ac:dyDescent="0.35">
      <c r="B202" s="181"/>
      <c r="C202" s="134" t="s">
        <v>111</v>
      </c>
      <c r="D202" s="46">
        <f t="shared" ref="D202:O202" si="140">D200-D188</f>
        <v>20823.494008863832</v>
      </c>
      <c r="E202" s="46">
        <f t="shared" si="140"/>
        <v>20586.356990330372</v>
      </c>
      <c r="F202" s="46">
        <f t="shared" si="140"/>
        <v>23616.117258178885</v>
      </c>
      <c r="G202" s="46">
        <f t="shared" si="140"/>
        <v>21073.697353585812</v>
      </c>
      <c r="H202" s="46">
        <f t="shared" si="140"/>
        <v>19499.586941337642</v>
      </c>
      <c r="I202" s="46">
        <f t="shared" si="140"/>
        <v>15162.441430781626</v>
      </c>
      <c r="J202" s="46">
        <f t="shared" si="140"/>
        <v>18422.751577759875</v>
      </c>
      <c r="K202" s="46">
        <f t="shared" si="140"/>
        <v>19368.995986140217</v>
      </c>
      <c r="L202" s="46">
        <f t="shared" si="140"/>
        <v>22690.732124576964</v>
      </c>
      <c r="M202" s="46">
        <f t="shared" si="140"/>
        <v>25443.832537469789</v>
      </c>
      <c r="N202" s="46">
        <f t="shared" si="140"/>
        <v>19651.037171313459</v>
      </c>
      <c r="O202" s="46">
        <f t="shared" si="140"/>
        <v>23164.952185334419</v>
      </c>
      <c r="P202" s="46">
        <f>P200-P188</f>
        <v>19766.312110878323</v>
      </c>
      <c r="Q202" s="46">
        <f t="shared" ref="Q202:AA202" si="141">Q200-Q188</f>
        <v>17210.771903787274</v>
      </c>
      <c r="R202" s="46">
        <f t="shared" si="141"/>
        <v>23523.897306526982</v>
      </c>
      <c r="S202" s="46">
        <f t="shared" si="141"/>
        <v>25640.898707816275</v>
      </c>
      <c r="T202" s="46">
        <f t="shared" si="141"/>
        <v>22022.137475100724</v>
      </c>
      <c r="U202" s="46">
        <f t="shared" si="141"/>
        <v>23546.952294439972</v>
      </c>
      <c r="V202" s="46">
        <f t="shared" si="141"/>
        <v>20793.851881547133</v>
      </c>
      <c r="W202" s="46">
        <f t="shared" si="141"/>
        <v>22944.336991619683</v>
      </c>
      <c r="X202" s="46">
        <f t="shared" si="141"/>
        <v>24192.384003384374</v>
      </c>
      <c r="Y202" s="46">
        <f t="shared" si="141"/>
        <v>18979.256904754235</v>
      </c>
      <c r="Z202" s="46">
        <f t="shared" si="141"/>
        <v>25190.227670427077</v>
      </c>
      <c r="AA202" s="46">
        <f t="shared" si="141"/>
        <v>21778.467293473004</v>
      </c>
      <c r="AC202" s="47">
        <f>AC200-AC188</f>
        <v>515093.49010942783</v>
      </c>
    </row>
    <row r="203" spans="2:29" ht="17.25" thickBot="1" x14ac:dyDescent="0.35">
      <c r="B203" s="182"/>
      <c r="C203" s="134" t="s">
        <v>112</v>
      </c>
      <c r="D203" s="105">
        <f t="shared" ref="D203:O203" si="142">D202/D200</f>
        <v>0.28757149791072051</v>
      </c>
      <c r="E203" s="105">
        <f t="shared" si="142"/>
        <v>0.27618350286204008</v>
      </c>
      <c r="F203" s="105">
        <f t="shared" si="142"/>
        <v>0.27640913806876816</v>
      </c>
      <c r="G203" s="105">
        <f t="shared" si="142"/>
        <v>0.25432974212018644</v>
      </c>
      <c r="H203" s="105">
        <f t="shared" si="142"/>
        <v>0.27236108276064391</v>
      </c>
      <c r="I203" s="105">
        <f t="shared" si="142"/>
        <v>0.28403175782168177</v>
      </c>
      <c r="J203" s="105">
        <f t="shared" si="142"/>
        <v>0.29611364854781924</v>
      </c>
      <c r="K203" s="105">
        <f t="shared" si="142"/>
        <v>0.2916150037159691</v>
      </c>
      <c r="L203" s="105">
        <f t="shared" si="142"/>
        <v>0.27996912819423281</v>
      </c>
      <c r="M203" s="105">
        <f t="shared" si="142"/>
        <v>0.26944865452400274</v>
      </c>
      <c r="N203" s="105">
        <f t="shared" si="142"/>
        <v>0.25660001836801899</v>
      </c>
      <c r="O203" s="105">
        <f t="shared" si="142"/>
        <v>0.27862676470339132</v>
      </c>
      <c r="P203" s="105">
        <f>P202/P200</f>
        <v>0.26163795916654764</v>
      </c>
      <c r="Q203" s="105">
        <f>Q202/Q200</f>
        <v>0.25787599568153857</v>
      </c>
      <c r="R203" s="105">
        <f t="shared" ref="R203:AA203" si="143">R202/R200</f>
        <v>0.27268956990773896</v>
      </c>
      <c r="S203" s="105">
        <f t="shared" si="143"/>
        <v>0.2589785345075743</v>
      </c>
      <c r="T203" s="105">
        <f t="shared" si="143"/>
        <v>0.25299814115484909</v>
      </c>
      <c r="U203" s="105">
        <f t="shared" si="143"/>
        <v>0.27361275816163505</v>
      </c>
      <c r="V203" s="105">
        <f t="shared" si="143"/>
        <v>0.28611154286957824</v>
      </c>
      <c r="W203" s="105">
        <f t="shared" si="143"/>
        <v>0.29127384379580362</v>
      </c>
      <c r="X203" s="105">
        <f t="shared" si="143"/>
        <v>0.26023849372121693</v>
      </c>
      <c r="Y203" s="105">
        <f t="shared" si="143"/>
        <v>0.27145888295177734</v>
      </c>
      <c r="Z203" s="105">
        <f t="shared" si="143"/>
        <v>0.260487642960188</v>
      </c>
      <c r="AA203" s="105">
        <f t="shared" si="143"/>
        <v>0.26275797284333124</v>
      </c>
      <c r="AC203" s="106">
        <f>AC202/AC200</f>
        <v>0.27129558350788291</v>
      </c>
    </row>
    <row r="204" spans="2:29" x14ac:dyDescent="0.3"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"/>
    </row>
    <row r="205" spans="2:29" x14ac:dyDescent="0.3"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"/>
    </row>
    <row r="206" spans="2:29" x14ac:dyDescent="0.3"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"/>
    </row>
    <row r="207" spans="2:29" x14ac:dyDescent="0.3"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"/>
    </row>
    <row r="208" spans="2:29" x14ac:dyDescent="0.3"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"/>
    </row>
    <row r="209" spans="2:27" x14ac:dyDescent="0.3"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"/>
    </row>
    <row r="210" spans="2:27" x14ac:dyDescent="0.3"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"/>
    </row>
    <row r="211" spans="2:27" x14ac:dyDescent="0.3"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"/>
    </row>
    <row r="212" spans="2:27" x14ac:dyDescent="0.3"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"/>
    </row>
    <row r="213" spans="2:27" x14ac:dyDescent="0.3"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"/>
    </row>
    <row r="214" spans="2:27" x14ac:dyDescent="0.3"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"/>
    </row>
    <row r="215" spans="2:27" x14ac:dyDescent="0.3"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"/>
    </row>
    <row r="216" spans="2:27" x14ac:dyDescent="0.3"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"/>
    </row>
    <row r="217" spans="2:27" x14ac:dyDescent="0.3"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"/>
    </row>
    <row r="218" spans="2:27" x14ac:dyDescent="0.3"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"/>
    </row>
    <row r="219" spans="2:27" x14ac:dyDescent="0.3"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"/>
    </row>
    <row r="220" spans="2:27" x14ac:dyDescent="0.3"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"/>
    </row>
    <row r="221" spans="2:27" x14ac:dyDescent="0.3"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"/>
    </row>
    <row r="222" spans="2:27" x14ac:dyDescent="0.3"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"/>
    </row>
    <row r="223" spans="2:27" x14ac:dyDescent="0.3"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"/>
    </row>
    <row r="224" spans="2:27" x14ac:dyDescent="0.3"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"/>
    </row>
    <row r="225" spans="2:27" x14ac:dyDescent="0.3"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"/>
    </row>
    <row r="226" spans="2:27" x14ac:dyDescent="0.3"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"/>
    </row>
    <row r="227" spans="2:27" x14ac:dyDescent="0.3"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"/>
    </row>
    <row r="228" spans="2:27" x14ac:dyDescent="0.3"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"/>
    </row>
    <row r="229" spans="2:27" x14ac:dyDescent="0.3"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"/>
    </row>
    <row r="230" spans="2:27" x14ac:dyDescent="0.3"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"/>
    </row>
    <row r="231" spans="2:27" x14ac:dyDescent="0.3"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"/>
    </row>
    <row r="232" spans="2:27" x14ac:dyDescent="0.3"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"/>
    </row>
    <row r="233" spans="2:27" x14ac:dyDescent="0.3"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"/>
    </row>
    <row r="234" spans="2:27" x14ac:dyDescent="0.3"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"/>
    </row>
    <row r="235" spans="2:27" x14ac:dyDescent="0.3"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"/>
    </row>
    <row r="236" spans="2:27" x14ac:dyDescent="0.3"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"/>
    </row>
    <row r="237" spans="2:27" x14ac:dyDescent="0.3"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"/>
    </row>
    <row r="238" spans="2:27" x14ac:dyDescent="0.3"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"/>
    </row>
    <row r="239" spans="2:27" x14ac:dyDescent="0.3"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"/>
    </row>
    <row r="240" spans="2:27" x14ac:dyDescent="0.3"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"/>
    </row>
    <row r="241" spans="2:27" x14ac:dyDescent="0.3"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"/>
    </row>
    <row r="242" spans="2:27" x14ac:dyDescent="0.3"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"/>
    </row>
    <row r="243" spans="2:27" x14ac:dyDescent="0.3"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"/>
    </row>
    <row r="244" spans="2:27" x14ac:dyDescent="0.3"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"/>
    </row>
    <row r="245" spans="2:27" x14ac:dyDescent="0.3"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"/>
    </row>
    <row r="246" spans="2:27" x14ac:dyDescent="0.3"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"/>
    </row>
    <row r="247" spans="2:27" x14ac:dyDescent="0.3"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"/>
    </row>
    <row r="248" spans="2:27" x14ac:dyDescent="0.3"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"/>
    </row>
    <row r="249" spans="2:27" x14ac:dyDescent="0.3"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"/>
    </row>
    <row r="250" spans="2:27" x14ac:dyDescent="0.3"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"/>
    </row>
    <row r="251" spans="2:27" x14ac:dyDescent="0.3"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"/>
    </row>
    <row r="252" spans="2:27" x14ac:dyDescent="0.3"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"/>
    </row>
    <row r="253" spans="2:27" x14ac:dyDescent="0.3"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"/>
    </row>
    <row r="254" spans="2:27" x14ac:dyDescent="0.3"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"/>
    </row>
    <row r="255" spans="2:27" x14ac:dyDescent="0.3"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"/>
    </row>
    <row r="256" spans="2:27" x14ac:dyDescent="0.3"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"/>
    </row>
    <row r="257" spans="2:27" x14ac:dyDescent="0.3"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"/>
    </row>
    <row r="258" spans="2:27" x14ac:dyDescent="0.3"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"/>
    </row>
    <row r="259" spans="2:27" x14ac:dyDescent="0.3"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"/>
    </row>
    <row r="260" spans="2:27" x14ac:dyDescent="0.3"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"/>
    </row>
    <row r="261" spans="2:27" x14ac:dyDescent="0.3"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"/>
    </row>
    <row r="262" spans="2:27" x14ac:dyDescent="0.3"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"/>
    </row>
    <row r="263" spans="2:27" x14ac:dyDescent="0.3"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"/>
    </row>
    <row r="264" spans="2:27" x14ac:dyDescent="0.3"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"/>
    </row>
    <row r="265" spans="2:27" x14ac:dyDescent="0.3"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"/>
    </row>
    <row r="266" spans="2:27" x14ac:dyDescent="0.3"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"/>
    </row>
    <row r="267" spans="2:27" x14ac:dyDescent="0.3"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"/>
    </row>
    <row r="268" spans="2:27" x14ac:dyDescent="0.3"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"/>
    </row>
    <row r="269" spans="2:27" x14ac:dyDescent="0.3"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"/>
    </row>
    <row r="270" spans="2:27" x14ac:dyDescent="0.3"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"/>
    </row>
    <row r="271" spans="2:27" x14ac:dyDescent="0.3"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"/>
    </row>
    <row r="272" spans="2:27" x14ac:dyDescent="0.3"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"/>
    </row>
    <row r="273" spans="2:27" x14ac:dyDescent="0.3"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"/>
    </row>
    <row r="274" spans="2:27" x14ac:dyDescent="0.3"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"/>
    </row>
    <row r="275" spans="2:27" x14ac:dyDescent="0.3"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"/>
    </row>
    <row r="276" spans="2:27" x14ac:dyDescent="0.3"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"/>
    </row>
    <row r="277" spans="2:27" x14ac:dyDescent="0.3"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"/>
    </row>
    <row r="278" spans="2:27" x14ac:dyDescent="0.3"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"/>
    </row>
    <row r="279" spans="2:27" x14ac:dyDescent="0.3"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"/>
    </row>
    <row r="280" spans="2:27" x14ac:dyDescent="0.3"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"/>
    </row>
    <row r="281" spans="2:27" x14ac:dyDescent="0.3"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"/>
    </row>
    <row r="282" spans="2:27" x14ac:dyDescent="0.3"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"/>
    </row>
    <row r="283" spans="2:27" x14ac:dyDescent="0.3"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"/>
    </row>
    <row r="284" spans="2:27" x14ac:dyDescent="0.3"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"/>
    </row>
    <row r="285" spans="2:27" x14ac:dyDescent="0.3"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"/>
    </row>
    <row r="286" spans="2:27" x14ac:dyDescent="0.3"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"/>
    </row>
    <row r="287" spans="2:27" x14ac:dyDescent="0.3"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"/>
    </row>
    <row r="288" spans="2:27" x14ac:dyDescent="0.3"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"/>
    </row>
    <row r="289" spans="2:27" x14ac:dyDescent="0.3"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"/>
    </row>
    <row r="290" spans="2:27" x14ac:dyDescent="0.3"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"/>
    </row>
    <row r="291" spans="2:27" x14ac:dyDescent="0.3"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"/>
    </row>
    <row r="292" spans="2:27" x14ac:dyDescent="0.3"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"/>
    </row>
    <row r="293" spans="2:27" x14ac:dyDescent="0.3"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"/>
    </row>
    <row r="294" spans="2:27" x14ac:dyDescent="0.3"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"/>
    </row>
    <row r="295" spans="2:27" x14ac:dyDescent="0.3"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"/>
    </row>
    <row r="296" spans="2:27" x14ac:dyDescent="0.3"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"/>
    </row>
    <row r="297" spans="2:27" x14ac:dyDescent="0.3"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"/>
    </row>
    <row r="298" spans="2:27" x14ac:dyDescent="0.3"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"/>
    </row>
    <row r="299" spans="2:27" x14ac:dyDescent="0.3"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"/>
    </row>
    <row r="300" spans="2:27" x14ac:dyDescent="0.3"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"/>
    </row>
    <row r="301" spans="2:27" x14ac:dyDescent="0.3"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"/>
    </row>
    <row r="302" spans="2:27" x14ac:dyDescent="0.3"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"/>
    </row>
    <row r="303" spans="2:27" x14ac:dyDescent="0.3"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"/>
    </row>
    <row r="304" spans="2:27" x14ac:dyDescent="0.3"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"/>
    </row>
    <row r="305" spans="2:27" x14ac:dyDescent="0.3"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"/>
    </row>
    <row r="306" spans="2:27" x14ac:dyDescent="0.3"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"/>
    </row>
    <row r="307" spans="2:27" x14ac:dyDescent="0.3"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"/>
    </row>
    <row r="308" spans="2:27" x14ac:dyDescent="0.3"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"/>
    </row>
    <row r="309" spans="2:27" x14ac:dyDescent="0.3"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"/>
    </row>
    <row r="310" spans="2:27" x14ac:dyDescent="0.3"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"/>
    </row>
    <row r="311" spans="2:27" x14ac:dyDescent="0.3"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"/>
    </row>
    <row r="312" spans="2:27" x14ac:dyDescent="0.3"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"/>
    </row>
    <row r="313" spans="2:27" x14ac:dyDescent="0.3"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"/>
    </row>
    <row r="314" spans="2:27" x14ac:dyDescent="0.3"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"/>
    </row>
    <row r="315" spans="2:27" x14ac:dyDescent="0.3"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"/>
    </row>
    <row r="316" spans="2:27" x14ac:dyDescent="0.3"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"/>
    </row>
    <row r="317" spans="2:27" x14ac:dyDescent="0.3"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"/>
    </row>
    <row r="318" spans="2:27" x14ac:dyDescent="0.3"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"/>
    </row>
    <row r="319" spans="2:27" x14ac:dyDescent="0.3"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"/>
    </row>
    <row r="320" spans="2:27" x14ac:dyDescent="0.3"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"/>
    </row>
    <row r="321" spans="2:27" x14ac:dyDescent="0.3"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"/>
    </row>
    <row r="322" spans="2:27" x14ac:dyDescent="0.3"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"/>
    </row>
    <row r="323" spans="2:27" x14ac:dyDescent="0.3"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"/>
    </row>
    <row r="324" spans="2:27" x14ac:dyDescent="0.3"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"/>
    </row>
    <row r="325" spans="2:27" x14ac:dyDescent="0.3"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"/>
    </row>
    <row r="326" spans="2:27" x14ac:dyDescent="0.3"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"/>
    </row>
    <row r="327" spans="2:27" x14ac:dyDescent="0.3"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"/>
    </row>
    <row r="328" spans="2:27" x14ac:dyDescent="0.3"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"/>
    </row>
    <row r="329" spans="2:27" x14ac:dyDescent="0.3"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"/>
    </row>
    <row r="330" spans="2:27" x14ac:dyDescent="0.3"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"/>
    </row>
    <row r="331" spans="2:27" x14ac:dyDescent="0.3"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"/>
    </row>
    <row r="332" spans="2:27" x14ac:dyDescent="0.3"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"/>
    </row>
    <row r="333" spans="2:27" x14ac:dyDescent="0.3"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"/>
    </row>
    <row r="334" spans="2:27" x14ac:dyDescent="0.3"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"/>
    </row>
    <row r="335" spans="2:27" x14ac:dyDescent="0.3"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"/>
    </row>
    <row r="336" spans="2:27" x14ac:dyDescent="0.3"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"/>
    </row>
    <row r="337" spans="2:27" x14ac:dyDescent="0.3"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"/>
    </row>
    <row r="338" spans="2:27" x14ac:dyDescent="0.3"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"/>
    </row>
    <row r="339" spans="2:27" x14ac:dyDescent="0.3"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"/>
    </row>
    <row r="340" spans="2:27" x14ac:dyDescent="0.3"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"/>
    </row>
    <row r="341" spans="2:27" x14ac:dyDescent="0.3"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"/>
    </row>
    <row r="342" spans="2:27" x14ac:dyDescent="0.3"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"/>
    </row>
    <row r="343" spans="2:27" x14ac:dyDescent="0.3"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"/>
    </row>
    <row r="344" spans="2:27" x14ac:dyDescent="0.3"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"/>
    </row>
    <row r="345" spans="2:27" x14ac:dyDescent="0.3"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"/>
    </row>
    <row r="346" spans="2:27" x14ac:dyDescent="0.3"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"/>
    </row>
    <row r="347" spans="2:27" x14ac:dyDescent="0.3"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"/>
    </row>
    <row r="348" spans="2:27" x14ac:dyDescent="0.3"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"/>
    </row>
    <row r="349" spans="2:27" x14ac:dyDescent="0.3"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"/>
    </row>
    <row r="350" spans="2:27" x14ac:dyDescent="0.3"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"/>
    </row>
    <row r="351" spans="2:27" x14ac:dyDescent="0.3"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"/>
    </row>
    <row r="352" spans="2:27" x14ac:dyDescent="0.3"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"/>
    </row>
    <row r="353" spans="2:27" x14ac:dyDescent="0.3"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"/>
    </row>
    <row r="354" spans="2:27" x14ac:dyDescent="0.3"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"/>
    </row>
    <row r="355" spans="2:27" x14ac:dyDescent="0.3"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"/>
    </row>
    <row r="356" spans="2:27" x14ac:dyDescent="0.3"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"/>
    </row>
    <row r="357" spans="2:27" x14ac:dyDescent="0.3"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"/>
    </row>
    <row r="358" spans="2:27" x14ac:dyDescent="0.3"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"/>
    </row>
    <row r="359" spans="2:27" x14ac:dyDescent="0.3"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"/>
    </row>
    <row r="360" spans="2:27" x14ac:dyDescent="0.3"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"/>
    </row>
    <row r="361" spans="2:27" x14ac:dyDescent="0.3"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"/>
    </row>
    <row r="362" spans="2:27" x14ac:dyDescent="0.3"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"/>
    </row>
    <row r="363" spans="2:27" x14ac:dyDescent="0.3"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"/>
    </row>
    <row r="364" spans="2:27" x14ac:dyDescent="0.3"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"/>
    </row>
    <row r="365" spans="2:27" x14ac:dyDescent="0.3"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"/>
    </row>
    <row r="366" spans="2:27" x14ac:dyDescent="0.3"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"/>
    </row>
    <row r="367" spans="2:27" x14ac:dyDescent="0.3"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"/>
    </row>
    <row r="368" spans="2:27" x14ac:dyDescent="0.3"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"/>
    </row>
    <row r="369" spans="2:27" x14ac:dyDescent="0.3"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"/>
    </row>
    <row r="370" spans="2:27" x14ac:dyDescent="0.3"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"/>
    </row>
    <row r="371" spans="2:27" x14ac:dyDescent="0.3"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"/>
    </row>
    <row r="372" spans="2:27" x14ac:dyDescent="0.3"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"/>
    </row>
    <row r="373" spans="2:27" x14ac:dyDescent="0.3"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"/>
    </row>
    <row r="374" spans="2:27" x14ac:dyDescent="0.3"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"/>
    </row>
    <row r="375" spans="2:27" x14ac:dyDescent="0.3"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"/>
    </row>
    <row r="376" spans="2:27" x14ac:dyDescent="0.3"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"/>
    </row>
    <row r="377" spans="2:27" x14ac:dyDescent="0.3"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"/>
    </row>
    <row r="378" spans="2:27" x14ac:dyDescent="0.3"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"/>
    </row>
    <row r="379" spans="2:27" x14ac:dyDescent="0.3"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"/>
    </row>
    <row r="380" spans="2:27" x14ac:dyDescent="0.3"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"/>
    </row>
    <row r="381" spans="2:27" x14ac:dyDescent="0.3"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"/>
    </row>
    <row r="382" spans="2:27" x14ac:dyDescent="0.3"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"/>
    </row>
    <row r="383" spans="2:27" x14ac:dyDescent="0.3"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"/>
    </row>
    <row r="384" spans="2:27" x14ac:dyDescent="0.3"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"/>
    </row>
    <row r="385" spans="2:27" x14ac:dyDescent="0.3"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"/>
    </row>
    <row r="386" spans="2:27" x14ac:dyDescent="0.3"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"/>
    </row>
    <row r="387" spans="2:27" x14ac:dyDescent="0.3"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"/>
    </row>
    <row r="388" spans="2:27" x14ac:dyDescent="0.3"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"/>
    </row>
    <row r="389" spans="2:27" x14ac:dyDescent="0.3"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"/>
    </row>
    <row r="390" spans="2:27" x14ac:dyDescent="0.3"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"/>
    </row>
    <row r="391" spans="2:27" x14ac:dyDescent="0.3"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"/>
    </row>
    <row r="392" spans="2:27" x14ac:dyDescent="0.3"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"/>
    </row>
    <row r="393" spans="2:27" x14ac:dyDescent="0.3"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"/>
    </row>
    <row r="394" spans="2:27" x14ac:dyDescent="0.3"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"/>
    </row>
    <row r="395" spans="2:27" x14ac:dyDescent="0.3"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"/>
    </row>
    <row r="396" spans="2:27" x14ac:dyDescent="0.3"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"/>
    </row>
    <row r="397" spans="2:27" x14ac:dyDescent="0.3"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"/>
    </row>
    <row r="398" spans="2:27" x14ac:dyDescent="0.3"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"/>
    </row>
    <row r="399" spans="2:27" x14ac:dyDescent="0.3"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"/>
    </row>
    <row r="400" spans="2:27" x14ac:dyDescent="0.3"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"/>
    </row>
    <row r="401" spans="2:27" x14ac:dyDescent="0.3"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"/>
    </row>
    <row r="402" spans="2:27" x14ac:dyDescent="0.3"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"/>
    </row>
    <row r="403" spans="2:27" x14ac:dyDescent="0.3"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"/>
    </row>
    <row r="404" spans="2:27" x14ac:dyDescent="0.3"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"/>
    </row>
    <row r="405" spans="2:27" x14ac:dyDescent="0.3"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"/>
    </row>
    <row r="406" spans="2:27" x14ac:dyDescent="0.3"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"/>
    </row>
    <row r="407" spans="2:27" x14ac:dyDescent="0.3"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"/>
    </row>
    <row r="408" spans="2:27" x14ac:dyDescent="0.3"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"/>
    </row>
    <row r="409" spans="2:27" x14ac:dyDescent="0.3"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"/>
    </row>
    <row r="410" spans="2:27" x14ac:dyDescent="0.3"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"/>
    </row>
    <row r="411" spans="2:27" x14ac:dyDescent="0.3"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"/>
    </row>
    <row r="412" spans="2:27" x14ac:dyDescent="0.3"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"/>
    </row>
    <row r="413" spans="2:27" x14ac:dyDescent="0.3"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"/>
    </row>
    <row r="414" spans="2:27" x14ac:dyDescent="0.3"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"/>
    </row>
    <row r="415" spans="2:27" x14ac:dyDescent="0.3"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"/>
    </row>
    <row r="416" spans="2:27" x14ac:dyDescent="0.3"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"/>
    </row>
    <row r="417" spans="2:27" x14ac:dyDescent="0.3"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"/>
    </row>
    <row r="418" spans="2:27" x14ac:dyDescent="0.3"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"/>
    </row>
    <row r="419" spans="2:27" x14ac:dyDescent="0.3"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"/>
    </row>
    <row r="420" spans="2:27" x14ac:dyDescent="0.3"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"/>
    </row>
    <row r="421" spans="2:27" x14ac:dyDescent="0.3"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"/>
    </row>
    <row r="422" spans="2:27" x14ac:dyDescent="0.3"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"/>
    </row>
    <row r="423" spans="2:27" x14ac:dyDescent="0.3"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"/>
    </row>
    <row r="424" spans="2:27" x14ac:dyDescent="0.3"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"/>
    </row>
    <row r="425" spans="2:27" x14ac:dyDescent="0.3"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"/>
    </row>
    <row r="426" spans="2:27" x14ac:dyDescent="0.3"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"/>
    </row>
    <row r="427" spans="2:27" x14ac:dyDescent="0.3"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"/>
    </row>
    <row r="428" spans="2:27" x14ac:dyDescent="0.3"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"/>
    </row>
    <row r="429" spans="2:27" x14ac:dyDescent="0.3"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"/>
    </row>
    <row r="430" spans="2:27" x14ac:dyDescent="0.3"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"/>
    </row>
    <row r="431" spans="2:27" x14ac:dyDescent="0.3"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"/>
    </row>
    <row r="432" spans="2:27" x14ac:dyDescent="0.3"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"/>
    </row>
    <row r="433" spans="2:27" x14ac:dyDescent="0.3"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"/>
    </row>
    <row r="434" spans="2:27" x14ac:dyDescent="0.3"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"/>
    </row>
    <row r="435" spans="2:27" x14ac:dyDescent="0.3"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"/>
    </row>
    <row r="436" spans="2:27" x14ac:dyDescent="0.3"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"/>
    </row>
    <row r="437" spans="2:27" x14ac:dyDescent="0.3"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"/>
    </row>
    <row r="438" spans="2:27" x14ac:dyDescent="0.3"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"/>
    </row>
    <row r="439" spans="2:27" x14ac:dyDescent="0.3"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"/>
    </row>
    <row r="440" spans="2:27" x14ac:dyDescent="0.3"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"/>
    </row>
    <row r="441" spans="2:27" x14ac:dyDescent="0.3"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"/>
    </row>
    <row r="442" spans="2:27" x14ac:dyDescent="0.3"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"/>
    </row>
    <row r="443" spans="2:27" x14ac:dyDescent="0.3"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"/>
    </row>
    <row r="444" spans="2:27" x14ac:dyDescent="0.3"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"/>
    </row>
    <row r="445" spans="2:27" x14ac:dyDescent="0.3"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"/>
    </row>
    <row r="446" spans="2:27" x14ac:dyDescent="0.3"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"/>
    </row>
    <row r="447" spans="2:27" x14ac:dyDescent="0.3"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"/>
    </row>
    <row r="448" spans="2:27" x14ac:dyDescent="0.3"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"/>
    </row>
    <row r="449" spans="2:27" x14ac:dyDescent="0.3"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"/>
    </row>
    <row r="450" spans="2:27" x14ac:dyDescent="0.3"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"/>
    </row>
    <row r="451" spans="2:27" x14ac:dyDescent="0.3"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"/>
    </row>
    <row r="452" spans="2:27" x14ac:dyDescent="0.3"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"/>
    </row>
    <row r="453" spans="2:27" x14ac:dyDescent="0.3"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"/>
    </row>
    <row r="454" spans="2:27" x14ac:dyDescent="0.3"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"/>
    </row>
    <row r="455" spans="2:27" x14ac:dyDescent="0.3"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"/>
    </row>
    <row r="456" spans="2:27" x14ac:dyDescent="0.3"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"/>
    </row>
    <row r="457" spans="2:27" x14ac:dyDescent="0.3"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"/>
    </row>
    <row r="458" spans="2:27" x14ac:dyDescent="0.3"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"/>
    </row>
    <row r="459" spans="2:27" x14ac:dyDescent="0.3"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"/>
    </row>
    <row r="460" spans="2:27" x14ac:dyDescent="0.3"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"/>
    </row>
    <row r="461" spans="2:27" x14ac:dyDescent="0.3"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"/>
    </row>
    <row r="462" spans="2:27" x14ac:dyDescent="0.3"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"/>
    </row>
    <row r="463" spans="2:27" x14ac:dyDescent="0.3"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"/>
    </row>
    <row r="464" spans="2:27" x14ac:dyDescent="0.3"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"/>
    </row>
    <row r="465" spans="2:27" x14ac:dyDescent="0.3"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"/>
    </row>
    <row r="466" spans="2:27" x14ac:dyDescent="0.3"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"/>
    </row>
    <row r="467" spans="2:27" x14ac:dyDescent="0.3"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"/>
    </row>
    <row r="468" spans="2:27" x14ac:dyDescent="0.3"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"/>
    </row>
    <row r="469" spans="2:27" x14ac:dyDescent="0.3"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"/>
    </row>
    <row r="470" spans="2:27" x14ac:dyDescent="0.3"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"/>
    </row>
    <row r="471" spans="2:27" x14ac:dyDescent="0.3"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"/>
    </row>
    <row r="472" spans="2:27" x14ac:dyDescent="0.3"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"/>
    </row>
    <row r="473" spans="2:27" x14ac:dyDescent="0.3"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"/>
    </row>
    <row r="474" spans="2:27" x14ac:dyDescent="0.3"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"/>
    </row>
    <row r="475" spans="2:27" x14ac:dyDescent="0.3"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"/>
    </row>
    <row r="476" spans="2:27" x14ac:dyDescent="0.3"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"/>
    </row>
    <row r="477" spans="2:27" x14ac:dyDescent="0.3"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"/>
    </row>
    <row r="478" spans="2:27" x14ac:dyDescent="0.3"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"/>
    </row>
    <row r="479" spans="2:27" x14ac:dyDescent="0.3"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"/>
    </row>
    <row r="480" spans="2:27" x14ac:dyDescent="0.3"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"/>
    </row>
    <row r="481" spans="2:27" x14ac:dyDescent="0.3"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"/>
    </row>
    <row r="482" spans="2:27" x14ac:dyDescent="0.3"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"/>
    </row>
    <row r="483" spans="2:27" x14ac:dyDescent="0.3"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"/>
    </row>
    <row r="484" spans="2:27" x14ac:dyDescent="0.3"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"/>
    </row>
    <row r="485" spans="2:27" x14ac:dyDescent="0.3"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"/>
    </row>
    <row r="486" spans="2:27" x14ac:dyDescent="0.3"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"/>
    </row>
    <row r="487" spans="2:27" x14ac:dyDescent="0.3"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"/>
    </row>
    <row r="488" spans="2:27" x14ac:dyDescent="0.3"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"/>
    </row>
    <row r="489" spans="2:27" x14ac:dyDescent="0.3"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"/>
    </row>
    <row r="490" spans="2:27" x14ac:dyDescent="0.3"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"/>
    </row>
    <row r="491" spans="2:27" x14ac:dyDescent="0.3"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"/>
    </row>
    <row r="492" spans="2:27" x14ac:dyDescent="0.3"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"/>
    </row>
    <row r="493" spans="2:27" x14ac:dyDescent="0.3"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"/>
    </row>
    <row r="494" spans="2:27" x14ac:dyDescent="0.3"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"/>
    </row>
    <row r="495" spans="2:27" x14ac:dyDescent="0.3"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"/>
    </row>
    <row r="496" spans="2:27" x14ac:dyDescent="0.3"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"/>
    </row>
    <row r="497" spans="2:27" x14ac:dyDescent="0.3"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"/>
    </row>
    <row r="498" spans="2:27" x14ac:dyDescent="0.3"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"/>
    </row>
    <row r="499" spans="2:27" x14ac:dyDescent="0.3"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"/>
    </row>
    <row r="500" spans="2:27" x14ac:dyDescent="0.3"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"/>
    </row>
    <row r="501" spans="2:27" x14ac:dyDescent="0.3"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"/>
    </row>
    <row r="502" spans="2:27" x14ac:dyDescent="0.3"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"/>
    </row>
    <row r="503" spans="2:27" x14ac:dyDescent="0.3"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"/>
    </row>
    <row r="504" spans="2:27" x14ac:dyDescent="0.3"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"/>
    </row>
    <row r="505" spans="2:27" x14ac:dyDescent="0.3"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"/>
    </row>
    <row r="506" spans="2:27" x14ac:dyDescent="0.3"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"/>
    </row>
    <row r="507" spans="2:27" x14ac:dyDescent="0.3"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"/>
    </row>
    <row r="508" spans="2:27" x14ac:dyDescent="0.3"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"/>
    </row>
    <row r="509" spans="2:27" x14ac:dyDescent="0.3"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"/>
    </row>
    <row r="510" spans="2:27" x14ac:dyDescent="0.3"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"/>
    </row>
    <row r="511" spans="2:27" x14ac:dyDescent="0.3"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"/>
    </row>
    <row r="512" spans="2:27" x14ac:dyDescent="0.3"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"/>
    </row>
    <row r="513" spans="2:27" x14ac:dyDescent="0.3"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"/>
    </row>
    <row r="514" spans="2:27" x14ac:dyDescent="0.3"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"/>
    </row>
    <row r="515" spans="2:27" x14ac:dyDescent="0.3"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"/>
    </row>
    <row r="516" spans="2:27" x14ac:dyDescent="0.3"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"/>
    </row>
    <row r="517" spans="2:27" x14ac:dyDescent="0.3"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"/>
    </row>
    <row r="518" spans="2:27" x14ac:dyDescent="0.3"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"/>
    </row>
    <row r="519" spans="2:27" x14ac:dyDescent="0.3"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"/>
    </row>
    <row r="520" spans="2:27" x14ac:dyDescent="0.3"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"/>
    </row>
    <row r="521" spans="2:27" x14ac:dyDescent="0.3"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"/>
    </row>
    <row r="522" spans="2:27" x14ac:dyDescent="0.3"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"/>
    </row>
    <row r="523" spans="2:27" x14ac:dyDescent="0.3"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"/>
    </row>
    <row r="524" spans="2:27" x14ac:dyDescent="0.3"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"/>
    </row>
    <row r="525" spans="2:27" x14ac:dyDescent="0.3"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"/>
    </row>
    <row r="526" spans="2:27" x14ac:dyDescent="0.3"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"/>
    </row>
    <row r="527" spans="2:27" x14ac:dyDescent="0.3"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"/>
    </row>
    <row r="528" spans="2:27" x14ac:dyDescent="0.3"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"/>
    </row>
    <row r="529" spans="2:27" x14ac:dyDescent="0.3"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"/>
    </row>
    <row r="530" spans="2:27" x14ac:dyDescent="0.3"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"/>
    </row>
    <row r="531" spans="2:27" x14ac:dyDescent="0.3"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"/>
    </row>
    <row r="532" spans="2:27" x14ac:dyDescent="0.3"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"/>
    </row>
    <row r="533" spans="2:27" x14ac:dyDescent="0.3"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"/>
    </row>
    <row r="534" spans="2:27" x14ac:dyDescent="0.3"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"/>
    </row>
    <row r="535" spans="2:27" x14ac:dyDescent="0.3"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"/>
    </row>
    <row r="536" spans="2:27" x14ac:dyDescent="0.3"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"/>
    </row>
    <row r="537" spans="2:27" x14ac:dyDescent="0.3"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"/>
    </row>
    <row r="538" spans="2:27" x14ac:dyDescent="0.3"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"/>
    </row>
    <row r="539" spans="2:27" x14ac:dyDescent="0.3"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"/>
    </row>
    <row r="540" spans="2:27" x14ac:dyDescent="0.3"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"/>
    </row>
    <row r="541" spans="2:27" x14ac:dyDescent="0.3"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"/>
    </row>
    <row r="542" spans="2:27" x14ac:dyDescent="0.3"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"/>
    </row>
    <row r="543" spans="2:27" x14ac:dyDescent="0.3"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"/>
    </row>
    <row r="544" spans="2:27" x14ac:dyDescent="0.3"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"/>
    </row>
    <row r="545" spans="2:27" x14ac:dyDescent="0.3"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"/>
    </row>
    <row r="546" spans="2:27" x14ac:dyDescent="0.3"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"/>
    </row>
    <row r="547" spans="2:27" x14ac:dyDescent="0.3"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"/>
    </row>
    <row r="548" spans="2:27" x14ac:dyDescent="0.3"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"/>
    </row>
    <row r="549" spans="2:27" x14ac:dyDescent="0.3"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"/>
    </row>
    <row r="550" spans="2:27" x14ac:dyDescent="0.3"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"/>
    </row>
    <row r="551" spans="2:27" x14ac:dyDescent="0.3"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"/>
    </row>
    <row r="552" spans="2:27" x14ac:dyDescent="0.3"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"/>
    </row>
    <row r="553" spans="2:27" x14ac:dyDescent="0.3"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"/>
    </row>
    <row r="554" spans="2:27" x14ac:dyDescent="0.3"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"/>
    </row>
    <row r="555" spans="2:27" x14ac:dyDescent="0.3"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"/>
    </row>
    <row r="556" spans="2:27" x14ac:dyDescent="0.3"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"/>
    </row>
    <row r="557" spans="2:27" x14ac:dyDescent="0.3"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"/>
    </row>
    <row r="558" spans="2:27" x14ac:dyDescent="0.3"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"/>
    </row>
    <row r="559" spans="2:27" x14ac:dyDescent="0.3"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"/>
    </row>
    <row r="560" spans="2:27" x14ac:dyDescent="0.3"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"/>
    </row>
    <row r="561" spans="2:27" x14ac:dyDescent="0.3"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"/>
    </row>
    <row r="562" spans="2:27" x14ac:dyDescent="0.3"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"/>
    </row>
    <row r="563" spans="2:27" x14ac:dyDescent="0.3"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"/>
    </row>
    <row r="564" spans="2:27" x14ac:dyDescent="0.3"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"/>
    </row>
    <row r="565" spans="2:27" x14ac:dyDescent="0.3"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"/>
    </row>
    <row r="566" spans="2:27" x14ac:dyDescent="0.3"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"/>
    </row>
    <row r="567" spans="2:27" x14ac:dyDescent="0.3"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"/>
    </row>
    <row r="568" spans="2:27" x14ac:dyDescent="0.3"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"/>
    </row>
    <row r="569" spans="2:27" x14ac:dyDescent="0.3"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"/>
    </row>
    <row r="570" spans="2:27" x14ac:dyDescent="0.3"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"/>
    </row>
    <row r="571" spans="2:27" x14ac:dyDescent="0.3"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"/>
    </row>
    <row r="671" spans="2:27" x14ac:dyDescent="0.3"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"/>
    </row>
    <row r="672" spans="2:27" x14ac:dyDescent="0.3"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"/>
    </row>
    <row r="673" spans="2:27" x14ac:dyDescent="0.3"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"/>
    </row>
    <row r="674" spans="2:27" x14ac:dyDescent="0.3"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"/>
    </row>
    <row r="675" spans="2:27" x14ac:dyDescent="0.3"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"/>
    </row>
    <row r="676" spans="2:27" x14ac:dyDescent="0.3"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"/>
    </row>
    <row r="677" spans="2:27" x14ac:dyDescent="0.3"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"/>
    </row>
    <row r="678" spans="2:27" x14ac:dyDescent="0.3"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"/>
    </row>
    <row r="679" spans="2:27" x14ac:dyDescent="0.3"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"/>
    </row>
    <row r="680" spans="2:27" x14ac:dyDescent="0.3"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"/>
    </row>
    <row r="681" spans="2:27" x14ac:dyDescent="0.3"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"/>
    </row>
    <row r="682" spans="2:27" x14ac:dyDescent="0.3"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"/>
    </row>
    <row r="683" spans="2:27" x14ac:dyDescent="0.3"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"/>
    </row>
    <row r="684" spans="2:27" x14ac:dyDescent="0.3"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"/>
    </row>
    <row r="685" spans="2:27" x14ac:dyDescent="0.3"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"/>
    </row>
    <row r="686" spans="2:27" x14ac:dyDescent="0.3"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"/>
    </row>
    <row r="687" spans="2:27" x14ac:dyDescent="0.3"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"/>
    </row>
    <row r="688" spans="2:27" x14ac:dyDescent="0.3"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"/>
    </row>
    <row r="689" spans="2:27" x14ac:dyDescent="0.3"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"/>
    </row>
    <row r="690" spans="2:27" x14ac:dyDescent="0.3"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"/>
    </row>
    <row r="691" spans="2:27" x14ac:dyDescent="0.3"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"/>
    </row>
    <row r="692" spans="2:27" x14ac:dyDescent="0.3"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"/>
    </row>
    <row r="693" spans="2:27" x14ac:dyDescent="0.3"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"/>
    </row>
    <row r="694" spans="2:27" x14ac:dyDescent="0.3"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"/>
    </row>
    <row r="695" spans="2:27" x14ac:dyDescent="0.3"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"/>
    </row>
    <row r="696" spans="2:27" x14ac:dyDescent="0.3"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"/>
    </row>
    <row r="697" spans="2:27" x14ac:dyDescent="0.3"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"/>
    </row>
    <row r="698" spans="2:27" x14ac:dyDescent="0.3"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"/>
    </row>
    <row r="699" spans="2:27" x14ac:dyDescent="0.3"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"/>
    </row>
    <row r="700" spans="2:27" x14ac:dyDescent="0.3"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"/>
    </row>
    <row r="701" spans="2:27" x14ac:dyDescent="0.3"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"/>
    </row>
    <row r="702" spans="2:27" x14ac:dyDescent="0.3"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"/>
    </row>
    <row r="703" spans="2:27" x14ac:dyDescent="0.3"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"/>
    </row>
    <row r="704" spans="2:27" x14ac:dyDescent="0.3"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"/>
    </row>
    <row r="705" spans="2:27" x14ac:dyDescent="0.3"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"/>
    </row>
    <row r="706" spans="2:27" x14ac:dyDescent="0.3"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"/>
    </row>
    <row r="707" spans="2:27" x14ac:dyDescent="0.3"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"/>
    </row>
    <row r="708" spans="2:27" x14ac:dyDescent="0.3"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"/>
    </row>
    <row r="709" spans="2:27" x14ac:dyDescent="0.3"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"/>
    </row>
    <row r="710" spans="2:27" x14ac:dyDescent="0.3"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"/>
    </row>
    <row r="711" spans="2:27" x14ac:dyDescent="0.3"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"/>
    </row>
    <row r="712" spans="2:27" x14ac:dyDescent="0.3"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"/>
    </row>
    <row r="713" spans="2:27" x14ac:dyDescent="0.3"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"/>
    </row>
    <row r="714" spans="2:27" x14ac:dyDescent="0.3"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"/>
    </row>
    <row r="715" spans="2:27" x14ac:dyDescent="0.3"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"/>
    </row>
    <row r="716" spans="2:27" x14ac:dyDescent="0.3"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"/>
    </row>
    <row r="717" spans="2:27" x14ac:dyDescent="0.3"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"/>
    </row>
    <row r="718" spans="2:27" x14ac:dyDescent="0.3"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"/>
    </row>
    <row r="719" spans="2:27" x14ac:dyDescent="0.3"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"/>
    </row>
    <row r="720" spans="2:27" x14ac:dyDescent="0.3"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"/>
    </row>
    <row r="721" spans="2:27" x14ac:dyDescent="0.3"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"/>
    </row>
    <row r="722" spans="2:27" x14ac:dyDescent="0.3"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"/>
    </row>
    <row r="723" spans="2:27" x14ac:dyDescent="0.3"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"/>
    </row>
    <row r="724" spans="2:27" x14ac:dyDescent="0.3"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"/>
    </row>
    <row r="725" spans="2:27" x14ac:dyDescent="0.3"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"/>
    </row>
    <row r="726" spans="2:27" x14ac:dyDescent="0.3"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"/>
    </row>
    <row r="727" spans="2:27" x14ac:dyDescent="0.3"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"/>
    </row>
    <row r="728" spans="2:27" x14ac:dyDescent="0.3"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"/>
    </row>
    <row r="729" spans="2:27" x14ac:dyDescent="0.3"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"/>
    </row>
    <row r="730" spans="2:27" x14ac:dyDescent="0.3"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"/>
    </row>
    <row r="731" spans="2:27" x14ac:dyDescent="0.3"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"/>
    </row>
    <row r="732" spans="2:27" x14ac:dyDescent="0.3"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"/>
    </row>
    <row r="733" spans="2:27" x14ac:dyDescent="0.3"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"/>
    </row>
    <row r="734" spans="2:27" x14ac:dyDescent="0.3"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"/>
    </row>
    <row r="735" spans="2:27" x14ac:dyDescent="0.3"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"/>
    </row>
    <row r="736" spans="2:27" x14ac:dyDescent="0.3"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"/>
    </row>
    <row r="737" spans="2:27" x14ac:dyDescent="0.3"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"/>
    </row>
    <row r="738" spans="2:27" x14ac:dyDescent="0.3"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"/>
    </row>
    <row r="739" spans="2:27" x14ac:dyDescent="0.3"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"/>
    </row>
    <row r="740" spans="2:27" x14ac:dyDescent="0.3"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"/>
    </row>
    <row r="741" spans="2:27" x14ac:dyDescent="0.3">
      <c r="AA741" s="4"/>
    </row>
    <row r="742" spans="2:27" x14ac:dyDescent="0.3">
      <c r="AA742" s="4"/>
    </row>
    <row r="743" spans="2:27" x14ac:dyDescent="0.3">
      <c r="AA743" s="4"/>
    </row>
    <row r="744" spans="2:27" x14ac:dyDescent="0.3">
      <c r="AA744" s="4"/>
    </row>
    <row r="745" spans="2:27" x14ac:dyDescent="0.3">
      <c r="AA745" s="4"/>
    </row>
    <row r="746" spans="2:27" x14ac:dyDescent="0.3">
      <c r="AA746" s="4"/>
    </row>
    <row r="747" spans="2:27" x14ac:dyDescent="0.3">
      <c r="AA747" s="4"/>
    </row>
    <row r="748" spans="2:27" x14ac:dyDescent="0.3">
      <c r="AA748" s="4"/>
    </row>
    <row r="749" spans="2:27" x14ac:dyDescent="0.3">
      <c r="AA749" s="4"/>
    </row>
    <row r="750" spans="2:27" x14ac:dyDescent="0.3">
      <c r="AA750" s="4"/>
    </row>
    <row r="751" spans="2:27" x14ac:dyDescent="0.3">
      <c r="AA751" s="4"/>
    </row>
    <row r="752" spans="2:27" x14ac:dyDescent="0.3">
      <c r="AA752" s="4"/>
    </row>
    <row r="753" spans="27:27" x14ac:dyDescent="0.3">
      <c r="AA753" s="4"/>
    </row>
    <row r="754" spans="27:27" x14ac:dyDescent="0.3">
      <c r="AA754" s="4"/>
    </row>
    <row r="755" spans="27:27" x14ac:dyDescent="0.3">
      <c r="AA755" s="4"/>
    </row>
    <row r="756" spans="27:27" x14ac:dyDescent="0.3">
      <c r="AA756" s="4"/>
    </row>
    <row r="757" spans="27:27" x14ac:dyDescent="0.3">
      <c r="AA757" s="4"/>
    </row>
    <row r="758" spans="27:27" x14ac:dyDescent="0.3">
      <c r="AA758" s="4"/>
    </row>
    <row r="759" spans="27:27" x14ac:dyDescent="0.3">
      <c r="AA759" s="4"/>
    </row>
    <row r="760" spans="27:27" x14ac:dyDescent="0.3">
      <c r="AA760" s="4"/>
    </row>
    <row r="761" spans="27:27" x14ac:dyDescent="0.3">
      <c r="AA761" s="4"/>
    </row>
    <row r="762" spans="27:27" x14ac:dyDescent="0.3">
      <c r="AA762" s="4"/>
    </row>
    <row r="763" spans="27:27" x14ac:dyDescent="0.3">
      <c r="AA763" s="4"/>
    </row>
    <row r="764" spans="27:27" x14ac:dyDescent="0.3">
      <c r="AA764" s="4"/>
    </row>
    <row r="765" spans="27:27" x14ac:dyDescent="0.3">
      <c r="AA765" s="4"/>
    </row>
    <row r="766" spans="27:27" x14ac:dyDescent="0.3">
      <c r="AA766" s="4"/>
    </row>
    <row r="767" spans="27:27" x14ac:dyDescent="0.3">
      <c r="AA767" s="4"/>
    </row>
    <row r="768" spans="27:27" x14ac:dyDescent="0.3">
      <c r="AA768" s="4"/>
    </row>
    <row r="769" spans="27:27" x14ac:dyDescent="0.3">
      <c r="AA769" s="4"/>
    </row>
    <row r="770" spans="27:27" x14ac:dyDescent="0.3">
      <c r="AA770" s="4"/>
    </row>
    <row r="771" spans="27:27" x14ac:dyDescent="0.3">
      <c r="AA771" s="4"/>
    </row>
    <row r="772" spans="27:27" x14ac:dyDescent="0.3">
      <c r="AA772" s="4"/>
    </row>
    <row r="773" spans="27:27" x14ac:dyDescent="0.3">
      <c r="AA773" s="4"/>
    </row>
    <row r="774" spans="27:27" x14ac:dyDescent="0.3">
      <c r="AA774" s="4"/>
    </row>
    <row r="775" spans="27:27" x14ac:dyDescent="0.3">
      <c r="AA775" s="4"/>
    </row>
    <row r="776" spans="27:27" x14ac:dyDescent="0.3">
      <c r="AA776" s="4"/>
    </row>
    <row r="777" spans="27:27" x14ac:dyDescent="0.3">
      <c r="AA777" s="4"/>
    </row>
    <row r="778" spans="27:27" x14ac:dyDescent="0.3">
      <c r="AA778" s="4"/>
    </row>
    <row r="779" spans="27:27" x14ac:dyDescent="0.3">
      <c r="AA779" s="4"/>
    </row>
    <row r="780" spans="27:27" x14ac:dyDescent="0.3">
      <c r="AA780" s="4"/>
    </row>
    <row r="781" spans="27:27" x14ac:dyDescent="0.3">
      <c r="AA781" s="4"/>
    </row>
    <row r="782" spans="27:27" x14ac:dyDescent="0.3">
      <c r="AA782" s="4"/>
    </row>
    <row r="783" spans="27:27" x14ac:dyDescent="0.3">
      <c r="AA783" s="4"/>
    </row>
    <row r="784" spans="27:27" x14ac:dyDescent="0.3">
      <c r="AA784" s="4"/>
    </row>
    <row r="785" spans="27:27" x14ac:dyDescent="0.3">
      <c r="AA785" s="4"/>
    </row>
    <row r="786" spans="27:27" x14ac:dyDescent="0.3">
      <c r="AA786" s="4"/>
    </row>
    <row r="787" spans="27:27" x14ac:dyDescent="0.3">
      <c r="AA787" s="4"/>
    </row>
    <row r="788" spans="27:27" x14ac:dyDescent="0.3">
      <c r="AA788" s="4"/>
    </row>
    <row r="789" spans="27:27" x14ac:dyDescent="0.3">
      <c r="AA789" s="4"/>
    </row>
    <row r="790" spans="27:27" x14ac:dyDescent="0.3">
      <c r="AA790" s="4"/>
    </row>
    <row r="791" spans="27:27" x14ac:dyDescent="0.3">
      <c r="AA791" s="4"/>
    </row>
    <row r="792" spans="27:27" x14ac:dyDescent="0.3">
      <c r="AA792" s="4"/>
    </row>
    <row r="793" spans="27:27" x14ac:dyDescent="0.3">
      <c r="AA793" s="4"/>
    </row>
    <row r="794" spans="27:27" x14ac:dyDescent="0.3">
      <c r="AA794" s="4"/>
    </row>
    <row r="795" spans="27:27" x14ac:dyDescent="0.3">
      <c r="AA795" s="4"/>
    </row>
    <row r="796" spans="27:27" x14ac:dyDescent="0.3">
      <c r="AA796" s="4"/>
    </row>
    <row r="797" spans="27:27" x14ac:dyDescent="0.3">
      <c r="AA797" s="4"/>
    </row>
    <row r="798" spans="27:27" x14ac:dyDescent="0.3">
      <c r="AA798" s="4"/>
    </row>
    <row r="799" spans="27:27" x14ac:dyDescent="0.3">
      <c r="AA799" s="4"/>
    </row>
    <row r="800" spans="27:27" x14ac:dyDescent="0.3">
      <c r="AA800" s="4"/>
    </row>
    <row r="801" spans="27:27" x14ac:dyDescent="0.3">
      <c r="AA801" s="4"/>
    </row>
    <row r="802" spans="27:27" x14ac:dyDescent="0.3">
      <c r="AA802" s="4"/>
    </row>
    <row r="803" spans="27:27" x14ac:dyDescent="0.3">
      <c r="AA803" s="4"/>
    </row>
    <row r="804" spans="27:27" x14ac:dyDescent="0.3">
      <c r="AA804" s="4"/>
    </row>
    <row r="805" spans="27:27" x14ac:dyDescent="0.3">
      <c r="AA805" s="4"/>
    </row>
    <row r="806" spans="27:27" x14ac:dyDescent="0.3">
      <c r="AA806" s="4"/>
    </row>
    <row r="807" spans="27:27" x14ac:dyDescent="0.3">
      <c r="AA807" s="4"/>
    </row>
    <row r="808" spans="27:27" x14ac:dyDescent="0.3">
      <c r="AA808" s="4"/>
    </row>
    <row r="809" spans="27:27" x14ac:dyDescent="0.3">
      <c r="AA809" s="4"/>
    </row>
    <row r="810" spans="27:27" x14ac:dyDescent="0.3">
      <c r="AA810" s="4"/>
    </row>
    <row r="811" spans="27:27" x14ac:dyDescent="0.3">
      <c r="AA811" s="4"/>
    </row>
    <row r="812" spans="27:27" x14ac:dyDescent="0.3">
      <c r="AA812" s="4"/>
    </row>
    <row r="813" spans="27:27" x14ac:dyDescent="0.3">
      <c r="AA813" s="4"/>
    </row>
    <row r="814" spans="27:27" x14ac:dyDescent="0.3">
      <c r="AA814" s="4"/>
    </row>
    <row r="815" spans="27:27" x14ac:dyDescent="0.3">
      <c r="AA815" s="4"/>
    </row>
    <row r="816" spans="27:27" x14ac:dyDescent="0.3">
      <c r="AA816" s="4"/>
    </row>
    <row r="817" spans="27:27" x14ac:dyDescent="0.3">
      <c r="AA817" s="4"/>
    </row>
    <row r="818" spans="27:27" x14ac:dyDescent="0.3">
      <c r="AA818" s="4"/>
    </row>
    <row r="819" spans="27:27" x14ac:dyDescent="0.3">
      <c r="AA819" s="4"/>
    </row>
    <row r="820" spans="27:27" x14ac:dyDescent="0.3">
      <c r="AA820" s="4"/>
    </row>
    <row r="821" spans="27:27" x14ac:dyDescent="0.3">
      <c r="AA821" s="4"/>
    </row>
    <row r="822" spans="27:27" x14ac:dyDescent="0.3">
      <c r="AA822" s="4"/>
    </row>
    <row r="823" spans="27:27" x14ac:dyDescent="0.3">
      <c r="AA823" s="4"/>
    </row>
    <row r="824" spans="27:27" x14ac:dyDescent="0.3">
      <c r="AA824" s="4"/>
    </row>
    <row r="825" spans="27:27" x14ac:dyDescent="0.3">
      <c r="AA825" s="4"/>
    </row>
    <row r="826" spans="27:27" x14ac:dyDescent="0.3">
      <c r="AA826" s="4"/>
    </row>
    <row r="827" spans="27:27" x14ac:dyDescent="0.3">
      <c r="AA827" s="4"/>
    </row>
    <row r="828" spans="27:27" x14ac:dyDescent="0.3">
      <c r="AA828" s="4"/>
    </row>
    <row r="829" spans="27:27" x14ac:dyDescent="0.3">
      <c r="AA829" s="4"/>
    </row>
    <row r="830" spans="27:27" x14ac:dyDescent="0.3">
      <c r="AA830" s="4"/>
    </row>
    <row r="831" spans="27:27" x14ac:dyDescent="0.3">
      <c r="AA831" s="4"/>
    </row>
    <row r="832" spans="27:27" x14ac:dyDescent="0.3">
      <c r="AA832" s="4"/>
    </row>
    <row r="833" spans="27:27" x14ac:dyDescent="0.3">
      <c r="AA833" s="4"/>
    </row>
    <row r="834" spans="27:27" x14ac:dyDescent="0.3">
      <c r="AA834" s="4"/>
    </row>
    <row r="835" spans="27:27" x14ac:dyDescent="0.3">
      <c r="AA835" s="4"/>
    </row>
    <row r="836" spans="27:27" x14ac:dyDescent="0.3">
      <c r="AA836" s="4"/>
    </row>
    <row r="837" spans="27:27" x14ac:dyDescent="0.3">
      <c r="AA837" s="4"/>
    </row>
    <row r="838" spans="27:27" x14ac:dyDescent="0.3">
      <c r="AA838" s="4"/>
    </row>
    <row r="839" spans="27:27" x14ac:dyDescent="0.3">
      <c r="AA839" s="4"/>
    </row>
    <row r="840" spans="27:27" x14ac:dyDescent="0.3">
      <c r="AA840" s="4"/>
    </row>
    <row r="841" spans="27:27" x14ac:dyDescent="0.3">
      <c r="AA841" s="4"/>
    </row>
    <row r="842" spans="27:27" x14ac:dyDescent="0.3">
      <c r="AA842" s="4"/>
    </row>
    <row r="843" spans="27:27" x14ac:dyDescent="0.3">
      <c r="AA843" s="4"/>
    </row>
    <row r="844" spans="27:27" x14ac:dyDescent="0.3">
      <c r="AA844" s="4"/>
    </row>
    <row r="845" spans="27:27" x14ac:dyDescent="0.3">
      <c r="AA845" s="4"/>
    </row>
    <row r="846" spans="27:27" x14ac:dyDescent="0.3">
      <c r="AA846" s="4"/>
    </row>
    <row r="847" spans="27:27" x14ac:dyDescent="0.3">
      <c r="AA847" s="4"/>
    </row>
    <row r="848" spans="27:27" x14ac:dyDescent="0.3">
      <c r="AA848" s="4"/>
    </row>
    <row r="849" spans="27:27" x14ac:dyDescent="0.3">
      <c r="AA849" s="4"/>
    </row>
    <row r="850" spans="27:27" x14ac:dyDescent="0.3">
      <c r="AA850" s="4"/>
    </row>
    <row r="851" spans="27:27" x14ac:dyDescent="0.3">
      <c r="AA851" s="4"/>
    </row>
    <row r="852" spans="27:27" x14ac:dyDescent="0.3">
      <c r="AA852" s="4"/>
    </row>
    <row r="853" spans="27:27" x14ac:dyDescent="0.3">
      <c r="AA853" s="4"/>
    </row>
    <row r="854" spans="27:27" x14ac:dyDescent="0.3">
      <c r="AA854" s="4"/>
    </row>
    <row r="855" spans="27:27" x14ac:dyDescent="0.3">
      <c r="AA855" s="4"/>
    </row>
    <row r="856" spans="27:27" x14ac:dyDescent="0.3">
      <c r="AA856" s="4"/>
    </row>
    <row r="857" spans="27:27" x14ac:dyDescent="0.3">
      <c r="AA857" s="4"/>
    </row>
    <row r="858" spans="27:27" x14ac:dyDescent="0.3">
      <c r="AA858" s="4"/>
    </row>
    <row r="859" spans="27:27" x14ac:dyDescent="0.3">
      <c r="AA859" s="4"/>
    </row>
    <row r="860" spans="27:27" x14ac:dyDescent="0.3">
      <c r="AA860" s="4"/>
    </row>
    <row r="861" spans="27:27" x14ac:dyDescent="0.3">
      <c r="AA861" s="4"/>
    </row>
    <row r="862" spans="27:27" x14ac:dyDescent="0.3">
      <c r="AA862" s="4"/>
    </row>
    <row r="863" spans="27:27" x14ac:dyDescent="0.3">
      <c r="AA863" s="4"/>
    </row>
    <row r="864" spans="27:27" x14ac:dyDescent="0.3">
      <c r="AA864" s="4"/>
    </row>
    <row r="865" spans="27:27" x14ac:dyDescent="0.3">
      <c r="AA865" s="4"/>
    </row>
    <row r="866" spans="27:27" x14ac:dyDescent="0.3">
      <c r="AA866" s="4"/>
    </row>
    <row r="867" spans="27:27" x14ac:dyDescent="0.3">
      <c r="AA867" s="4"/>
    </row>
    <row r="868" spans="27:27" x14ac:dyDescent="0.3">
      <c r="AA868" s="4"/>
    </row>
    <row r="869" spans="27:27" x14ac:dyDescent="0.3">
      <c r="AA869" s="4"/>
    </row>
    <row r="870" spans="27:27" x14ac:dyDescent="0.3">
      <c r="AA870" s="4"/>
    </row>
    <row r="871" spans="27:27" x14ac:dyDescent="0.3">
      <c r="AA871" s="4"/>
    </row>
    <row r="872" spans="27:27" x14ac:dyDescent="0.3">
      <c r="AA872" s="4"/>
    </row>
    <row r="873" spans="27:27" x14ac:dyDescent="0.3">
      <c r="AA873" s="4"/>
    </row>
    <row r="874" spans="27:27" x14ac:dyDescent="0.3">
      <c r="AA874" s="4"/>
    </row>
    <row r="875" spans="27:27" x14ac:dyDescent="0.3">
      <c r="AA875" s="4"/>
    </row>
    <row r="876" spans="27:27" x14ac:dyDescent="0.3">
      <c r="AA876" s="4"/>
    </row>
    <row r="877" spans="27:27" x14ac:dyDescent="0.3">
      <c r="AA877" s="4"/>
    </row>
    <row r="878" spans="27:27" x14ac:dyDescent="0.3">
      <c r="AA878" s="4"/>
    </row>
    <row r="879" spans="27:27" x14ac:dyDescent="0.3">
      <c r="AA879" s="4"/>
    </row>
    <row r="880" spans="27:27" x14ac:dyDescent="0.3">
      <c r="AA880" s="4"/>
    </row>
    <row r="881" spans="27:27" x14ac:dyDescent="0.3">
      <c r="AA881" s="4"/>
    </row>
    <row r="882" spans="27:27" x14ac:dyDescent="0.3">
      <c r="AA882" s="4"/>
    </row>
    <row r="883" spans="27:27" x14ac:dyDescent="0.3">
      <c r="AA883" s="4"/>
    </row>
    <row r="884" spans="27:27" x14ac:dyDescent="0.3">
      <c r="AA884" s="4"/>
    </row>
    <row r="885" spans="27:27" x14ac:dyDescent="0.3">
      <c r="AA885" s="4"/>
    </row>
    <row r="886" spans="27:27" x14ac:dyDescent="0.3">
      <c r="AA886" s="4"/>
    </row>
    <row r="887" spans="27:27" x14ac:dyDescent="0.3">
      <c r="AA887" s="4"/>
    </row>
    <row r="888" spans="27:27" x14ac:dyDescent="0.3">
      <c r="AA888" s="4"/>
    </row>
    <row r="889" spans="27:27" x14ac:dyDescent="0.3">
      <c r="AA889" s="4"/>
    </row>
    <row r="890" spans="27:27" x14ac:dyDescent="0.3">
      <c r="AA890" s="4"/>
    </row>
    <row r="891" spans="27:27" x14ac:dyDescent="0.3">
      <c r="AA891" s="4"/>
    </row>
    <row r="892" spans="27:27" x14ac:dyDescent="0.3">
      <c r="AA892" s="4"/>
    </row>
    <row r="893" spans="27:27" x14ac:dyDescent="0.3">
      <c r="AA893" s="4"/>
    </row>
    <row r="894" spans="27:27" x14ac:dyDescent="0.3">
      <c r="AA894" s="4"/>
    </row>
    <row r="895" spans="27:27" x14ac:dyDescent="0.3">
      <c r="AA895" s="4"/>
    </row>
    <row r="896" spans="27:27" x14ac:dyDescent="0.3">
      <c r="AA896" s="4"/>
    </row>
    <row r="897" spans="27:27" x14ac:dyDescent="0.3">
      <c r="AA897" s="4"/>
    </row>
    <row r="898" spans="27:27" x14ac:dyDescent="0.3">
      <c r="AA898" s="4"/>
    </row>
    <row r="899" spans="27:27" x14ac:dyDescent="0.3">
      <c r="AA899" s="4"/>
    </row>
    <row r="900" spans="27:27" x14ac:dyDescent="0.3">
      <c r="AA900" s="4"/>
    </row>
    <row r="901" spans="27:27" x14ac:dyDescent="0.3">
      <c r="AA901" s="4"/>
    </row>
    <row r="902" spans="27:27" x14ac:dyDescent="0.3">
      <c r="AA902" s="4"/>
    </row>
    <row r="903" spans="27:27" x14ac:dyDescent="0.3">
      <c r="AA903" s="4"/>
    </row>
    <row r="904" spans="27:27" x14ac:dyDescent="0.3">
      <c r="AA904" s="4"/>
    </row>
    <row r="905" spans="27:27" x14ac:dyDescent="0.3">
      <c r="AA905" s="4"/>
    </row>
    <row r="906" spans="27:27" x14ac:dyDescent="0.3">
      <c r="AA906" s="4"/>
    </row>
    <row r="907" spans="27:27" x14ac:dyDescent="0.3">
      <c r="AA907" s="4"/>
    </row>
    <row r="908" spans="27:27" x14ac:dyDescent="0.3">
      <c r="AA908" s="4"/>
    </row>
    <row r="909" spans="27:27" x14ac:dyDescent="0.3">
      <c r="AA909" s="4"/>
    </row>
    <row r="910" spans="27:27" x14ac:dyDescent="0.3">
      <c r="AA910" s="4"/>
    </row>
    <row r="911" spans="27:27" x14ac:dyDescent="0.3">
      <c r="AA911" s="4"/>
    </row>
    <row r="912" spans="27:27" x14ac:dyDescent="0.3">
      <c r="AA912" s="4"/>
    </row>
    <row r="913" spans="27:27" x14ac:dyDescent="0.3">
      <c r="AA913" s="4"/>
    </row>
    <row r="914" spans="27:27" x14ac:dyDescent="0.3">
      <c r="AA914" s="4"/>
    </row>
    <row r="915" spans="27:27" x14ac:dyDescent="0.3">
      <c r="AA915" s="4"/>
    </row>
    <row r="916" spans="27:27" x14ac:dyDescent="0.3">
      <c r="AA916" s="4"/>
    </row>
    <row r="917" spans="27:27" x14ac:dyDescent="0.3">
      <c r="AA917" s="4"/>
    </row>
    <row r="918" spans="27:27" x14ac:dyDescent="0.3">
      <c r="AA918" s="4"/>
    </row>
    <row r="919" spans="27:27" x14ac:dyDescent="0.3">
      <c r="AA919" s="4"/>
    </row>
    <row r="920" spans="27:27" x14ac:dyDescent="0.3">
      <c r="AA920" s="4"/>
    </row>
    <row r="921" spans="27:27" x14ac:dyDescent="0.3">
      <c r="AA921" s="4"/>
    </row>
    <row r="922" spans="27:27" x14ac:dyDescent="0.3">
      <c r="AA922" s="4"/>
    </row>
    <row r="923" spans="27:27" x14ac:dyDescent="0.3">
      <c r="AA923" s="4"/>
    </row>
    <row r="924" spans="27:27" x14ac:dyDescent="0.3">
      <c r="AA924" s="4"/>
    </row>
    <row r="925" spans="27:27" x14ac:dyDescent="0.3">
      <c r="AA925" s="4"/>
    </row>
    <row r="926" spans="27:27" x14ac:dyDescent="0.3">
      <c r="AA926" s="4"/>
    </row>
    <row r="927" spans="27:27" x14ac:dyDescent="0.3">
      <c r="AA927" s="4"/>
    </row>
    <row r="928" spans="27:27" x14ac:dyDescent="0.3">
      <c r="AA928" s="4"/>
    </row>
    <row r="929" spans="27:27" x14ac:dyDescent="0.3">
      <c r="AA929" s="4"/>
    </row>
    <row r="930" spans="27:27" x14ac:dyDescent="0.3">
      <c r="AA930" s="4"/>
    </row>
    <row r="931" spans="27:27" x14ac:dyDescent="0.3">
      <c r="AA931" s="4"/>
    </row>
    <row r="932" spans="27:27" x14ac:dyDescent="0.3">
      <c r="AA932" s="4"/>
    </row>
    <row r="933" spans="27:27" x14ac:dyDescent="0.3">
      <c r="AA933" s="4"/>
    </row>
    <row r="934" spans="27:27" x14ac:dyDescent="0.3">
      <c r="AA934" s="4"/>
    </row>
    <row r="935" spans="27:27" x14ac:dyDescent="0.3">
      <c r="AA935" s="4"/>
    </row>
    <row r="936" spans="27:27" x14ac:dyDescent="0.3">
      <c r="AA936" s="4"/>
    </row>
    <row r="937" spans="27:27" x14ac:dyDescent="0.3">
      <c r="AA937" s="4"/>
    </row>
    <row r="938" spans="27:27" x14ac:dyDescent="0.3">
      <c r="AA938" s="4"/>
    </row>
    <row r="939" spans="27:27" x14ac:dyDescent="0.3">
      <c r="AA939" s="4"/>
    </row>
    <row r="940" spans="27:27" x14ac:dyDescent="0.3">
      <c r="AA940" s="4"/>
    </row>
    <row r="941" spans="27:27" x14ac:dyDescent="0.3">
      <c r="AA941" s="4"/>
    </row>
    <row r="942" spans="27:27" x14ac:dyDescent="0.3">
      <c r="AA942" s="4"/>
    </row>
    <row r="943" spans="27:27" x14ac:dyDescent="0.3">
      <c r="AA943" s="4"/>
    </row>
    <row r="944" spans="27:27" x14ac:dyDescent="0.3">
      <c r="AA944" s="4"/>
    </row>
    <row r="945" spans="27:27" x14ac:dyDescent="0.3">
      <c r="AA945" s="4"/>
    </row>
    <row r="946" spans="27:27" x14ac:dyDescent="0.3">
      <c r="AA946" s="4"/>
    </row>
    <row r="947" spans="27:27" x14ac:dyDescent="0.3">
      <c r="AA947" s="4"/>
    </row>
    <row r="948" spans="27:27" x14ac:dyDescent="0.3">
      <c r="AA948" s="4"/>
    </row>
    <row r="949" spans="27:27" x14ac:dyDescent="0.3">
      <c r="AA949" s="4"/>
    </row>
    <row r="950" spans="27:27" x14ac:dyDescent="0.3">
      <c r="AA950" s="4"/>
    </row>
    <row r="951" spans="27:27" x14ac:dyDescent="0.3">
      <c r="AA951" s="4"/>
    </row>
    <row r="952" spans="27:27" x14ac:dyDescent="0.3">
      <c r="AA952" s="4"/>
    </row>
    <row r="953" spans="27:27" x14ac:dyDescent="0.3">
      <c r="AA953" s="4"/>
    </row>
    <row r="954" spans="27:27" x14ac:dyDescent="0.3">
      <c r="AA954" s="4"/>
    </row>
    <row r="955" spans="27:27" x14ac:dyDescent="0.3">
      <c r="AA955" s="4"/>
    </row>
    <row r="956" spans="27:27" x14ac:dyDescent="0.3">
      <c r="AA956" s="4"/>
    </row>
    <row r="957" spans="27:27" x14ac:dyDescent="0.3">
      <c r="AA957" s="4"/>
    </row>
    <row r="958" spans="27:27" x14ac:dyDescent="0.3">
      <c r="AA958" s="4"/>
    </row>
    <row r="959" spans="27:27" x14ac:dyDescent="0.3">
      <c r="AA959" s="4"/>
    </row>
    <row r="960" spans="27:27" x14ac:dyDescent="0.3">
      <c r="AA960" s="4"/>
    </row>
    <row r="961" spans="27:27" x14ac:dyDescent="0.3">
      <c r="AA961" s="4"/>
    </row>
    <row r="962" spans="27:27" x14ac:dyDescent="0.3">
      <c r="AA962" s="4"/>
    </row>
    <row r="963" spans="27:27" x14ac:dyDescent="0.3">
      <c r="AA963" s="4"/>
    </row>
    <row r="964" spans="27:27" x14ac:dyDescent="0.3">
      <c r="AA964" s="4"/>
    </row>
    <row r="965" spans="27:27" x14ac:dyDescent="0.3">
      <c r="AA965" s="4"/>
    </row>
    <row r="966" spans="27:27" x14ac:dyDescent="0.3">
      <c r="AA966" s="4"/>
    </row>
    <row r="967" spans="27:27" x14ac:dyDescent="0.3">
      <c r="AA967" s="4"/>
    </row>
    <row r="968" spans="27:27" x14ac:dyDescent="0.3">
      <c r="AA968" s="4"/>
    </row>
    <row r="969" spans="27:27" x14ac:dyDescent="0.3">
      <c r="AA969" s="4"/>
    </row>
    <row r="970" spans="27:27" x14ac:dyDescent="0.3">
      <c r="AA970" s="4"/>
    </row>
    <row r="971" spans="27:27" x14ac:dyDescent="0.3">
      <c r="AA971" s="4"/>
    </row>
    <row r="972" spans="27:27" x14ac:dyDescent="0.3">
      <c r="AA972" s="4"/>
    </row>
    <row r="973" spans="27:27" x14ac:dyDescent="0.3">
      <c r="AA973" s="4"/>
    </row>
    <row r="974" spans="27:27" x14ac:dyDescent="0.3">
      <c r="AA974" s="4"/>
    </row>
    <row r="975" spans="27:27" x14ac:dyDescent="0.3">
      <c r="AA975" s="4"/>
    </row>
    <row r="976" spans="27:27" x14ac:dyDescent="0.3">
      <c r="AA976" s="4"/>
    </row>
    <row r="977" spans="27:27" x14ac:dyDescent="0.3">
      <c r="AA977" s="4"/>
    </row>
    <row r="978" spans="27:27" x14ac:dyDescent="0.3">
      <c r="AA978" s="4"/>
    </row>
    <row r="979" spans="27:27" x14ac:dyDescent="0.3">
      <c r="AA979" s="4"/>
    </row>
    <row r="980" spans="27:27" x14ac:dyDescent="0.3">
      <c r="AA980" s="4"/>
    </row>
    <row r="981" spans="27:27" x14ac:dyDescent="0.3">
      <c r="AA981" s="4"/>
    </row>
    <row r="982" spans="27:27" x14ac:dyDescent="0.3">
      <c r="AA982" s="4"/>
    </row>
    <row r="983" spans="27:27" x14ac:dyDescent="0.3">
      <c r="AA983" s="4"/>
    </row>
    <row r="984" spans="27:27" x14ac:dyDescent="0.3">
      <c r="AA984" s="4"/>
    </row>
    <row r="985" spans="27:27" x14ac:dyDescent="0.3">
      <c r="AA985" s="4"/>
    </row>
    <row r="986" spans="27:27" x14ac:dyDescent="0.3">
      <c r="AA986" s="4"/>
    </row>
    <row r="987" spans="27:27" x14ac:dyDescent="0.3">
      <c r="AA987" s="4"/>
    </row>
    <row r="988" spans="27:27" x14ac:dyDescent="0.3">
      <c r="AA988" s="4"/>
    </row>
    <row r="989" spans="27:27" x14ac:dyDescent="0.3">
      <c r="AA989" s="4"/>
    </row>
    <row r="990" spans="27:27" x14ac:dyDescent="0.3">
      <c r="AA990" s="4"/>
    </row>
    <row r="991" spans="27:27" x14ac:dyDescent="0.3">
      <c r="AA991" s="4"/>
    </row>
    <row r="992" spans="27:27" x14ac:dyDescent="0.3">
      <c r="AA992" s="4"/>
    </row>
    <row r="993" spans="27:27" x14ac:dyDescent="0.3">
      <c r="AA993" s="4"/>
    </row>
    <row r="994" spans="27:27" x14ac:dyDescent="0.3">
      <c r="AA994" s="4"/>
    </row>
    <row r="995" spans="27:27" x14ac:dyDescent="0.3">
      <c r="AA995" s="4"/>
    </row>
    <row r="996" spans="27:27" x14ac:dyDescent="0.3">
      <c r="AA996" s="4"/>
    </row>
    <row r="997" spans="27:27" x14ac:dyDescent="0.3">
      <c r="AA997" s="4"/>
    </row>
    <row r="998" spans="27:27" x14ac:dyDescent="0.3">
      <c r="AA998" s="4"/>
    </row>
    <row r="999" spans="27:27" x14ac:dyDescent="0.3">
      <c r="AA999" s="4"/>
    </row>
    <row r="1000" spans="27:27" x14ac:dyDescent="0.3">
      <c r="AA1000" s="4"/>
    </row>
    <row r="1001" spans="27:27" x14ac:dyDescent="0.3">
      <c r="AA1001" s="4"/>
    </row>
    <row r="1002" spans="27:27" x14ac:dyDescent="0.3">
      <c r="AA1002" s="4"/>
    </row>
    <row r="1003" spans="27:27" x14ac:dyDescent="0.3">
      <c r="AA1003" s="4"/>
    </row>
    <row r="1004" spans="27:27" x14ac:dyDescent="0.3">
      <c r="AA1004" s="4"/>
    </row>
    <row r="1005" spans="27:27" x14ac:dyDescent="0.3">
      <c r="AA1005" s="4"/>
    </row>
    <row r="1006" spans="27:27" x14ac:dyDescent="0.3">
      <c r="AA1006" s="4"/>
    </row>
    <row r="1007" spans="27:27" x14ac:dyDescent="0.3">
      <c r="AA1007" s="4"/>
    </row>
    <row r="1008" spans="27:27" x14ac:dyDescent="0.3">
      <c r="AA1008" s="4"/>
    </row>
    <row r="1009" spans="27:27" x14ac:dyDescent="0.3">
      <c r="AA1009" s="4"/>
    </row>
    <row r="1010" spans="27:27" x14ac:dyDescent="0.3">
      <c r="AA1010" s="4"/>
    </row>
  </sheetData>
  <mergeCells count="9">
    <mergeCell ref="B138:B203"/>
    <mergeCell ref="C138:AA138"/>
    <mergeCell ref="C190:AA190"/>
    <mergeCell ref="C2:AA2"/>
    <mergeCell ref="C54:AA54"/>
    <mergeCell ref="B2:B67"/>
    <mergeCell ref="B70:B135"/>
    <mergeCell ref="C70:AA70"/>
    <mergeCell ref="C122:AA122"/>
  </mergeCells>
  <pageMargins left="0.51181102362204722" right="0.51181102362204722" top="0.78740157480314965" bottom="0.78740157480314965" header="0.31496062992125984" footer="0.31496062992125984"/>
  <pageSetup paperSize="9" scale="23" orientation="landscape" horizontalDpi="4294967295" verticalDpi="4294967295" r:id="rId1"/>
  <colBreaks count="5" manualBreakCount="5">
    <brk id="28" max="47" man="1"/>
    <brk id="34" max="47" man="1"/>
    <brk id="51" max="47" man="1"/>
    <brk id="103" max="47" man="1"/>
    <brk id="144" max="47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  <pageSetUpPr fitToPage="1"/>
  </sheetPr>
  <dimension ref="B1:XCN1010"/>
  <sheetViews>
    <sheetView showGridLines="0" zoomScale="55" zoomScaleNormal="55" zoomScaleSheetLayoutView="85" workbookViewId="0">
      <selection activeCell="D41" sqref="D41"/>
    </sheetView>
  </sheetViews>
  <sheetFormatPr defaultRowHeight="16.5" outlineLevelRow="1" x14ac:dyDescent="0.3"/>
  <cols>
    <col min="1" max="1" width="9" style="1"/>
    <col min="2" max="2" width="9.125" style="1" customWidth="1"/>
    <col min="3" max="3" width="39.25" style="1" bestFit="1" customWidth="1"/>
    <col min="4" max="27" width="13.25" style="1" customWidth="1"/>
    <col min="28" max="28" width="6.625" style="1" customWidth="1"/>
    <col min="29" max="29" width="18.75" style="1" bestFit="1" customWidth="1"/>
    <col min="30" max="31" width="11.25" style="1" customWidth="1"/>
    <col min="32" max="32" width="25.375" style="1" bestFit="1" customWidth="1"/>
    <col min="33" max="34" width="9" style="1"/>
    <col min="35" max="35" width="43.25" style="1" bestFit="1" customWidth="1"/>
    <col min="36" max="36" width="10.625" style="1" bestFit="1" customWidth="1"/>
    <col min="37" max="16384" width="9" style="1"/>
  </cols>
  <sheetData>
    <row r="1" spans="2:36 16314:16316" ht="21" customHeight="1" thickBot="1" x14ac:dyDescent="0.35">
      <c r="D1" s="2" t="str">
        <f>$D$2&amp;D3</f>
        <v>43101</v>
      </c>
      <c r="E1" s="2" t="str">
        <f t="shared" ref="E1:I1" si="0">$D$2&amp;E3</f>
        <v>43133</v>
      </c>
      <c r="F1" s="2" t="str">
        <f t="shared" si="0"/>
        <v>43165</v>
      </c>
      <c r="G1" s="2" t="str">
        <f t="shared" si="0"/>
        <v>43197</v>
      </c>
      <c r="H1" s="2" t="str">
        <f t="shared" si="0"/>
        <v>43229</v>
      </c>
      <c r="I1" s="2" t="str">
        <f t="shared" si="0"/>
        <v>43261</v>
      </c>
      <c r="AA1" s="3">
        <v>4</v>
      </c>
      <c r="AE1" s="4">
        <f>IF(SUM(D12:D13)&gt;D45,D45,IF(SUM(D12:D13)&lt;D46,D46,SUM(D12:D13)))</f>
        <v>4.2</v>
      </c>
      <c r="AF1" s="1" t="s">
        <v>2</v>
      </c>
    </row>
    <row r="2" spans="2:36 16314:16316" ht="62.25" customHeight="1" x14ac:dyDescent="0.3">
      <c r="B2" s="177" t="s">
        <v>130</v>
      </c>
      <c r="C2" s="170" t="s">
        <v>100</v>
      </c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1"/>
      <c r="AC2" s="5"/>
    </row>
    <row r="3" spans="2:36 16314:16316" ht="25.5" customHeight="1" x14ac:dyDescent="0.3">
      <c r="B3" s="178"/>
      <c r="C3" s="128" t="s">
        <v>3</v>
      </c>
      <c r="D3" s="7">
        <v>43101</v>
      </c>
      <c r="E3" s="7">
        <v>43133</v>
      </c>
      <c r="F3" s="7">
        <v>43165</v>
      </c>
      <c r="G3" s="7">
        <v>43197</v>
      </c>
      <c r="H3" s="7">
        <v>43229</v>
      </c>
      <c r="I3" s="7">
        <v>43261</v>
      </c>
      <c r="J3" s="7">
        <v>43293</v>
      </c>
      <c r="K3" s="7">
        <v>43325</v>
      </c>
      <c r="L3" s="7">
        <v>43357</v>
      </c>
      <c r="M3" s="7">
        <v>43389</v>
      </c>
      <c r="N3" s="7">
        <v>43421</v>
      </c>
      <c r="O3" s="7">
        <v>43453</v>
      </c>
      <c r="P3" s="7">
        <v>43485</v>
      </c>
      <c r="Q3" s="7">
        <v>43517</v>
      </c>
      <c r="R3" s="7">
        <v>43549</v>
      </c>
      <c r="S3" s="7">
        <v>43581</v>
      </c>
      <c r="T3" s="7">
        <v>43613</v>
      </c>
      <c r="U3" s="7">
        <v>43645</v>
      </c>
      <c r="V3" s="7">
        <v>43677</v>
      </c>
      <c r="W3" s="7">
        <v>43709</v>
      </c>
      <c r="X3" s="7">
        <v>43741</v>
      </c>
      <c r="Y3" s="7">
        <v>43773</v>
      </c>
      <c r="Z3" s="7">
        <v>43805</v>
      </c>
      <c r="AA3" s="7">
        <v>43806</v>
      </c>
      <c r="XCL3" s="4">
        <v>2</v>
      </c>
      <c r="XCM3" s="4">
        <v>672</v>
      </c>
      <c r="XCN3" s="4">
        <f t="shared" ref="XCN3:XCN16" si="1">XCM3/24</f>
        <v>28</v>
      </c>
    </row>
    <row r="4" spans="2:36 16314:16316" ht="25.5" customHeight="1" x14ac:dyDescent="0.3">
      <c r="B4" s="178"/>
      <c r="C4" s="128" t="s">
        <v>4</v>
      </c>
      <c r="D4" s="6">
        <v>744</v>
      </c>
      <c r="E4" s="6">
        <v>696</v>
      </c>
      <c r="F4" s="6">
        <v>744</v>
      </c>
      <c r="G4" s="6">
        <v>720</v>
      </c>
      <c r="H4" s="6">
        <v>744</v>
      </c>
      <c r="I4" s="6">
        <v>720</v>
      </c>
      <c r="J4" s="6">
        <v>744</v>
      </c>
      <c r="K4" s="6">
        <v>744</v>
      </c>
      <c r="L4" s="6">
        <v>720</v>
      </c>
      <c r="M4" s="6">
        <v>744</v>
      </c>
      <c r="N4" s="6">
        <v>720</v>
      </c>
      <c r="O4" s="6">
        <v>744</v>
      </c>
      <c r="P4" s="6">
        <v>744</v>
      </c>
      <c r="Q4" s="6">
        <v>672</v>
      </c>
      <c r="R4" s="6">
        <v>744</v>
      </c>
      <c r="S4" s="6">
        <v>720</v>
      </c>
      <c r="T4" s="6">
        <v>744</v>
      </c>
      <c r="U4" s="6">
        <v>720</v>
      </c>
      <c r="V4" s="6">
        <v>744</v>
      </c>
      <c r="W4" s="6">
        <v>744</v>
      </c>
      <c r="X4" s="6">
        <v>720</v>
      </c>
      <c r="Y4" s="6">
        <v>744</v>
      </c>
      <c r="Z4" s="6">
        <v>720</v>
      </c>
      <c r="AA4" s="6">
        <v>744</v>
      </c>
      <c r="XCL4" s="4"/>
      <c r="XCM4" s="4"/>
      <c r="XCN4" s="4"/>
    </row>
    <row r="5" spans="2:36 16314:16316" ht="9.75" customHeight="1" x14ac:dyDescent="0.3">
      <c r="B5" s="178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8"/>
      <c r="XCL5" s="4"/>
      <c r="XCM5" s="4"/>
      <c r="XCN5" s="4"/>
    </row>
    <row r="6" spans="2:36 16314:16316" x14ac:dyDescent="0.3">
      <c r="B6" s="178"/>
      <c r="C6" s="129" t="s">
        <v>5</v>
      </c>
      <c r="D6" s="43">
        <v>21</v>
      </c>
      <c r="E6" s="43">
        <v>0</v>
      </c>
      <c r="F6" s="43">
        <v>0</v>
      </c>
      <c r="G6" s="43">
        <v>0</v>
      </c>
      <c r="H6" s="43">
        <v>21</v>
      </c>
      <c r="I6" s="43">
        <v>21</v>
      </c>
      <c r="J6" s="43">
        <v>21</v>
      </c>
      <c r="K6" s="43">
        <v>21</v>
      </c>
      <c r="L6" s="43">
        <v>21</v>
      </c>
      <c r="M6" s="43">
        <v>21</v>
      </c>
      <c r="N6" s="43">
        <v>21</v>
      </c>
      <c r="O6" s="43">
        <v>21</v>
      </c>
      <c r="P6" s="110">
        <v>21</v>
      </c>
      <c r="Q6" s="110">
        <v>0</v>
      </c>
      <c r="R6" s="110">
        <v>21</v>
      </c>
      <c r="S6" s="110">
        <v>21</v>
      </c>
      <c r="T6" s="110">
        <v>21</v>
      </c>
      <c r="U6" s="110">
        <v>21</v>
      </c>
      <c r="V6" s="110">
        <v>21</v>
      </c>
      <c r="W6" s="110">
        <v>21</v>
      </c>
      <c r="X6" s="110">
        <v>21</v>
      </c>
      <c r="Y6" s="110">
        <v>21</v>
      </c>
      <c r="Z6" s="110">
        <v>21</v>
      </c>
      <c r="AA6" s="110">
        <v>21</v>
      </c>
      <c r="AB6" s="2"/>
      <c r="AC6" s="94" t="s">
        <v>92</v>
      </c>
      <c r="AD6" s="96" t="s">
        <v>96</v>
      </c>
      <c r="AE6" s="94" t="s">
        <v>97</v>
      </c>
      <c r="AF6" s="104" t="s">
        <v>108</v>
      </c>
      <c r="AI6" s="94" t="s">
        <v>124</v>
      </c>
      <c r="AJ6" s="135">
        <f>AC64</f>
        <v>285621.85147058824</v>
      </c>
      <c r="XCL6" s="4">
        <v>3</v>
      </c>
      <c r="XCM6" s="4">
        <v>744</v>
      </c>
      <c r="XCN6" s="4">
        <f t="shared" si="1"/>
        <v>31</v>
      </c>
    </row>
    <row r="7" spans="2:36 16314:16316" x14ac:dyDescent="0.3">
      <c r="B7" s="178"/>
      <c r="C7" s="129" t="s">
        <v>41</v>
      </c>
      <c r="D7" s="18">
        <v>21</v>
      </c>
      <c r="E7" s="18">
        <v>21</v>
      </c>
      <c r="F7" s="18">
        <v>21</v>
      </c>
      <c r="G7" s="18">
        <v>21</v>
      </c>
      <c r="H7" s="18">
        <v>21</v>
      </c>
      <c r="I7" s="18">
        <v>21</v>
      </c>
      <c r="J7" s="18">
        <v>21</v>
      </c>
      <c r="K7" s="18">
        <v>21</v>
      </c>
      <c r="L7" s="18">
        <v>21</v>
      </c>
      <c r="M7" s="18">
        <v>21</v>
      </c>
      <c r="N7" s="18">
        <v>42</v>
      </c>
      <c r="O7" s="18">
        <v>21</v>
      </c>
      <c r="P7" s="111">
        <v>21</v>
      </c>
      <c r="Q7" s="111">
        <v>21</v>
      </c>
      <c r="R7" s="111">
        <v>21</v>
      </c>
      <c r="S7" s="111">
        <v>21</v>
      </c>
      <c r="T7" s="111">
        <v>21</v>
      </c>
      <c r="U7" s="111">
        <v>21</v>
      </c>
      <c r="V7" s="111">
        <v>21</v>
      </c>
      <c r="W7" s="111">
        <v>21</v>
      </c>
      <c r="X7" s="111">
        <v>21</v>
      </c>
      <c r="Y7" s="111">
        <v>21</v>
      </c>
      <c r="Z7" s="111">
        <v>21</v>
      </c>
      <c r="AA7" s="111">
        <v>21</v>
      </c>
      <c r="AB7" s="2"/>
      <c r="AC7" s="94" t="s">
        <v>93</v>
      </c>
      <c r="AD7" s="95">
        <v>0</v>
      </c>
      <c r="AE7" s="96">
        <v>175</v>
      </c>
      <c r="AF7" s="104">
        <v>13.43</v>
      </c>
      <c r="AJ7" s="137"/>
      <c r="XCL7" s="4">
        <v>4</v>
      </c>
      <c r="XCM7" s="4">
        <v>720</v>
      </c>
      <c r="XCN7" s="4">
        <f t="shared" si="1"/>
        <v>30</v>
      </c>
    </row>
    <row r="8" spans="2:36 16314:16316" x14ac:dyDescent="0.3">
      <c r="B8" s="178"/>
      <c r="C8" s="129" t="s">
        <v>6</v>
      </c>
      <c r="D8" s="13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3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2"/>
      <c r="AC8" s="94" t="s">
        <v>94</v>
      </c>
      <c r="AD8" s="95">
        <v>0.5</v>
      </c>
      <c r="AE8" s="96">
        <v>220</v>
      </c>
      <c r="AF8" s="104">
        <v>41.69</v>
      </c>
      <c r="AI8" s="94" t="s">
        <v>127</v>
      </c>
      <c r="AJ8" s="135">
        <f>AC52</f>
        <v>259284.53535455282</v>
      </c>
      <c r="XCL8" s="4">
        <v>5</v>
      </c>
      <c r="XCM8" s="4">
        <v>744</v>
      </c>
      <c r="XCN8" s="4">
        <f t="shared" si="1"/>
        <v>31</v>
      </c>
    </row>
    <row r="9" spans="2:36 16314:16316" x14ac:dyDescent="0.3">
      <c r="B9" s="178"/>
      <c r="C9" s="129" t="s">
        <v>7</v>
      </c>
      <c r="D9" s="122">
        <v>250</v>
      </c>
      <c r="E9" s="122">
        <v>250</v>
      </c>
      <c r="F9" s="122">
        <v>250</v>
      </c>
      <c r="G9" s="122">
        <v>250</v>
      </c>
      <c r="H9" s="122">
        <v>250</v>
      </c>
      <c r="I9" s="122">
        <v>250</v>
      </c>
      <c r="J9" s="122">
        <v>250</v>
      </c>
      <c r="K9" s="122">
        <v>250</v>
      </c>
      <c r="L9" s="122">
        <v>250</v>
      </c>
      <c r="M9" s="122">
        <v>250</v>
      </c>
      <c r="N9" s="122">
        <v>250</v>
      </c>
      <c r="O9" s="122">
        <v>250</v>
      </c>
      <c r="P9" s="112">
        <v>250</v>
      </c>
      <c r="Q9" s="112">
        <v>250</v>
      </c>
      <c r="R9" s="112">
        <v>250</v>
      </c>
      <c r="S9" s="112">
        <v>250</v>
      </c>
      <c r="T9" s="112">
        <v>250</v>
      </c>
      <c r="U9" s="112">
        <v>250</v>
      </c>
      <c r="V9" s="112">
        <v>250</v>
      </c>
      <c r="W9" s="112">
        <v>250</v>
      </c>
      <c r="X9" s="112">
        <v>250</v>
      </c>
      <c r="Y9" s="112">
        <v>250</v>
      </c>
      <c r="Z9" s="112">
        <v>250</v>
      </c>
      <c r="AA9" s="112">
        <v>250</v>
      </c>
      <c r="AB9" s="2"/>
      <c r="AC9" s="94" t="s">
        <v>95</v>
      </c>
      <c r="AD9" s="95">
        <v>1</v>
      </c>
      <c r="AE9" s="96">
        <v>310</v>
      </c>
      <c r="AF9" s="104">
        <v>62.43</v>
      </c>
      <c r="AI9" s="94" t="s">
        <v>125</v>
      </c>
      <c r="AJ9" s="136">
        <f>(AJ6-AJ8)/AJ6</f>
        <v>9.2210438313566817E-2</v>
      </c>
      <c r="XCL9" s="4">
        <v>6</v>
      </c>
      <c r="XCM9" s="4">
        <v>720</v>
      </c>
      <c r="XCN9" s="4">
        <f t="shared" si="1"/>
        <v>30</v>
      </c>
    </row>
    <row r="10" spans="2:36 16314:16316" x14ac:dyDescent="0.3">
      <c r="B10" s="178"/>
      <c r="C10" s="129" t="s">
        <v>8</v>
      </c>
      <c r="D10" s="16">
        <f t="shared" ref="D10:AA10" si="2">IF(D19="Verde",0,IF(D6&gt;D8*1.05,D6-D8,0))</f>
        <v>0</v>
      </c>
      <c r="E10" s="16">
        <f t="shared" si="2"/>
        <v>0</v>
      </c>
      <c r="F10" s="16">
        <f t="shared" si="2"/>
        <v>0</v>
      </c>
      <c r="G10" s="16">
        <f t="shared" si="2"/>
        <v>0</v>
      </c>
      <c r="H10" s="16">
        <f t="shared" si="2"/>
        <v>0</v>
      </c>
      <c r="I10" s="16">
        <f t="shared" si="2"/>
        <v>0</v>
      </c>
      <c r="J10" s="16">
        <f t="shared" si="2"/>
        <v>0</v>
      </c>
      <c r="K10" s="16">
        <f t="shared" si="2"/>
        <v>0</v>
      </c>
      <c r="L10" s="16">
        <f t="shared" si="2"/>
        <v>0</v>
      </c>
      <c r="M10" s="16">
        <f t="shared" si="2"/>
        <v>0</v>
      </c>
      <c r="N10" s="16">
        <f t="shared" si="2"/>
        <v>0</v>
      </c>
      <c r="O10" s="16">
        <f t="shared" si="2"/>
        <v>0</v>
      </c>
      <c r="P10" s="16">
        <f t="shared" si="2"/>
        <v>0</v>
      </c>
      <c r="Q10" s="16">
        <f t="shared" si="2"/>
        <v>0</v>
      </c>
      <c r="R10" s="16">
        <f t="shared" si="2"/>
        <v>0</v>
      </c>
      <c r="S10" s="16">
        <f t="shared" si="2"/>
        <v>0</v>
      </c>
      <c r="T10" s="16">
        <f t="shared" si="2"/>
        <v>0</v>
      </c>
      <c r="U10" s="16">
        <f t="shared" si="2"/>
        <v>0</v>
      </c>
      <c r="V10" s="16">
        <f t="shared" si="2"/>
        <v>0</v>
      </c>
      <c r="W10" s="16">
        <f t="shared" si="2"/>
        <v>0</v>
      </c>
      <c r="X10" s="16">
        <f t="shared" si="2"/>
        <v>0</v>
      </c>
      <c r="Y10" s="16">
        <f t="shared" si="2"/>
        <v>0</v>
      </c>
      <c r="Z10" s="16">
        <f t="shared" si="2"/>
        <v>0</v>
      </c>
      <c r="AA10" s="16">
        <f t="shared" si="2"/>
        <v>0</v>
      </c>
      <c r="AB10" s="2"/>
      <c r="XCL10" s="4">
        <v>7</v>
      </c>
      <c r="XCM10" s="4">
        <v>744</v>
      </c>
      <c r="XCN10" s="4">
        <f t="shared" si="1"/>
        <v>31</v>
      </c>
    </row>
    <row r="11" spans="2:36 16314:16316" x14ac:dyDescent="0.3">
      <c r="B11" s="178"/>
      <c r="C11" s="129" t="s">
        <v>9</v>
      </c>
      <c r="D11" s="18">
        <f t="shared" ref="D11:AA11" si="3">IF(D7&gt;D9*1.05,D7-D9,0)</f>
        <v>0</v>
      </c>
      <c r="E11" s="18">
        <f t="shared" si="3"/>
        <v>0</v>
      </c>
      <c r="F11" s="18">
        <f t="shared" si="3"/>
        <v>0</v>
      </c>
      <c r="G11" s="18">
        <f t="shared" si="3"/>
        <v>0</v>
      </c>
      <c r="H11" s="18">
        <f t="shared" si="3"/>
        <v>0</v>
      </c>
      <c r="I11" s="18">
        <f t="shared" si="3"/>
        <v>0</v>
      </c>
      <c r="J11" s="18">
        <f t="shared" si="3"/>
        <v>0</v>
      </c>
      <c r="K11" s="18">
        <f t="shared" si="3"/>
        <v>0</v>
      </c>
      <c r="L11" s="18">
        <f t="shared" si="3"/>
        <v>0</v>
      </c>
      <c r="M11" s="18">
        <f t="shared" si="3"/>
        <v>0</v>
      </c>
      <c r="N11" s="18">
        <f t="shared" si="3"/>
        <v>0</v>
      </c>
      <c r="O11" s="18">
        <f t="shared" si="3"/>
        <v>0</v>
      </c>
      <c r="P11" s="18">
        <f t="shared" si="3"/>
        <v>0</v>
      </c>
      <c r="Q11" s="18">
        <f t="shared" si="3"/>
        <v>0</v>
      </c>
      <c r="R11" s="18">
        <f t="shared" si="3"/>
        <v>0</v>
      </c>
      <c r="S11" s="18">
        <f t="shared" si="3"/>
        <v>0</v>
      </c>
      <c r="T11" s="18">
        <f t="shared" si="3"/>
        <v>0</v>
      </c>
      <c r="U11" s="18">
        <f t="shared" si="3"/>
        <v>0</v>
      </c>
      <c r="V11" s="18">
        <f t="shared" si="3"/>
        <v>0</v>
      </c>
      <c r="W11" s="18">
        <f t="shared" si="3"/>
        <v>0</v>
      </c>
      <c r="X11" s="18">
        <f t="shared" si="3"/>
        <v>0</v>
      </c>
      <c r="Y11" s="18">
        <f t="shared" si="3"/>
        <v>0</v>
      </c>
      <c r="Z11" s="18">
        <f t="shared" si="3"/>
        <v>0</v>
      </c>
      <c r="AA11" s="18">
        <f t="shared" si="3"/>
        <v>0</v>
      </c>
      <c r="AB11" s="1" t="s">
        <v>43</v>
      </c>
      <c r="AI11" s="94" t="s">
        <v>123</v>
      </c>
      <c r="AJ11" s="135">
        <f>AC120</f>
        <v>203364.88078605966</v>
      </c>
      <c r="XCL11" s="4">
        <v>8</v>
      </c>
      <c r="XCM11" s="4">
        <v>744</v>
      </c>
      <c r="XCN11" s="4">
        <f t="shared" si="1"/>
        <v>31</v>
      </c>
    </row>
    <row r="12" spans="2:36 16314:16316" x14ac:dyDescent="0.3">
      <c r="B12" s="178"/>
      <c r="C12" s="129" t="s">
        <v>10</v>
      </c>
      <c r="D12" s="43">
        <v>0</v>
      </c>
      <c r="E12" s="43">
        <v>0</v>
      </c>
      <c r="F12" s="43">
        <v>2.1</v>
      </c>
      <c r="G12" s="43">
        <v>0</v>
      </c>
      <c r="H12" s="43">
        <v>0</v>
      </c>
      <c r="I12" s="43">
        <v>0</v>
      </c>
      <c r="J12" s="43">
        <v>2.1</v>
      </c>
      <c r="K12" s="43">
        <v>0</v>
      </c>
      <c r="L12" s="43">
        <v>0</v>
      </c>
      <c r="M12" s="43">
        <v>2.1</v>
      </c>
      <c r="N12" s="43">
        <v>0</v>
      </c>
      <c r="O12" s="43">
        <v>0</v>
      </c>
      <c r="P12" s="110">
        <f>2100/1000</f>
        <v>2.1</v>
      </c>
      <c r="Q12" s="113">
        <v>0</v>
      </c>
      <c r="R12" s="113">
        <v>0</v>
      </c>
      <c r="S12" s="113">
        <v>0</v>
      </c>
      <c r="T12" s="110">
        <f>2100/1000</f>
        <v>2.1</v>
      </c>
      <c r="U12" s="113">
        <v>0</v>
      </c>
      <c r="V12" s="110">
        <f>2100/1000</f>
        <v>2.1</v>
      </c>
      <c r="W12" s="113">
        <v>0</v>
      </c>
      <c r="X12" s="113">
        <v>0</v>
      </c>
      <c r="Y12" s="110">
        <f>2100/1000</f>
        <v>2.1</v>
      </c>
      <c r="Z12" s="113">
        <v>0</v>
      </c>
      <c r="AA12" s="113">
        <v>0</v>
      </c>
      <c r="AB12" s="2"/>
      <c r="AI12" s="94" t="s">
        <v>125</v>
      </c>
      <c r="AJ12" s="136">
        <f>(AJ6-AJ11)/AJ6</f>
        <v>0.28799256870932705</v>
      </c>
      <c r="XCL12" s="4">
        <v>9</v>
      </c>
      <c r="XCM12" s="4">
        <v>720</v>
      </c>
      <c r="XCN12" s="4">
        <f t="shared" si="1"/>
        <v>30</v>
      </c>
    </row>
    <row r="13" spans="2:36 16314:16316" x14ac:dyDescent="0.3">
      <c r="B13" s="178"/>
      <c r="C13" s="129" t="s">
        <v>11</v>
      </c>
      <c r="D13" s="18">
        <v>4.2</v>
      </c>
      <c r="E13" s="18">
        <v>4.2</v>
      </c>
      <c r="F13" s="18">
        <v>6.3</v>
      </c>
      <c r="G13" s="18">
        <v>4.2</v>
      </c>
      <c r="H13" s="18">
        <v>6.3</v>
      </c>
      <c r="I13" s="18">
        <v>6.3</v>
      </c>
      <c r="J13" s="18">
        <v>6.3</v>
      </c>
      <c r="K13" s="18">
        <v>6.3</v>
      </c>
      <c r="L13" s="18">
        <v>8.4</v>
      </c>
      <c r="M13" s="18">
        <v>6.3</v>
      </c>
      <c r="N13" s="18">
        <v>8.4</v>
      </c>
      <c r="O13" s="18">
        <v>8.4</v>
      </c>
      <c r="P13" s="111">
        <f>6300/1000</f>
        <v>6.3</v>
      </c>
      <c r="Q13" s="111">
        <f t="shared" ref="Q13:T13" si="4">6300/1000</f>
        <v>6.3</v>
      </c>
      <c r="R13" s="111">
        <f t="shared" si="4"/>
        <v>6.3</v>
      </c>
      <c r="S13" s="111">
        <f t="shared" si="4"/>
        <v>6.3</v>
      </c>
      <c r="T13" s="111">
        <f t="shared" si="4"/>
        <v>6.3</v>
      </c>
      <c r="U13" s="111">
        <f>8400/1000</f>
        <v>8.4</v>
      </c>
      <c r="V13" s="111">
        <f t="shared" ref="V13:Y13" si="5">8400/1000</f>
        <v>8.4</v>
      </c>
      <c r="W13" s="111">
        <f t="shared" si="5"/>
        <v>8.4</v>
      </c>
      <c r="X13" s="111">
        <f t="shared" ref="X13" si="6">6300/1000</f>
        <v>6.3</v>
      </c>
      <c r="Y13" s="111">
        <f t="shared" si="5"/>
        <v>8.4</v>
      </c>
      <c r="Z13" s="111">
        <f t="shared" ref="Z13" si="7">6300/1000</f>
        <v>6.3</v>
      </c>
      <c r="AA13" s="111">
        <f>6400/1000</f>
        <v>6.4</v>
      </c>
      <c r="AB13" s="2"/>
      <c r="AC13" s="1" t="s">
        <v>45</v>
      </c>
      <c r="AD13" s="1">
        <f>SUM(P12:AA13)/SUM(P4:AA4)</f>
        <v>1.0559360730593607E-2</v>
      </c>
      <c r="AF13" s="1">
        <v>145</v>
      </c>
      <c r="AJ13" s="137"/>
      <c r="XCL13" s="4">
        <v>10</v>
      </c>
      <c r="XCM13" s="4">
        <v>744</v>
      </c>
      <c r="XCN13" s="4">
        <f t="shared" si="1"/>
        <v>31</v>
      </c>
    </row>
    <row r="14" spans="2:36 16314:16316" x14ac:dyDescent="0.3">
      <c r="B14" s="178"/>
      <c r="C14" s="129" t="s">
        <v>0</v>
      </c>
      <c r="D14" s="19" t="s">
        <v>44</v>
      </c>
      <c r="E14" s="20" t="s">
        <v>44</v>
      </c>
      <c r="F14" s="20" t="s">
        <v>44</v>
      </c>
      <c r="G14" s="20" t="s">
        <v>44</v>
      </c>
      <c r="H14" s="20" t="s">
        <v>44</v>
      </c>
      <c r="I14" s="20" t="s">
        <v>44</v>
      </c>
      <c r="J14" s="19" t="s">
        <v>44</v>
      </c>
      <c r="K14" s="20" t="s">
        <v>44</v>
      </c>
      <c r="L14" s="20" t="s">
        <v>44</v>
      </c>
      <c r="M14" s="20" t="s">
        <v>44</v>
      </c>
      <c r="N14" s="20" t="s">
        <v>44</v>
      </c>
      <c r="O14" s="20" t="s">
        <v>44</v>
      </c>
      <c r="P14" s="20" t="s">
        <v>44</v>
      </c>
      <c r="Q14" s="20" t="s">
        <v>44</v>
      </c>
      <c r="R14" s="20" t="s">
        <v>44</v>
      </c>
      <c r="S14" s="20" t="s">
        <v>44</v>
      </c>
      <c r="T14" s="20" t="s">
        <v>44</v>
      </c>
      <c r="U14" s="20" t="s">
        <v>44</v>
      </c>
      <c r="V14" s="20" t="s">
        <v>44</v>
      </c>
      <c r="W14" s="20" t="s">
        <v>44</v>
      </c>
      <c r="X14" s="20" t="s">
        <v>44</v>
      </c>
      <c r="Y14" s="20" t="s">
        <v>44</v>
      </c>
      <c r="Z14" s="20" t="s">
        <v>44</v>
      </c>
      <c r="AA14" s="20" t="s">
        <v>44</v>
      </c>
      <c r="AB14" s="2"/>
      <c r="AC14" s="1" t="s">
        <v>91</v>
      </c>
      <c r="AD14" s="93">
        <f>SUM(P12:AA12)/SUM(P12:AA13)</f>
        <v>9.0810810810810813E-2</v>
      </c>
      <c r="AF14" s="1">
        <v>17.64</v>
      </c>
      <c r="AI14" s="94" t="s">
        <v>126</v>
      </c>
      <c r="AJ14" s="135">
        <f>AC188</f>
        <v>158195.91114907333</v>
      </c>
      <c r="XCL14" s="4"/>
      <c r="XCM14" s="4"/>
      <c r="XCN14" s="4"/>
    </row>
    <row r="15" spans="2:36 16314:16316" ht="12" customHeight="1" x14ac:dyDescent="0.3">
      <c r="B15" s="178"/>
      <c r="C15" s="107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8"/>
      <c r="AD15" s="1">
        <v>0.12392200974878137</v>
      </c>
      <c r="AF15" s="1">
        <f>AF13+AF14</f>
        <v>162.63999999999999</v>
      </c>
      <c r="AI15" s="94" t="s">
        <v>125</v>
      </c>
      <c r="AJ15" s="136">
        <f>(AJ6-AJ14)/AJ6</f>
        <v>0.44613512469523547</v>
      </c>
      <c r="XCL15" s="4">
        <v>11</v>
      </c>
      <c r="XCM15" s="4">
        <v>720</v>
      </c>
      <c r="XCN15" s="4">
        <f t="shared" si="1"/>
        <v>30</v>
      </c>
    </row>
    <row r="16" spans="2:36 16314:16316" x14ac:dyDescent="0.3">
      <c r="B16" s="178"/>
      <c r="C16" s="129" t="s">
        <v>12</v>
      </c>
      <c r="D16" s="126">
        <f>'SIMULAÇÃO CENÁRIOS'!$D$6</f>
        <v>0</v>
      </c>
      <c r="E16" s="126">
        <f>'SIMULAÇÃO CENÁRIOS'!$D$6</f>
        <v>0</v>
      </c>
      <c r="F16" s="126">
        <f>'SIMULAÇÃO CENÁRIOS'!$D$6</f>
        <v>0</v>
      </c>
      <c r="G16" s="126">
        <f>'SIMULAÇÃO CENÁRIOS'!$D$6</f>
        <v>0</v>
      </c>
      <c r="H16" s="126">
        <f>'SIMULAÇÃO CENÁRIOS'!$D$6</f>
        <v>0</v>
      </c>
      <c r="I16" s="126">
        <f>'SIMULAÇÃO CENÁRIOS'!$D$6</f>
        <v>0</v>
      </c>
      <c r="J16" s="126">
        <f>'SIMULAÇÃO CENÁRIOS'!$D$6</f>
        <v>0</v>
      </c>
      <c r="K16" s="126">
        <f>'SIMULAÇÃO CENÁRIOS'!$D$6</f>
        <v>0</v>
      </c>
      <c r="L16" s="126">
        <f>'SIMULAÇÃO CENÁRIOS'!$D$6</f>
        <v>0</v>
      </c>
      <c r="M16" s="126">
        <f>'SIMULAÇÃO CENÁRIOS'!$D$6</f>
        <v>0</v>
      </c>
      <c r="N16" s="126">
        <f>'SIMULAÇÃO CENÁRIOS'!$D$6</f>
        <v>0</v>
      </c>
      <c r="O16" s="126">
        <f>'SIMULAÇÃO CENÁRIOS'!$D$6</f>
        <v>0</v>
      </c>
      <c r="P16" s="126">
        <f>'SIMULAÇÃO CENÁRIOS'!$D$6</f>
        <v>0</v>
      </c>
      <c r="Q16" s="126">
        <f>'SIMULAÇÃO CENÁRIOS'!$D$6</f>
        <v>0</v>
      </c>
      <c r="R16" s="126">
        <f>'SIMULAÇÃO CENÁRIOS'!$D$6</f>
        <v>0</v>
      </c>
      <c r="S16" s="126">
        <f>'SIMULAÇÃO CENÁRIOS'!$D$6</f>
        <v>0</v>
      </c>
      <c r="T16" s="126">
        <f>'SIMULAÇÃO CENÁRIOS'!$D$6</f>
        <v>0</v>
      </c>
      <c r="U16" s="126">
        <f>'SIMULAÇÃO CENÁRIOS'!$D$6</f>
        <v>0</v>
      </c>
      <c r="V16" s="126">
        <f>'SIMULAÇÃO CENÁRIOS'!$D$6</f>
        <v>0</v>
      </c>
      <c r="W16" s="126">
        <f>'SIMULAÇÃO CENÁRIOS'!$D$6</f>
        <v>0</v>
      </c>
      <c r="X16" s="126">
        <f>'SIMULAÇÃO CENÁRIOS'!$D$6</f>
        <v>0</v>
      </c>
      <c r="Y16" s="126">
        <f>'SIMULAÇÃO CENÁRIOS'!$D$6</f>
        <v>0</v>
      </c>
      <c r="Z16" s="126">
        <f>'SIMULAÇÃO CENÁRIOS'!$D$6</f>
        <v>0</v>
      </c>
      <c r="AA16" s="126">
        <f>'SIMULAÇÃO CENÁRIOS'!$D$6</f>
        <v>0</v>
      </c>
      <c r="XCL16" s="4">
        <v>12</v>
      </c>
      <c r="XCM16" s="4">
        <v>744</v>
      </c>
      <c r="XCN16" s="4">
        <f t="shared" si="1"/>
        <v>31</v>
      </c>
    </row>
    <row r="17" spans="2:32" ht="9.75" customHeight="1" x14ac:dyDescent="0.3">
      <c r="B17" s="178"/>
      <c r="C17" s="107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8"/>
    </row>
    <row r="18" spans="2:32" ht="18.75" customHeight="1" x14ac:dyDescent="0.3">
      <c r="B18" s="178"/>
      <c r="C18" s="129" t="s">
        <v>13</v>
      </c>
      <c r="D18" s="9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9" t="s">
        <v>1</v>
      </c>
      <c r="K18" s="10" t="s">
        <v>1</v>
      </c>
      <c r="L18" s="10" t="s">
        <v>1</v>
      </c>
      <c r="M18" s="10" t="s">
        <v>1</v>
      </c>
      <c r="N18" s="10" t="s">
        <v>1</v>
      </c>
      <c r="O18" s="10" t="s">
        <v>1</v>
      </c>
      <c r="P18" s="9" t="s">
        <v>1</v>
      </c>
      <c r="Q18" s="9" t="s">
        <v>1</v>
      </c>
      <c r="R18" s="9" t="s">
        <v>1</v>
      </c>
      <c r="S18" s="9" t="s">
        <v>1</v>
      </c>
      <c r="T18" s="9" t="s">
        <v>1</v>
      </c>
      <c r="U18" s="9" t="s">
        <v>1</v>
      </c>
      <c r="V18" s="9" t="s">
        <v>1</v>
      </c>
      <c r="W18" s="9" t="s">
        <v>1</v>
      </c>
      <c r="X18" s="9" t="s">
        <v>1</v>
      </c>
      <c r="Y18" s="9" t="s">
        <v>1</v>
      </c>
      <c r="Z18" s="9" t="s">
        <v>1</v>
      </c>
      <c r="AA18" s="9" t="s">
        <v>1</v>
      </c>
      <c r="AF18" s="92">
        <f>AF15*1000</f>
        <v>162640</v>
      </c>
    </row>
    <row r="19" spans="2:32" x14ac:dyDescent="0.3">
      <c r="B19" s="178"/>
      <c r="C19" s="129" t="s">
        <v>14</v>
      </c>
      <c r="D19" s="11" t="s">
        <v>42</v>
      </c>
      <c r="E19" s="12" t="s">
        <v>42</v>
      </c>
      <c r="F19" s="12" t="s">
        <v>42</v>
      </c>
      <c r="G19" s="12" t="s">
        <v>42</v>
      </c>
      <c r="H19" s="12" t="s">
        <v>42</v>
      </c>
      <c r="I19" s="12" t="s">
        <v>42</v>
      </c>
      <c r="J19" s="11" t="s">
        <v>42</v>
      </c>
      <c r="K19" s="12" t="s">
        <v>42</v>
      </c>
      <c r="L19" s="12" t="s">
        <v>42</v>
      </c>
      <c r="M19" s="12" t="s">
        <v>42</v>
      </c>
      <c r="N19" s="12" t="s">
        <v>42</v>
      </c>
      <c r="O19" s="12" t="s">
        <v>42</v>
      </c>
      <c r="P19" s="12" t="s">
        <v>42</v>
      </c>
      <c r="Q19" s="12" t="s">
        <v>42</v>
      </c>
      <c r="R19" s="12" t="s">
        <v>42</v>
      </c>
      <c r="S19" s="12" t="s">
        <v>42</v>
      </c>
      <c r="T19" s="12" t="s">
        <v>42</v>
      </c>
      <c r="U19" s="12" t="s">
        <v>42</v>
      </c>
      <c r="V19" s="12" t="s">
        <v>42</v>
      </c>
      <c r="W19" s="12" t="s">
        <v>42</v>
      </c>
      <c r="X19" s="12" t="s">
        <v>42</v>
      </c>
      <c r="Y19" s="12" t="s">
        <v>42</v>
      </c>
      <c r="Z19" s="12" t="s">
        <v>42</v>
      </c>
      <c r="AA19" s="12" t="s">
        <v>42</v>
      </c>
      <c r="AF19" s="92">
        <f>AF18/100</f>
        <v>1626.4</v>
      </c>
    </row>
    <row r="20" spans="2:32" outlineLevel="1" x14ac:dyDescent="0.3">
      <c r="B20" s="178"/>
      <c r="C20" s="129" t="s">
        <v>15</v>
      </c>
      <c r="D20" s="13">
        <v>49.84</v>
      </c>
      <c r="E20" s="14">
        <v>49.84</v>
      </c>
      <c r="F20" s="14">
        <v>49.84</v>
      </c>
      <c r="G20" s="14">
        <v>49.84</v>
      </c>
      <c r="H20" s="14">
        <v>49.84</v>
      </c>
      <c r="I20" s="14">
        <v>49.84</v>
      </c>
      <c r="J20" s="13">
        <v>49.84</v>
      </c>
      <c r="K20" s="14">
        <v>49.84</v>
      </c>
      <c r="L20" s="14">
        <v>49.84</v>
      </c>
      <c r="M20" s="14">
        <v>49.84</v>
      </c>
      <c r="N20" s="14">
        <v>49.84</v>
      </c>
      <c r="O20" s="14">
        <v>49.84</v>
      </c>
      <c r="P20" s="14">
        <v>49.84</v>
      </c>
      <c r="Q20" s="14">
        <v>49.84</v>
      </c>
      <c r="R20" s="14">
        <v>49.84</v>
      </c>
      <c r="S20" s="14">
        <v>49.84</v>
      </c>
      <c r="T20" s="14">
        <v>49.84</v>
      </c>
      <c r="U20" s="14">
        <v>49.84</v>
      </c>
      <c r="V20" s="14">
        <v>49.84</v>
      </c>
      <c r="W20" s="14">
        <v>49.84</v>
      </c>
      <c r="X20" s="14">
        <v>49.84</v>
      </c>
      <c r="Y20" s="14">
        <v>49.84</v>
      </c>
      <c r="Z20" s="14">
        <v>49.84</v>
      </c>
      <c r="AA20" s="14">
        <v>49.84</v>
      </c>
      <c r="AF20" s="1">
        <f>AF19*1.343</f>
        <v>2184.2552000000001</v>
      </c>
    </row>
    <row r="21" spans="2:32" outlineLevel="1" x14ac:dyDescent="0.3">
      <c r="B21" s="178"/>
      <c r="C21" s="129" t="s">
        <v>16</v>
      </c>
      <c r="D21" s="11">
        <v>19.260000000000002</v>
      </c>
      <c r="E21" s="12">
        <v>19.260000000000002</v>
      </c>
      <c r="F21" s="12">
        <v>19.260000000000002</v>
      </c>
      <c r="G21" s="12">
        <v>19.260000000000002</v>
      </c>
      <c r="H21" s="12">
        <v>19.260000000000002</v>
      </c>
      <c r="I21" s="12">
        <v>19.260000000000002</v>
      </c>
      <c r="J21" s="11">
        <v>19.260000000000002</v>
      </c>
      <c r="K21" s="12">
        <v>19.260000000000002</v>
      </c>
      <c r="L21" s="12">
        <v>19.260000000000002</v>
      </c>
      <c r="M21" s="12">
        <v>19.260000000000002</v>
      </c>
      <c r="N21" s="12">
        <v>19.260000000000002</v>
      </c>
      <c r="O21" s="12">
        <v>19.260000000000002</v>
      </c>
      <c r="P21" s="12">
        <v>19.260000000000002</v>
      </c>
      <c r="Q21" s="12">
        <v>19.260000000000002</v>
      </c>
      <c r="R21" s="12">
        <v>19.260000000000002</v>
      </c>
      <c r="S21" s="12">
        <v>19.260000000000002</v>
      </c>
      <c r="T21" s="12">
        <v>19.260000000000002</v>
      </c>
      <c r="U21" s="12">
        <v>19.260000000000002</v>
      </c>
      <c r="V21" s="12">
        <v>19.260000000000002</v>
      </c>
      <c r="W21" s="12">
        <v>19.260000000000002</v>
      </c>
      <c r="X21" s="12">
        <v>19.260000000000002</v>
      </c>
      <c r="Y21" s="12">
        <v>19.260000000000002</v>
      </c>
      <c r="Z21" s="12">
        <v>19.260000000000002</v>
      </c>
      <c r="AA21" s="12">
        <v>19.260000000000002</v>
      </c>
    </row>
    <row r="22" spans="2:32" outlineLevel="1" x14ac:dyDescent="0.3">
      <c r="B22" s="178"/>
      <c r="C22" s="129" t="s">
        <v>17</v>
      </c>
      <c r="D22" s="15">
        <v>1292.96</v>
      </c>
      <c r="E22" s="16">
        <v>1292.96</v>
      </c>
      <c r="F22" s="16">
        <v>1292.96</v>
      </c>
      <c r="G22" s="16">
        <v>1292.96</v>
      </c>
      <c r="H22" s="16">
        <v>1292.96</v>
      </c>
      <c r="I22" s="16">
        <v>1292.96</v>
      </c>
      <c r="J22" s="15">
        <v>1292.96</v>
      </c>
      <c r="K22" s="16">
        <v>1292.96</v>
      </c>
      <c r="L22" s="16">
        <v>1292.96</v>
      </c>
      <c r="M22" s="16">
        <v>1292.96</v>
      </c>
      <c r="N22" s="16">
        <v>1292.96</v>
      </c>
      <c r="O22" s="16">
        <v>1292.96</v>
      </c>
      <c r="P22" s="16">
        <v>1292.96</v>
      </c>
      <c r="Q22" s="16">
        <v>1292.96</v>
      </c>
      <c r="R22" s="16">
        <v>1292.96</v>
      </c>
      <c r="S22" s="16">
        <v>1292.96</v>
      </c>
      <c r="T22" s="16">
        <v>1292.96</v>
      </c>
      <c r="U22" s="16">
        <v>1292.96</v>
      </c>
      <c r="V22" s="16">
        <v>1292.96</v>
      </c>
      <c r="W22" s="16">
        <v>1292.96</v>
      </c>
      <c r="X22" s="16">
        <v>1292.96</v>
      </c>
      <c r="Y22" s="16">
        <v>1292.96</v>
      </c>
      <c r="Z22" s="16">
        <v>1292.96</v>
      </c>
      <c r="AA22" s="16">
        <v>1292.96</v>
      </c>
    </row>
    <row r="23" spans="2:32" outlineLevel="1" x14ac:dyDescent="0.3">
      <c r="B23" s="178"/>
      <c r="C23" s="129" t="s">
        <v>18</v>
      </c>
      <c r="D23" s="17">
        <v>83.39</v>
      </c>
      <c r="E23" s="18">
        <v>83.39</v>
      </c>
      <c r="F23" s="18">
        <v>83.39</v>
      </c>
      <c r="G23" s="18">
        <v>83.39</v>
      </c>
      <c r="H23" s="18">
        <v>83.39</v>
      </c>
      <c r="I23" s="18">
        <v>83.39</v>
      </c>
      <c r="J23" s="17">
        <v>83.39</v>
      </c>
      <c r="K23" s="18">
        <v>83.39</v>
      </c>
      <c r="L23" s="18">
        <v>83.39</v>
      </c>
      <c r="M23" s="18">
        <v>83.39</v>
      </c>
      <c r="N23" s="18">
        <v>83.39</v>
      </c>
      <c r="O23" s="18">
        <v>83.39</v>
      </c>
      <c r="P23" s="18">
        <v>83.39</v>
      </c>
      <c r="Q23" s="18">
        <v>83.39</v>
      </c>
      <c r="R23" s="18">
        <v>83.39</v>
      </c>
      <c r="S23" s="18">
        <v>83.39</v>
      </c>
      <c r="T23" s="18">
        <v>83.39</v>
      </c>
      <c r="U23" s="18">
        <v>83.39</v>
      </c>
      <c r="V23" s="18">
        <v>83.39</v>
      </c>
      <c r="W23" s="18">
        <v>83.39</v>
      </c>
      <c r="X23" s="18">
        <v>83.39</v>
      </c>
      <c r="Y23" s="18">
        <v>83.39</v>
      </c>
      <c r="Z23" s="18">
        <v>83.39</v>
      </c>
      <c r="AA23" s="18">
        <v>83.39</v>
      </c>
    </row>
    <row r="24" spans="2:32" outlineLevel="1" x14ac:dyDescent="0.3">
      <c r="B24" s="178"/>
      <c r="C24" s="129" t="s">
        <v>19</v>
      </c>
      <c r="D24" s="15">
        <v>420.68</v>
      </c>
      <c r="E24" s="16">
        <v>420.68</v>
      </c>
      <c r="F24" s="16">
        <v>420.68</v>
      </c>
      <c r="G24" s="16">
        <v>420.68</v>
      </c>
      <c r="H24" s="16">
        <v>420.68</v>
      </c>
      <c r="I24" s="16">
        <v>420.68</v>
      </c>
      <c r="J24" s="15">
        <v>420.68</v>
      </c>
      <c r="K24" s="16">
        <v>420.68</v>
      </c>
      <c r="L24" s="16">
        <v>420.68</v>
      </c>
      <c r="M24" s="16">
        <v>420.68</v>
      </c>
      <c r="N24" s="16">
        <v>420.68</v>
      </c>
      <c r="O24" s="16">
        <v>420.68</v>
      </c>
      <c r="P24" s="16">
        <v>420.68</v>
      </c>
      <c r="Q24" s="16">
        <v>420.68</v>
      </c>
      <c r="R24" s="16">
        <v>420.68</v>
      </c>
      <c r="S24" s="16">
        <v>420.68</v>
      </c>
      <c r="T24" s="16">
        <v>420.68</v>
      </c>
      <c r="U24" s="16">
        <v>420.68</v>
      </c>
      <c r="V24" s="16">
        <v>420.68</v>
      </c>
      <c r="W24" s="16">
        <v>420.68</v>
      </c>
      <c r="X24" s="16">
        <v>420.68</v>
      </c>
      <c r="Y24" s="16">
        <v>420.68</v>
      </c>
      <c r="Z24" s="16">
        <v>420.68</v>
      </c>
      <c r="AA24" s="16">
        <v>420.68</v>
      </c>
    </row>
    <row r="25" spans="2:32" outlineLevel="1" x14ac:dyDescent="0.3">
      <c r="B25" s="178"/>
      <c r="C25" s="130" t="s">
        <v>20</v>
      </c>
      <c r="D25" s="21">
        <v>251.44</v>
      </c>
      <c r="E25" s="22">
        <v>251.44</v>
      </c>
      <c r="F25" s="22">
        <v>251.44</v>
      </c>
      <c r="G25" s="22">
        <v>251.44</v>
      </c>
      <c r="H25" s="22">
        <v>251.44</v>
      </c>
      <c r="I25" s="22">
        <v>251.44</v>
      </c>
      <c r="J25" s="21">
        <v>251.44</v>
      </c>
      <c r="K25" s="22">
        <v>251.44</v>
      </c>
      <c r="L25" s="22">
        <v>251.44</v>
      </c>
      <c r="M25" s="22">
        <v>251.44</v>
      </c>
      <c r="N25" s="22">
        <v>251.44</v>
      </c>
      <c r="O25" s="22">
        <v>251.44</v>
      </c>
      <c r="P25" s="22">
        <v>251.44</v>
      </c>
      <c r="Q25" s="22">
        <v>251.44</v>
      </c>
      <c r="R25" s="22">
        <v>251.44</v>
      </c>
      <c r="S25" s="22">
        <v>251.44</v>
      </c>
      <c r="T25" s="22">
        <v>251.44</v>
      </c>
      <c r="U25" s="22">
        <v>251.44</v>
      </c>
      <c r="V25" s="22">
        <v>251.44</v>
      </c>
      <c r="W25" s="22">
        <v>251.44</v>
      </c>
      <c r="X25" s="22">
        <v>251.44</v>
      </c>
      <c r="Y25" s="22">
        <v>251.44</v>
      </c>
      <c r="Z25" s="22">
        <v>251.44</v>
      </c>
      <c r="AA25" s="22">
        <v>251.44</v>
      </c>
    </row>
    <row r="26" spans="2:32" ht="8.25" customHeight="1" x14ac:dyDescent="0.3">
      <c r="B26" s="178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23"/>
    </row>
    <row r="27" spans="2:32" x14ac:dyDescent="0.3">
      <c r="B27" s="178"/>
      <c r="C27" s="129" t="s">
        <v>21</v>
      </c>
      <c r="D27" s="24">
        <v>0.27</v>
      </c>
      <c r="E27" s="24">
        <v>0.27</v>
      </c>
      <c r="F27" s="24">
        <v>0.27</v>
      </c>
      <c r="G27" s="24">
        <v>0.27</v>
      </c>
      <c r="H27" s="24">
        <v>0.27</v>
      </c>
      <c r="I27" s="24">
        <v>0.27</v>
      </c>
      <c r="J27" s="24">
        <v>0.27</v>
      </c>
      <c r="K27" s="24">
        <v>0.27</v>
      </c>
      <c r="L27" s="24">
        <v>0.27</v>
      </c>
      <c r="M27" s="24">
        <v>0.27</v>
      </c>
      <c r="N27" s="24">
        <v>0.27</v>
      </c>
      <c r="O27" s="24">
        <v>0.27</v>
      </c>
      <c r="P27" s="24">
        <v>0.27</v>
      </c>
      <c r="Q27" s="24">
        <v>0.27</v>
      </c>
      <c r="R27" s="24">
        <v>0.27</v>
      </c>
      <c r="S27" s="24">
        <v>0.27</v>
      </c>
      <c r="T27" s="24">
        <v>0.27</v>
      </c>
      <c r="U27" s="24">
        <v>0.27</v>
      </c>
      <c r="V27" s="24">
        <v>0.27</v>
      </c>
      <c r="W27" s="24">
        <v>0.27</v>
      </c>
      <c r="X27" s="24">
        <v>0.27</v>
      </c>
      <c r="Y27" s="24">
        <v>0.27</v>
      </c>
      <c r="Z27" s="24">
        <v>0.27</v>
      </c>
      <c r="AA27" s="24">
        <v>0.27</v>
      </c>
    </row>
    <row r="28" spans="2:32" x14ac:dyDescent="0.3">
      <c r="B28" s="178"/>
      <c r="C28" s="129" t="s">
        <v>22</v>
      </c>
      <c r="D28" s="25">
        <v>0.05</v>
      </c>
      <c r="E28" s="26">
        <v>0.05</v>
      </c>
      <c r="F28" s="26">
        <v>0.05</v>
      </c>
      <c r="G28" s="26">
        <v>0.05</v>
      </c>
      <c r="H28" s="26">
        <v>0.05</v>
      </c>
      <c r="I28" s="26">
        <v>0.05</v>
      </c>
      <c r="J28" s="25">
        <v>0.05</v>
      </c>
      <c r="K28" s="26">
        <v>0.05</v>
      </c>
      <c r="L28" s="26">
        <v>0.05</v>
      </c>
      <c r="M28" s="26">
        <v>0.05</v>
      </c>
      <c r="N28" s="26">
        <v>0.05</v>
      </c>
      <c r="O28" s="26">
        <v>0.05</v>
      </c>
      <c r="P28" s="26">
        <v>0.05</v>
      </c>
      <c r="Q28" s="26">
        <v>0.05</v>
      </c>
      <c r="R28" s="26">
        <v>0.05</v>
      </c>
      <c r="S28" s="26">
        <v>0.05</v>
      </c>
      <c r="T28" s="26">
        <v>0.05</v>
      </c>
      <c r="U28" s="26">
        <v>0.05</v>
      </c>
      <c r="V28" s="26">
        <v>0.05</v>
      </c>
      <c r="W28" s="26">
        <v>0.05</v>
      </c>
      <c r="X28" s="26">
        <v>0.05</v>
      </c>
      <c r="Y28" s="26">
        <v>0.05</v>
      </c>
      <c r="Z28" s="26">
        <v>0.05</v>
      </c>
      <c r="AA28" s="26">
        <v>0.05</v>
      </c>
    </row>
    <row r="29" spans="2:32" ht="9.75" customHeight="1" x14ac:dyDescent="0.3">
      <c r="B29" s="178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23"/>
    </row>
    <row r="30" spans="2:32" outlineLevel="1" x14ac:dyDescent="0.3">
      <c r="B30" s="178"/>
      <c r="C30" s="131" t="s">
        <v>23</v>
      </c>
      <c r="D30" s="27">
        <f>IF(D19="Azul",D8*D20*(1-D16),0)</f>
        <v>0</v>
      </c>
      <c r="E30" s="28">
        <f t="shared" ref="E30:AA30" si="8">IF(E19="Azul",E8*E20*(1-E16),0)</f>
        <v>0</v>
      </c>
      <c r="F30" s="28">
        <f t="shared" si="8"/>
        <v>0</v>
      </c>
      <c r="G30" s="28">
        <f t="shared" si="8"/>
        <v>0</v>
      </c>
      <c r="H30" s="28">
        <f t="shared" si="8"/>
        <v>0</v>
      </c>
      <c r="I30" s="28">
        <f t="shared" si="8"/>
        <v>0</v>
      </c>
      <c r="J30" s="27">
        <f t="shared" si="8"/>
        <v>0</v>
      </c>
      <c r="K30" s="28">
        <f t="shared" si="8"/>
        <v>0</v>
      </c>
      <c r="L30" s="28">
        <f t="shared" si="8"/>
        <v>0</v>
      </c>
      <c r="M30" s="28">
        <f t="shared" si="8"/>
        <v>0</v>
      </c>
      <c r="N30" s="28">
        <f t="shared" si="8"/>
        <v>0</v>
      </c>
      <c r="O30" s="28">
        <f t="shared" si="8"/>
        <v>0</v>
      </c>
      <c r="P30" s="27">
        <f>IF(P19="Azul",P8*P20*(1-P16),0)</f>
        <v>0</v>
      </c>
      <c r="Q30" s="28">
        <f t="shared" si="8"/>
        <v>0</v>
      </c>
      <c r="R30" s="28">
        <f t="shared" si="8"/>
        <v>0</v>
      </c>
      <c r="S30" s="28">
        <f t="shared" si="8"/>
        <v>0</v>
      </c>
      <c r="T30" s="28">
        <f t="shared" si="8"/>
        <v>0</v>
      </c>
      <c r="U30" s="28">
        <f t="shared" si="8"/>
        <v>0</v>
      </c>
      <c r="V30" s="28">
        <f t="shared" si="8"/>
        <v>0</v>
      </c>
      <c r="W30" s="28">
        <f t="shared" si="8"/>
        <v>0</v>
      </c>
      <c r="X30" s="28">
        <f t="shared" si="8"/>
        <v>0</v>
      </c>
      <c r="Y30" s="28">
        <f t="shared" si="8"/>
        <v>0</v>
      </c>
      <c r="Z30" s="28">
        <f t="shared" si="8"/>
        <v>0</v>
      </c>
      <c r="AA30" s="28">
        <f t="shared" si="8"/>
        <v>0</v>
      </c>
    </row>
    <row r="31" spans="2:32" outlineLevel="1" x14ac:dyDescent="0.3">
      <c r="B31" s="178"/>
      <c r="C31" s="131" t="s">
        <v>24</v>
      </c>
      <c r="D31" s="29">
        <f>D10*D20*2</f>
        <v>0</v>
      </c>
      <c r="E31" s="30">
        <f t="shared" ref="E31:AA31" si="9">E10*E20*2</f>
        <v>0</v>
      </c>
      <c r="F31" s="30">
        <f t="shared" si="9"/>
        <v>0</v>
      </c>
      <c r="G31" s="30">
        <f t="shared" si="9"/>
        <v>0</v>
      </c>
      <c r="H31" s="30">
        <f t="shared" si="9"/>
        <v>0</v>
      </c>
      <c r="I31" s="30">
        <f t="shared" si="9"/>
        <v>0</v>
      </c>
      <c r="J31" s="29">
        <f t="shared" si="9"/>
        <v>0</v>
      </c>
      <c r="K31" s="30">
        <f t="shared" si="9"/>
        <v>0</v>
      </c>
      <c r="L31" s="30">
        <f t="shared" si="9"/>
        <v>0</v>
      </c>
      <c r="M31" s="30">
        <f t="shared" si="9"/>
        <v>0</v>
      </c>
      <c r="N31" s="30">
        <f t="shared" si="9"/>
        <v>0</v>
      </c>
      <c r="O31" s="30">
        <f t="shared" si="9"/>
        <v>0</v>
      </c>
      <c r="P31" s="29">
        <f>P10*P20*2</f>
        <v>0</v>
      </c>
      <c r="Q31" s="30">
        <f t="shared" si="9"/>
        <v>0</v>
      </c>
      <c r="R31" s="30">
        <f t="shared" si="9"/>
        <v>0</v>
      </c>
      <c r="S31" s="30">
        <f t="shared" si="9"/>
        <v>0</v>
      </c>
      <c r="T31" s="30">
        <f t="shared" si="9"/>
        <v>0</v>
      </c>
      <c r="U31" s="30">
        <f t="shared" si="9"/>
        <v>0</v>
      </c>
      <c r="V31" s="30">
        <f t="shared" si="9"/>
        <v>0</v>
      </c>
      <c r="W31" s="30">
        <f t="shared" si="9"/>
        <v>0</v>
      </c>
      <c r="X31" s="30">
        <f t="shared" si="9"/>
        <v>0</v>
      </c>
      <c r="Y31" s="30">
        <f t="shared" si="9"/>
        <v>0</v>
      </c>
      <c r="Z31" s="30">
        <f t="shared" si="9"/>
        <v>0</v>
      </c>
      <c r="AA31" s="30">
        <f t="shared" si="9"/>
        <v>0</v>
      </c>
    </row>
    <row r="32" spans="2:32" outlineLevel="1" x14ac:dyDescent="0.3">
      <c r="B32" s="178"/>
      <c r="C32" s="131" t="s">
        <v>25</v>
      </c>
      <c r="D32" s="31">
        <f>D9*D21*(1-D16)</f>
        <v>4815</v>
      </c>
      <c r="E32" s="32">
        <f t="shared" ref="E32:AA32" si="10">E9*E21*(1-E16)</f>
        <v>4815</v>
      </c>
      <c r="F32" s="32">
        <f t="shared" si="10"/>
        <v>4815</v>
      </c>
      <c r="G32" s="32">
        <f t="shared" si="10"/>
        <v>4815</v>
      </c>
      <c r="H32" s="32">
        <f t="shared" si="10"/>
        <v>4815</v>
      </c>
      <c r="I32" s="32">
        <f t="shared" si="10"/>
        <v>4815</v>
      </c>
      <c r="J32" s="31">
        <f t="shared" si="10"/>
        <v>4815</v>
      </c>
      <c r="K32" s="32">
        <f t="shared" si="10"/>
        <v>4815</v>
      </c>
      <c r="L32" s="32">
        <f t="shared" si="10"/>
        <v>4815</v>
      </c>
      <c r="M32" s="32">
        <f t="shared" si="10"/>
        <v>4815</v>
      </c>
      <c r="N32" s="32">
        <f t="shared" si="10"/>
        <v>4815</v>
      </c>
      <c r="O32" s="32">
        <f t="shared" si="10"/>
        <v>4815</v>
      </c>
      <c r="P32" s="31">
        <f>P9*P21*(1-P16)</f>
        <v>4815</v>
      </c>
      <c r="Q32" s="32">
        <f t="shared" si="10"/>
        <v>4815</v>
      </c>
      <c r="R32" s="32">
        <f t="shared" si="10"/>
        <v>4815</v>
      </c>
      <c r="S32" s="32">
        <f t="shared" si="10"/>
        <v>4815</v>
      </c>
      <c r="T32" s="32">
        <f t="shared" si="10"/>
        <v>4815</v>
      </c>
      <c r="U32" s="32">
        <f t="shared" si="10"/>
        <v>4815</v>
      </c>
      <c r="V32" s="32">
        <f t="shared" si="10"/>
        <v>4815</v>
      </c>
      <c r="W32" s="32">
        <f t="shared" si="10"/>
        <v>4815</v>
      </c>
      <c r="X32" s="32">
        <f t="shared" si="10"/>
        <v>4815</v>
      </c>
      <c r="Y32" s="32">
        <f t="shared" si="10"/>
        <v>4815</v>
      </c>
      <c r="Z32" s="32">
        <f t="shared" si="10"/>
        <v>4815</v>
      </c>
      <c r="AA32" s="32">
        <f t="shared" si="10"/>
        <v>4815</v>
      </c>
    </row>
    <row r="33" spans="2:29" outlineLevel="1" x14ac:dyDescent="0.3">
      <c r="B33" s="178"/>
      <c r="C33" s="131" t="s">
        <v>26</v>
      </c>
      <c r="D33" s="29">
        <f>D11*D21*2</f>
        <v>0</v>
      </c>
      <c r="E33" s="30">
        <f t="shared" ref="E33:AA33" si="11">E11*E21*2</f>
        <v>0</v>
      </c>
      <c r="F33" s="30">
        <f t="shared" si="11"/>
        <v>0</v>
      </c>
      <c r="G33" s="30">
        <f t="shared" si="11"/>
        <v>0</v>
      </c>
      <c r="H33" s="30">
        <f t="shared" si="11"/>
        <v>0</v>
      </c>
      <c r="I33" s="30">
        <f t="shared" si="11"/>
        <v>0</v>
      </c>
      <c r="J33" s="29">
        <f t="shared" si="11"/>
        <v>0</v>
      </c>
      <c r="K33" s="30">
        <f t="shared" si="11"/>
        <v>0</v>
      </c>
      <c r="L33" s="30">
        <f t="shared" si="11"/>
        <v>0</v>
      </c>
      <c r="M33" s="30">
        <f t="shared" si="11"/>
        <v>0</v>
      </c>
      <c r="N33" s="30">
        <f t="shared" si="11"/>
        <v>0</v>
      </c>
      <c r="O33" s="30">
        <f t="shared" si="11"/>
        <v>0</v>
      </c>
      <c r="P33" s="29">
        <f>P11*P21*2</f>
        <v>0</v>
      </c>
      <c r="Q33" s="30">
        <f t="shared" si="11"/>
        <v>0</v>
      </c>
      <c r="R33" s="30">
        <f t="shared" si="11"/>
        <v>0</v>
      </c>
      <c r="S33" s="30">
        <f t="shared" si="11"/>
        <v>0</v>
      </c>
      <c r="T33" s="30">
        <f t="shared" si="11"/>
        <v>0</v>
      </c>
      <c r="U33" s="30">
        <f t="shared" si="11"/>
        <v>0</v>
      </c>
      <c r="V33" s="30">
        <f t="shared" si="11"/>
        <v>0</v>
      </c>
      <c r="W33" s="30">
        <f t="shared" si="11"/>
        <v>0</v>
      </c>
      <c r="X33" s="30">
        <f t="shared" si="11"/>
        <v>0</v>
      </c>
      <c r="Y33" s="30">
        <f t="shared" si="11"/>
        <v>0</v>
      </c>
      <c r="Z33" s="30">
        <f t="shared" si="11"/>
        <v>0</v>
      </c>
      <c r="AA33" s="30">
        <f t="shared" si="11"/>
        <v>0</v>
      </c>
    </row>
    <row r="34" spans="2:29" outlineLevel="1" x14ac:dyDescent="0.3">
      <c r="B34" s="178"/>
      <c r="C34" s="131" t="s">
        <v>27</v>
      </c>
      <c r="D34" s="31">
        <f>IF(D19="Azul",D12*D23,D12*((D22-D23)*(1-D16)+D23))</f>
        <v>0</v>
      </c>
      <c r="E34" s="32">
        <f t="shared" ref="E34:AA34" si="12">IF(E19="Azul",E12*E23,E12*((E22-E23)*(1-E16)+E23))</f>
        <v>0</v>
      </c>
      <c r="F34" s="32">
        <f t="shared" si="12"/>
        <v>2715.2160000000003</v>
      </c>
      <c r="G34" s="32">
        <f t="shared" si="12"/>
        <v>0</v>
      </c>
      <c r="H34" s="32">
        <f t="shared" si="12"/>
        <v>0</v>
      </c>
      <c r="I34" s="32">
        <f t="shared" si="12"/>
        <v>0</v>
      </c>
      <c r="J34" s="31">
        <f t="shared" si="12"/>
        <v>2715.2160000000003</v>
      </c>
      <c r="K34" s="32">
        <f t="shared" si="12"/>
        <v>0</v>
      </c>
      <c r="L34" s="32">
        <f t="shared" si="12"/>
        <v>0</v>
      </c>
      <c r="M34" s="32">
        <f t="shared" si="12"/>
        <v>2715.2160000000003</v>
      </c>
      <c r="N34" s="32">
        <f t="shared" si="12"/>
        <v>0</v>
      </c>
      <c r="O34" s="32">
        <f t="shared" si="12"/>
        <v>0</v>
      </c>
      <c r="P34" s="31">
        <f>IF(P19="Azul",P12*P23,P12*((P22-P23)*(1-P16)+P23))</f>
        <v>2715.2160000000003</v>
      </c>
      <c r="Q34" s="32">
        <f t="shared" si="12"/>
        <v>0</v>
      </c>
      <c r="R34" s="32">
        <f t="shared" si="12"/>
        <v>0</v>
      </c>
      <c r="S34" s="32">
        <f t="shared" si="12"/>
        <v>0</v>
      </c>
      <c r="T34" s="32">
        <f t="shared" si="12"/>
        <v>2715.2160000000003</v>
      </c>
      <c r="U34" s="32">
        <f t="shared" si="12"/>
        <v>0</v>
      </c>
      <c r="V34" s="32">
        <f t="shared" si="12"/>
        <v>2715.2160000000003</v>
      </c>
      <c r="W34" s="32">
        <f t="shared" si="12"/>
        <v>0</v>
      </c>
      <c r="X34" s="32">
        <f t="shared" si="12"/>
        <v>0</v>
      </c>
      <c r="Y34" s="32">
        <f t="shared" si="12"/>
        <v>2715.2160000000003</v>
      </c>
      <c r="Z34" s="32">
        <f t="shared" si="12"/>
        <v>0</v>
      </c>
      <c r="AA34" s="32">
        <f t="shared" si="12"/>
        <v>0</v>
      </c>
    </row>
    <row r="35" spans="2:29" outlineLevel="1" x14ac:dyDescent="0.3">
      <c r="B35" s="178"/>
      <c r="C35" s="132" t="s">
        <v>28</v>
      </c>
      <c r="D35" s="33">
        <f>D13*D23</f>
        <v>350.238</v>
      </c>
      <c r="E35" s="34">
        <f t="shared" ref="E35:AA35" si="13">E13*E23</f>
        <v>350.238</v>
      </c>
      <c r="F35" s="34">
        <f t="shared" si="13"/>
        <v>525.35699999999997</v>
      </c>
      <c r="G35" s="34">
        <f t="shared" si="13"/>
        <v>350.238</v>
      </c>
      <c r="H35" s="34">
        <f t="shared" si="13"/>
        <v>525.35699999999997</v>
      </c>
      <c r="I35" s="34">
        <f t="shared" si="13"/>
        <v>525.35699999999997</v>
      </c>
      <c r="J35" s="33">
        <f t="shared" si="13"/>
        <v>525.35699999999997</v>
      </c>
      <c r="K35" s="34">
        <f t="shared" si="13"/>
        <v>525.35699999999997</v>
      </c>
      <c r="L35" s="34">
        <f t="shared" si="13"/>
        <v>700.476</v>
      </c>
      <c r="M35" s="34">
        <f t="shared" si="13"/>
        <v>525.35699999999997</v>
      </c>
      <c r="N35" s="34">
        <f t="shared" si="13"/>
        <v>700.476</v>
      </c>
      <c r="O35" s="34">
        <f t="shared" si="13"/>
        <v>700.476</v>
      </c>
      <c r="P35" s="33">
        <f>P13*P23</f>
        <v>525.35699999999997</v>
      </c>
      <c r="Q35" s="34">
        <f t="shared" si="13"/>
        <v>525.35699999999997</v>
      </c>
      <c r="R35" s="34">
        <f t="shared" si="13"/>
        <v>525.35699999999997</v>
      </c>
      <c r="S35" s="34">
        <f t="shared" si="13"/>
        <v>525.35699999999997</v>
      </c>
      <c r="T35" s="34">
        <f t="shared" si="13"/>
        <v>525.35699999999997</v>
      </c>
      <c r="U35" s="34">
        <f t="shared" si="13"/>
        <v>700.476</v>
      </c>
      <c r="V35" s="34">
        <f t="shared" si="13"/>
        <v>700.476</v>
      </c>
      <c r="W35" s="34">
        <f t="shared" si="13"/>
        <v>700.476</v>
      </c>
      <c r="X35" s="34">
        <f t="shared" si="13"/>
        <v>525.35699999999997</v>
      </c>
      <c r="Y35" s="34">
        <f t="shared" si="13"/>
        <v>700.476</v>
      </c>
      <c r="Z35" s="34">
        <f t="shared" si="13"/>
        <v>525.35699999999997</v>
      </c>
      <c r="AA35" s="34">
        <f t="shared" si="13"/>
        <v>533.69600000000003</v>
      </c>
    </row>
    <row r="36" spans="2:29" x14ac:dyDescent="0.3">
      <c r="B36" s="178"/>
      <c r="C36" s="131" t="s">
        <v>29</v>
      </c>
      <c r="D36" s="27">
        <f>SUM(D30:D35)</f>
        <v>5165.2380000000003</v>
      </c>
      <c r="E36" s="28">
        <f>SUM(E30:E35)</f>
        <v>5165.2380000000003</v>
      </c>
      <c r="F36" s="28">
        <f>SUM(F30:F35)</f>
        <v>8055.5730000000003</v>
      </c>
      <c r="G36" s="28">
        <f t="shared" ref="G36:AA36" si="14">SUM(G30:G35)</f>
        <v>5165.2380000000003</v>
      </c>
      <c r="H36" s="28">
        <f t="shared" si="14"/>
        <v>5340.357</v>
      </c>
      <c r="I36" s="28">
        <f t="shared" si="14"/>
        <v>5340.357</v>
      </c>
      <c r="J36" s="27">
        <f t="shared" si="14"/>
        <v>8055.5730000000003</v>
      </c>
      <c r="K36" s="28">
        <f t="shared" si="14"/>
        <v>5340.357</v>
      </c>
      <c r="L36" s="28">
        <f t="shared" si="14"/>
        <v>5515.4759999999997</v>
      </c>
      <c r="M36" s="28">
        <f t="shared" si="14"/>
        <v>8055.5730000000003</v>
      </c>
      <c r="N36" s="28">
        <f t="shared" si="14"/>
        <v>5515.4759999999997</v>
      </c>
      <c r="O36" s="28">
        <f t="shared" si="14"/>
        <v>5515.4759999999997</v>
      </c>
      <c r="P36" s="27">
        <f>SUM(P30:P35)</f>
        <v>8055.5730000000003</v>
      </c>
      <c r="Q36" s="28">
        <f t="shared" si="14"/>
        <v>5340.357</v>
      </c>
      <c r="R36" s="28">
        <f t="shared" si="14"/>
        <v>5340.357</v>
      </c>
      <c r="S36" s="28">
        <f t="shared" si="14"/>
        <v>5340.357</v>
      </c>
      <c r="T36" s="28">
        <f t="shared" si="14"/>
        <v>8055.5730000000003</v>
      </c>
      <c r="U36" s="28">
        <f t="shared" si="14"/>
        <v>5515.4759999999997</v>
      </c>
      <c r="V36" s="28">
        <f t="shared" si="14"/>
        <v>8230.6920000000009</v>
      </c>
      <c r="W36" s="28">
        <f t="shared" si="14"/>
        <v>5515.4759999999997</v>
      </c>
      <c r="X36" s="28">
        <f t="shared" si="14"/>
        <v>5340.357</v>
      </c>
      <c r="Y36" s="28">
        <f t="shared" si="14"/>
        <v>8230.6920000000009</v>
      </c>
      <c r="Z36" s="28">
        <f t="shared" si="14"/>
        <v>5340.357</v>
      </c>
      <c r="AA36" s="28">
        <f t="shared" si="14"/>
        <v>5348.6959999999999</v>
      </c>
    </row>
    <row r="37" spans="2:29" x14ac:dyDescent="0.3">
      <c r="B37" s="178"/>
      <c r="C37" s="131" t="s">
        <v>30</v>
      </c>
      <c r="D37" s="35">
        <f>D36/(1-SUM(D27:D28))*SUM(D27:D28)+((D41+D39+D40)/(1-SUM(D27:D28)))*SUM(D27:D28)</f>
        <v>2430.7002352941181</v>
      </c>
      <c r="E37" s="36">
        <f t="shared" ref="E37:AA37" si="15">E36/(1-SUM(E27:E28))*SUM(E27:E28)+((E41+E39+E40)/(1-SUM(E27:E28)))*SUM(E27:E28)</f>
        <v>2430.7002352941181</v>
      </c>
      <c r="F37" s="36">
        <f t="shared" si="15"/>
        <v>3790.8578823529419</v>
      </c>
      <c r="G37" s="36">
        <f t="shared" si="15"/>
        <v>2430.7002352941181</v>
      </c>
      <c r="H37" s="36">
        <f t="shared" si="15"/>
        <v>2513.1091764705884</v>
      </c>
      <c r="I37" s="36">
        <f t="shared" si="15"/>
        <v>2513.1091764705884</v>
      </c>
      <c r="J37" s="35">
        <f t="shared" si="15"/>
        <v>3790.8578823529419</v>
      </c>
      <c r="K37" s="36">
        <f t="shared" si="15"/>
        <v>2513.1091764705884</v>
      </c>
      <c r="L37" s="36">
        <f t="shared" si="15"/>
        <v>2595.5181176470592</v>
      </c>
      <c r="M37" s="36">
        <f t="shared" si="15"/>
        <v>3790.8578823529419</v>
      </c>
      <c r="N37" s="36">
        <f t="shared" si="15"/>
        <v>2595.5181176470592</v>
      </c>
      <c r="O37" s="36">
        <f t="shared" si="15"/>
        <v>2595.5181176470592</v>
      </c>
      <c r="P37" s="35">
        <f t="shared" si="15"/>
        <v>3790.8578823529419</v>
      </c>
      <c r="Q37" s="36">
        <f t="shared" si="15"/>
        <v>2513.1091764705884</v>
      </c>
      <c r="R37" s="36">
        <f t="shared" si="15"/>
        <v>2513.1091764705884</v>
      </c>
      <c r="S37" s="36">
        <f t="shared" si="15"/>
        <v>2513.1091764705884</v>
      </c>
      <c r="T37" s="36">
        <f t="shared" si="15"/>
        <v>3790.8578823529419</v>
      </c>
      <c r="U37" s="36">
        <f t="shared" si="15"/>
        <v>2595.5181176470592</v>
      </c>
      <c r="V37" s="36">
        <f t="shared" si="15"/>
        <v>3873.2668235294127</v>
      </c>
      <c r="W37" s="36">
        <f t="shared" si="15"/>
        <v>2595.5181176470592</v>
      </c>
      <c r="X37" s="36">
        <f t="shared" si="15"/>
        <v>2513.1091764705884</v>
      </c>
      <c r="Y37" s="36">
        <f t="shared" si="15"/>
        <v>3873.2668235294127</v>
      </c>
      <c r="Z37" s="36">
        <f t="shared" si="15"/>
        <v>2513.1091764705884</v>
      </c>
      <c r="AA37" s="36">
        <f t="shared" si="15"/>
        <v>2517.0334117647062</v>
      </c>
    </row>
    <row r="38" spans="2:29" ht="8.25" customHeight="1" x14ac:dyDescent="0.3">
      <c r="B38" s="178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37"/>
    </row>
    <row r="39" spans="2:29" x14ac:dyDescent="0.3">
      <c r="B39" s="178"/>
      <c r="C39" s="131" t="s">
        <v>31</v>
      </c>
      <c r="D39" s="9">
        <f>IF(D19="Azul",D8*D20*(D16),0)</f>
        <v>0</v>
      </c>
      <c r="E39" s="10">
        <f t="shared" ref="E39:AA39" si="16">IF(E19="Azul",E8*E20*(E16),0)</f>
        <v>0</v>
      </c>
      <c r="F39" s="10">
        <f t="shared" si="16"/>
        <v>0</v>
      </c>
      <c r="G39" s="10">
        <f t="shared" si="16"/>
        <v>0</v>
      </c>
      <c r="H39" s="10">
        <f t="shared" si="16"/>
        <v>0</v>
      </c>
      <c r="I39" s="10">
        <f t="shared" si="16"/>
        <v>0</v>
      </c>
      <c r="J39" s="9">
        <f t="shared" si="16"/>
        <v>0</v>
      </c>
      <c r="K39" s="10">
        <f t="shared" si="16"/>
        <v>0</v>
      </c>
      <c r="L39" s="10">
        <f t="shared" si="16"/>
        <v>0</v>
      </c>
      <c r="M39" s="10">
        <f t="shared" si="16"/>
        <v>0</v>
      </c>
      <c r="N39" s="10">
        <f t="shared" si="16"/>
        <v>0</v>
      </c>
      <c r="O39" s="10">
        <f t="shared" si="16"/>
        <v>0</v>
      </c>
      <c r="P39" s="10">
        <f t="shared" si="16"/>
        <v>0</v>
      </c>
      <c r="Q39" s="10">
        <f t="shared" si="16"/>
        <v>0</v>
      </c>
      <c r="R39" s="10">
        <f t="shared" si="16"/>
        <v>0</v>
      </c>
      <c r="S39" s="10">
        <f t="shared" si="16"/>
        <v>0</v>
      </c>
      <c r="T39" s="10">
        <f t="shared" si="16"/>
        <v>0</v>
      </c>
      <c r="U39" s="10">
        <f t="shared" si="16"/>
        <v>0</v>
      </c>
      <c r="V39" s="10">
        <f t="shared" si="16"/>
        <v>0</v>
      </c>
      <c r="W39" s="10">
        <f t="shared" si="16"/>
        <v>0</v>
      </c>
      <c r="X39" s="10">
        <f t="shared" si="16"/>
        <v>0</v>
      </c>
      <c r="Y39" s="10">
        <f t="shared" si="16"/>
        <v>0</v>
      </c>
      <c r="Z39" s="10">
        <f t="shared" si="16"/>
        <v>0</v>
      </c>
      <c r="AA39" s="10">
        <f t="shared" si="16"/>
        <v>0</v>
      </c>
    </row>
    <row r="40" spans="2:29" x14ac:dyDescent="0.3">
      <c r="B40" s="178"/>
      <c r="C40" s="131" t="s">
        <v>32</v>
      </c>
      <c r="D40" s="11">
        <f>D9*D21*(D16)</f>
        <v>0</v>
      </c>
      <c r="E40" s="12">
        <f t="shared" ref="E40:AA40" si="17">E9*E21*(E16)</f>
        <v>0</v>
      </c>
      <c r="F40" s="12">
        <f t="shared" si="17"/>
        <v>0</v>
      </c>
      <c r="G40" s="12">
        <f t="shared" si="17"/>
        <v>0</v>
      </c>
      <c r="H40" s="12">
        <f t="shared" si="17"/>
        <v>0</v>
      </c>
      <c r="I40" s="12">
        <f t="shared" si="17"/>
        <v>0</v>
      </c>
      <c r="J40" s="11">
        <f t="shared" si="17"/>
        <v>0</v>
      </c>
      <c r="K40" s="12">
        <f t="shared" si="17"/>
        <v>0</v>
      </c>
      <c r="L40" s="12">
        <f t="shared" si="17"/>
        <v>0</v>
      </c>
      <c r="M40" s="12">
        <f t="shared" si="17"/>
        <v>0</v>
      </c>
      <c r="N40" s="12">
        <f t="shared" si="17"/>
        <v>0</v>
      </c>
      <c r="O40" s="12">
        <f t="shared" si="17"/>
        <v>0</v>
      </c>
      <c r="P40" s="12">
        <f t="shared" si="17"/>
        <v>0</v>
      </c>
      <c r="Q40" s="12">
        <f t="shared" si="17"/>
        <v>0</v>
      </c>
      <c r="R40" s="12">
        <f t="shared" si="17"/>
        <v>0</v>
      </c>
      <c r="S40" s="12">
        <f t="shared" si="17"/>
        <v>0</v>
      </c>
      <c r="T40" s="12">
        <f t="shared" si="17"/>
        <v>0</v>
      </c>
      <c r="U40" s="12">
        <f t="shared" si="17"/>
        <v>0</v>
      </c>
      <c r="V40" s="12">
        <f t="shared" si="17"/>
        <v>0</v>
      </c>
      <c r="W40" s="12">
        <f t="shared" si="17"/>
        <v>0</v>
      </c>
      <c r="X40" s="12">
        <f t="shared" si="17"/>
        <v>0</v>
      </c>
      <c r="Y40" s="12">
        <f t="shared" si="17"/>
        <v>0</v>
      </c>
      <c r="Z40" s="12">
        <f t="shared" si="17"/>
        <v>0</v>
      </c>
      <c r="AA40" s="12">
        <f t="shared" si="17"/>
        <v>0</v>
      </c>
    </row>
    <row r="41" spans="2:29" x14ac:dyDescent="0.3">
      <c r="B41" s="178"/>
      <c r="C41" s="129" t="s">
        <v>33</v>
      </c>
      <c r="D41" s="19">
        <f>IF(D19="Verde",D12*(D22-D23)*(D16),0)</f>
        <v>0</v>
      </c>
      <c r="E41" s="20">
        <f t="shared" ref="E41:AA41" si="18">IF(E19="Verde",E12*(E22-E23)*(E16),0)</f>
        <v>0</v>
      </c>
      <c r="F41" s="20">
        <f t="shared" si="18"/>
        <v>0</v>
      </c>
      <c r="G41" s="20">
        <f t="shared" si="18"/>
        <v>0</v>
      </c>
      <c r="H41" s="20">
        <f t="shared" si="18"/>
        <v>0</v>
      </c>
      <c r="I41" s="20">
        <f t="shared" si="18"/>
        <v>0</v>
      </c>
      <c r="J41" s="19">
        <f t="shared" si="18"/>
        <v>0</v>
      </c>
      <c r="K41" s="20">
        <f t="shared" si="18"/>
        <v>0</v>
      </c>
      <c r="L41" s="20">
        <f t="shared" si="18"/>
        <v>0</v>
      </c>
      <c r="M41" s="20">
        <f t="shared" si="18"/>
        <v>0</v>
      </c>
      <c r="N41" s="20">
        <f t="shared" si="18"/>
        <v>0</v>
      </c>
      <c r="O41" s="20">
        <f t="shared" si="18"/>
        <v>0</v>
      </c>
      <c r="P41" s="20">
        <f t="shared" si="18"/>
        <v>0</v>
      </c>
      <c r="Q41" s="20">
        <f t="shared" si="18"/>
        <v>0</v>
      </c>
      <c r="R41" s="20">
        <f t="shared" si="18"/>
        <v>0</v>
      </c>
      <c r="S41" s="20">
        <f t="shared" si="18"/>
        <v>0</v>
      </c>
      <c r="T41" s="20">
        <f t="shared" si="18"/>
        <v>0</v>
      </c>
      <c r="U41" s="20">
        <f t="shared" si="18"/>
        <v>0</v>
      </c>
      <c r="V41" s="20">
        <f t="shared" si="18"/>
        <v>0</v>
      </c>
      <c r="W41" s="20">
        <f t="shared" si="18"/>
        <v>0</v>
      </c>
      <c r="X41" s="20">
        <f t="shared" si="18"/>
        <v>0</v>
      </c>
      <c r="Y41" s="20">
        <f t="shared" si="18"/>
        <v>0</v>
      </c>
      <c r="Z41" s="20">
        <f t="shared" si="18"/>
        <v>0</v>
      </c>
      <c r="AA41" s="20">
        <f t="shared" si="18"/>
        <v>0</v>
      </c>
      <c r="AC41" s="92"/>
    </row>
    <row r="42" spans="2:29" ht="9.75" customHeight="1" x14ac:dyDescent="0.3">
      <c r="B42" s="178"/>
      <c r="C42" s="109"/>
      <c r="D42" s="109"/>
      <c r="E42" s="109"/>
      <c r="F42" s="109"/>
      <c r="G42" s="109"/>
      <c r="H42" s="109"/>
      <c r="I42" s="109"/>
      <c r="J42" s="109"/>
      <c r="K42" s="109"/>
      <c r="L42" s="109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  <c r="AA42" s="38"/>
    </row>
    <row r="43" spans="2:29" x14ac:dyDescent="0.3">
      <c r="B43" s="178"/>
      <c r="C43" s="129" t="s">
        <v>34</v>
      </c>
      <c r="D43" s="98">
        <f>SUM(D12:D13)/D4</f>
        <v>5.6451612903225812E-3</v>
      </c>
      <c r="E43" s="98">
        <f t="shared" ref="E43:O43" si="19">SUM(E12:E13)/E4</f>
        <v>6.0344827586206896E-3</v>
      </c>
      <c r="F43" s="98">
        <f t="shared" si="19"/>
        <v>1.1290322580645162E-2</v>
      </c>
      <c r="G43" s="98">
        <f t="shared" si="19"/>
        <v>5.8333333333333336E-3</v>
      </c>
      <c r="H43" s="98">
        <f t="shared" si="19"/>
        <v>8.46774193548387E-3</v>
      </c>
      <c r="I43" s="98">
        <f t="shared" si="19"/>
        <v>8.7499999999999991E-3</v>
      </c>
      <c r="J43" s="98">
        <f t="shared" si="19"/>
        <v>1.1290322580645162E-2</v>
      </c>
      <c r="K43" s="98">
        <f t="shared" si="19"/>
        <v>8.46774193548387E-3</v>
      </c>
      <c r="L43" s="98">
        <f t="shared" si="19"/>
        <v>1.1666666666666667E-2</v>
      </c>
      <c r="M43" s="98">
        <f t="shared" si="19"/>
        <v>1.1290322580645162E-2</v>
      </c>
      <c r="N43" s="98">
        <f t="shared" si="19"/>
        <v>1.1666666666666667E-2</v>
      </c>
      <c r="O43" s="98">
        <f t="shared" si="19"/>
        <v>1.1290322580645162E-2</v>
      </c>
      <c r="P43" s="98">
        <f>SUM(P12:P13)/P4</f>
        <v>1.1290322580645162E-2</v>
      </c>
      <c r="Q43" s="98">
        <f t="shared" ref="Q43:AA43" si="20">SUM(Q12:Q13)/Q4</f>
        <v>9.3749999999999997E-3</v>
      </c>
      <c r="R43" s="98">
        <f t="shared" si="20"/>
        <v>8.46774193548387E-3</v>
      </c>
      <c r="S43" s="98">
        <f t="shared" si="20"/>
        <v>8.7499999999999991E-3</v>
      </c>
      <c r="T43" s="98">
        <f t="shared" si="20"/>
        <v>1.1290322580645162E-2</v>
      </c>
      <c r="U43" s="98">
        <f t="shared" si="20"/>
        <v>1.1666666666666667E-2</v>
      </c>
      <c r="V43" s="98">
        <f t="shared" si="20"/>
        <v>1.4112903225806451E-2</v>
      </c>
      <c r="W43" s="98">
        <f t="shared" si="20"/>
        <v>1.1290322580645162E-2</v>
      </c>
      <c r="X43" s="98">
        <f t="shared" si="20"/>
        <v>8.7499999999999991E-3</v>
      </c>
      <c r="Y43" s="98">
        <f t="shared" si="20"/>
        <v>1.4112903225806451E-2</v>
      </c>
      <c r="Z43" s="98">
        <f t="shared" si="20"/>
        <v>8.7499999999999991E-3</v>
      </c>
      <c r="AA43" s="98">
        <f t="shared" si="20"/>
        <v>8.6021505376344086E-3</v>
      </c>
    </row>
    <row r="44" spans="2:29" outlineLevel="1" x14ac:dyDescent="0.3">
      <c r="B44" s="178"/>
      <c r="C44" s="133" t="s">
        <v>35</v>
      </c>
      <c r="D44" s="97">
        <f t="shared" ref="D44:AA44" si="21">D43*D4</f>
        <v>4.2</v>
      </c>
      <c r="E44" s="97">
        <f t="shared" si="21"/>
        <v>4.2</v>
      </c>
      <c r="F44" s="97">
        <f t="shared" si="21"/>
        <v>8.4</v>
      </c>
      <c r="G44" s="97">
        <f t="shared" si="21"/>
        <v>4.2</v>
      </c>
      <c r="H44" s="97">
        <f t="shared" si="21"/>
        <v>6.2999999999999989</v>
      </c>
      <c r="I44" s="97">
        <f t="shared" si="21"/>
        <v>6.2999999999999989</v>
      </c>
      <c r="J44" s="97">
        <f t="shared" si="21"/>
        <v>8.4</v>
      </c>
      <c r="K44" s="97">
        <f t="shared" si="21"/>
        <v>6.2999999999999989</v>
      </c>
      <c r="L44" s="97">
        <f t="shared" si="21"/>
        <v>8.4</v>
      </c>
      <c r="M44" s="97">
        <f t="shared" si="21"/>
        <v>8.4</v>
      </c>
      <c r="N44" s="97">
        <f t="shared" si="21"/>
        <v>8.4</v>
      </c>
      <c r="O44" s="97">
        <f t="shared" si="21"/>
        <v>8.4</v>
      </c>
      <c r="P44" s="97">
        <f t="shared" si="21"/>
        <v>8.4</v>
      </c>
      <c r="Q44" s="97">
        <f t="shared" si="21"/>
        <v>6.3</v>
      </c>
      <c r="R44" s="97">
        <f t="shared" si="21"/>
        <v>6.2999999999999989</v>
      </c>
      <c r="S44" s="97">
        <f t="shared" si="21"/>
        <v>6.2999999999999989</v>
      </c>
      <c r="T44" s="97">
        <f t="shared" si="21"/>
        <v>8.4</v>
      </c>
      <c r="U44" s="97">
        <f>U43*U4</f>
        <v>8.4</v>
      </c>
      <c r="V44" s="97">
        <f t="shared" si="21"/>
        <v>10.5</v>
      </c>
      <c r="W44" s="97">
        <f t="shared" si="21"/>
        <v>8.4</v>
      </c>
      <c r="X44" s="97">
        <f t="shared" si="21"/>
        <v>6.2999999999999989</v>
      </c>
      <c r="Y44" s="97">
        <f t="shared" si="21"/>
        <v>10.5</v>
      </c>
      <c r="Z44" s="97">
        <f t="shared" si="21"/>
        <v>6.2999999999999989</v>
      </c>
      <c r="AA44" s="97">
        <f t="shared" si="21"/>
        <v>6.4</v>
      </c>
    </row>
    <row r="45" spans="2:29" outlineLevel="1" x14ac:dyDescent="0.3">
      <c r="B45" s="178"/>
      <c r="C45" s="129" t="s">
        <v>36</v>
      </c>
      <c r="D45" s="39">
        <f t="shared" ref="D45:AA45" si="22">D44*1.1</f>
        <v>4.620000000000001</v>
      </c>
      <c r="E45" s="39">
        <f t="shared" si="22"/>
        <v>4.620000000000001</v>
      </c>
      <c r="F45" s="39">
        <f t="shared" si="22"/>
        <v>9.240000000000002</v>
      </c>
      <c r="G45" s="39">
        <f t="shared" si="22"/>
        <v>4.620000000000001</v>
      </c>
      <c r="H45" s="39">
        <f t="shared" si="22"/>
        <v>6.93</v>
      </c>
      <c r="I45" s="39">
        <f t="shared" si="22"/>
        <v>6.93</v>
      </c>
      <c r="J45" s="39">
        <f t="shared" si="22"/>
        <v>9.240000000000002</v>
      </c>
      <c r="K45" s="39">
        <f t="shared" si="22"/>
        <v>6.93</v>
      </c>
      <c r="L45" s="39">
        <f t="shared" si="22"/>
        <v>9.240000000000002</v>
      </c>
      <c r="M45" s="39">
        <f t="shared" si="22"/>
        <v>9.240000000000002</v>
      </c>
      <c r="N45" s="39">
        <f t="shared" si="22"/>
        <v>9.240000000000002</v>
      </c>
      <c r="O45" s="39">
        <f t="shared" si="22"/>
        <v>9.240000000000002</v>
      </c>
      <c r="P45" s="39">
        <f t="shared" si="22"/>
        <v>9.240000000000002</v>
      </c>
      <c r="Q45" s="39">
        <f t="shared" si="22"/>
        <v>6.9300000000000006</v>
      </c>
      <c r="R45" s="39">
        <f t="shared" si="22"/>
        <v>6.93</v>
      </c>
      <c r="S45" s="39">
        <f t="shared" si="22"/>
        <v>6.93</v>
      </c>
      <c r="T45" s="39">
        <f t="shared" si="22"/>
        <v>9.240000000000002</v>
      </c>
      <c r="U45" s="39">
        <f t="shared" si="22"/>
        <v>9.240000000000002</v>
      </c>
      <c r="V45" s="39">
        <f t="shared" si="22"/>
        <v>11.55</v>
      </c>
      <c r="W45" s="39">
        <f t="shared" si="22"/>
        <v>9.240000000000002</v>
      </c>
      <c r="X45" s="39">
        <f t="shared" si="22"/>
        <v>6.93</v>
      </c>
      <c r="Y45" s="39">
        <f t="shared" si="22"/>
        <v>11.55</v>
      </c>
      <c r="Z45" s="39">
        <f t="shared" si="22"/>
        <v>6.93</v>
      </c>
      <c r="AA45" s="39">
        <f t="shared" si="22"/>
        <v>7.0400000000000009</v>
      </c>
    </row>
    <row r="46" spans="2:29" outlineLevel="1" x14ac:dyDescent="0.3">
      <c r="B46" s="178"/>
      <c r="C46" s="129" t="s">
        <v>37</v>
      </c>
      <c r="D46" s="40">
        <f t="shared" ref="D46:AA46" si="23">D44*0.9</f>
        <v>3.7800000000000002</v>
      </c>
      <c r="E46" s="40">
        <f t="shared" si="23"/>
        <v>3.7800000000000002</v>
      </c>
      <c r="F46" s="40">
        <f t="shared" si="23"/>
        <v>7.5600000000000005</v>
      </c>
      <c r="G46" s="40">
        <f t="shared" si="23"/>
        <v>3.7800000000000002</v>
      </c>
      <c r="H46" s="40">
        <f t="shared" si="23"/>
        <v>5.669999999999999</v>
      </c>
      <c r="I46" s="40">
        <f t="shared" si="23"/>
        <v>5.669999999999999</v>
      </c>
      <c r="J46" s="40">
        <f t="shared" si="23"/>
        <v>7.5600000000000005</v>
      </c>
      <c r="K46" s="40">
        <f t="shared" si="23"/>
        <v>5.669999999999999</v>
      </c>
      <c r="L46" s="40">
        <f t="shared" si="23"/>
        <v>7.5600000000000005</v>
      </c>
      <c r="M46" s="40">
        <f t="shared" si="23"/>
        <v>7.5600000000000005</v>
      </c>
      <c r="N46" s="40">
        <f t="shared" si="23"/>
        <v>7.5600000000000005</v>
      </c>
      <c r="O46" s="40">
        <f t="shared" si="23"/>
        <v>7.5600000000000005</v>
      </c>
      <c r="P46" s="40">
        <f t="shared" si="23"/>
        <v>7.5600000000000005</v>
      </c>
      <c r="Q46" s="40">
        <f t="shared" si="23"/>
        <v>5.67</v>
      </c>
      <c r="R46" s="40">
        <f t="shared" si="23"/>
        <v>5.669999999999999</v>
      </c>
      <c r="S46" s="40">
        <f t="shared" si="23"/>
        <v>5.669999999999999</v>
      </c>
      <c r="T46" s="40">
        <f t="shared" si="23"/>
        <v>7.5600000000000005</v>
      </c>
      <c r="U46" s="40">
        <f t="shared" si="23"/>
        <v>7.5600000000000005</v>
      </c>
      <c r="V46" s="40">
        <f t="shared" si="23"/>
        <v>9.4500000000000011</v>
      </c>
      <c r="W46" s="40">
        <f t="shared" si="23"/>
        <v>7.5600000000000005</v>
      </c>
      <c r="X46" s="40">
        <f t="shared" si="23"/>
        <v>5.669999999999999</v>
      </c>
      <c r="Y46" s="40">
        <f t="shared" si="23"/>
        <v>9.4500000000000011</v>
      </c>
      <c r="Z46" s="40">
        <f t="shared" si="23"/>
        <v>5.669999999999999</v>
      </c>
      <c r="AA46" s="40">
        <f t="shared" si="23"/>
        <v>5.7600000000000007</v>
      </c>
    </row>
    <row r="47" spans="2:29" ht="9.75" customHeight="1" x14ac:dyDescent="0.3">
      <c r="B47" s="178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41"/>
    </row>
    <row r="48" spans="2:29" x14ac:dyDescent="0.3">
      <c r="B48" s="178"/>
      <c r="C48" s="129" t="s">
        <v>38</v>
      </c>
      <c r="D48" s="43">
        <f t="shared" ref="D48:O48" si="24">D44</f>
        <v>4.2</v>
      </c>
      <c r="E48" s="43">
        <f t="shared" si="24"/>
        <v>4.2</v>
      </c>
      <c r="F48" s="43">
        <f t="shared" si="24"/>
        <v>8.4</v>
      </c>
      <c r="G48" s="43">
        <f t="shared" si="24"/>
        <v>4.2</v>
      </c>
      <c r="H48" s="43">
        <f t="shared" si="24"/>
        <v>6.2999999999999989</v>
      </c>
      <c r="I48" s="43">
        <f t="shared" si="24"/>
        <v>6.2999999999999989</v>
      </c>
      <c r="J48" s="43">
        <f t="shared" si="24"/>
        <v>8.4</v>
      </c>
      <c r="K48" s="43">
        <f t="shared" si="24"/>
        <v>6.2999999999999989</v>
      </c>
      <c r="L48" s="43">
        <f t="shared" si="24"/>
        <v>8.4</v>
      </c>
      <c r="M48" s="43">
        <f t="shared" si="24"/>
        <v>8.4</v>
      </c>
      <c r="N48" s="43">
        <f t="shared" si="24"/>
        <v>8.4</v>
      </c>
      <c r="O48" s="43">
        <f t="shared" si="24"/>
        <v>8.4</v>
      </c>
      <c r="P48" s="43">
        <f>P44</f>
        <v>8.4</v>
      </c>
      <c r="Q48" s="43">
        <f t="shared" ref="Q48:AA48" si="25">Q44</f>
        <v>6.3</v>
      </c>
      <c r="R48" s="43">
        <f t="shared" si="25"/>
        <v>6.2999999999999989</v>
      </c>
      <c r="S48" s="43">
        <f t="shared" si="25"/>
        <v>6.2999999999999989</v>
      </c>
      <c r="T48" s="43">
        <f t="shared" si="25"/>
        <v>8.4</v>
      </c>
      <c r="U48" s="43">
        <f t="shared" si="25"/>
        <v>8.4</v>
      </c>
      <c r="V48" s="43">
        <f t="shared" si="25"/>
        <v>10.5</v>
      </c>
      <c r="W48" s="43">
        <f t="shared" si="25"/>
        <v>8.4</v>
      </c>
      <c r="X48" s="43">
        <f t="shared" si="25"/>
        <v>6.2999999999999989</v>
      </c>
      <c r="Y48" s="43">
        <f t="shared" si="25"/>
        <v>10.5</v>
      </c>
      <c r="Z48" s="43">
        <f t="shared" si="25"/>
        <v>6.2999999999999989</v>
      </c>
      <c r="AA48" s="43">
        <f t="shared" si="25"/>
        <v>6.4</v>
      </c>
    </row>
    <row r="49" spans="2:29" x14ac:dyDescent="0.3">
      <c r="B49" s="178"/>
      <c r="C49" s="129" t="s">
        <v>39</v>
      </c>
      <c r="D49" s="127">
        <f>'SIMULAÇÃO CENÁRIOS'!$E$6</f>
        <v>175</v>
      </c>
      <c r="E49" s="127">
        <f>'SIMULAÇÃO CENÁRIOS'!$E$6</f>
        <v>175</v>
      </c>
      <c r="F49" s="127">
        <f>'SIMULAÇÃO CENÁRIOS'!$E$6</f>
        <v>175</v>
      </c>
      <c r="G49" s="127">
        <f>'SIMULAÇÃO CENÁRIOS'!$E$6</f>
        <v>175</v>
      </c>
      <c r="H49" s="127">
        <f>'SIMULAÇÃO CENÁRIOS'!$E$6</f>
        <v>175</v>
      </c>
      <c r="I49" s="127">
        <f>'SIMULAÇÃO CENÁRIOS'!$E$6</f>
        <v>175</v>
      </c>
      <c r="J49" s="127">
        <f>'SIMULAÇÃO CENÁRIOS'!$E$6</f>
        <v>175</v>
      </c>
      <c r="K49" s="127">
        <f>'SIMULAÇÃO CENÁRIOS'!$E$6</f>
        <v>175</v>
      </c>
      <c r="L49" s="127">
        <f>'SIMULAÇÃO CENÁRIOS'!$E$6</f>
        <v>175</v>
      </c>
      <c r="M49" s="127">
        <f>'SIMULAÇÃO CENÁRIOS'!$E$6</f>
        <v>175</v>
      </c>
      <c r="N49" s="127">
        <f>'SIMULAÇÃO CENÁRIOS'!$E$6</f>
        <v>175</v>
      </c>
      <c r="O49" s="127">
        <f>'SIMULAÇÃO CENÁRIOS'!$E$6</f>
        <v>175</v>
      </c>
      <c r="P49" s="127">
        <f>'SIMULAÇÃO CENÁRIOS'!$E$6</f>
        <v>175</v>
      </c>
      <c r="Q49" s="127">
        <f>'SIMULAÇÃO CENÁRIOS'!$E$6</f>
        <v>175</v>
      </c>
      <c r="R49" s="127">
        <f>'SIMULAÇÃO CENÁRIOS'!$E$6</f>
        <v>175</v>
      </c>
      <c r="S49" s="127">
        <f>'SIMULAÇÃO CENÁRIOS'!$E$6</f>
        <v>175</v>
      </c>
      <c r="T49" s="127">
        <f>'SIMULAÇÃO CENÁRIOS'!$E$6</f>
        <v>175</v>
      </c>
      <c r="U49" s="127">
        <f>'SIMULAÇÃO CENÁRIOS'!$E$6</f>
        <v>175</v>
      </c>
      <c r="V49" s="127">
        <f>'SIMULAÇÃO CENÁRIOS'!$E$6</f>
        <v>175</v>
      </c>
      <c r="W49" s="127">
        <f>'SIMULAÇÃO CENÁRIOS'!$E$6</f>
        <v>175</v>
      </c>
      <c r="X49" s="127">
        <f>'SIMULAÇÃO CENÁRIOS'!$E$6</f>
        <v>175</v>
      </c>
      <c r="Y49" s="127">
        <f>'SIMULAÇÃO CENÁRIOS'!$E$6</f>
        <v>175</v>
      </c>
      <c r="Z49" s="127">
        <f>'SIMULAÇÃO CENÁRIOS'!$E$6</f>
        <v>175</v>
      </c>
      <c r="AA49" s="127">
        <f>'SIMULAÇÃO CENÁRIOS'!$E$6</f>
        <v>175</v>
      </c>
    </row>
    <row r="50" spans="2:29" x14ac:dyDescent="0.3">
      <c r="B50" s="178"/>
      <c r="C50" s="129" t="s">
        <v>40</v>
      </c>
      <c r="D50" s="44">
        <f t="shared" ref="D50:O50" si="26">D48*D49/(1-$P$27)</f>
        <v>1006.8493150684932</v>
      </c>
      <c r="E50" s="44">
        <f t="shared" si="26"/>
        <v>1006.8493150684932</v>
      </c>
      <c r="F50" s="44">
        <f t="shared" si="26"/>
        <v>2013.6986301369864</v>
      </c>
      <c r="G50" s="44">
        <f t="shared" si="26"/>
        <v>1006.8493150684932</v>
      </c>
      <c r="H50" s="44">
        <f t="shared" si="26"/>
        <v>1510.2739726027394</v>
      </c>
      <c r="I50" s="44">
        <f t="shared" si="26"/>
        <v>1510.2739726027394</v>
      </c>
      <c r="J50" s="44">
        <f t="shared" si="26"/>
        <v>2013.6986301369864</v>
      </c>
      <c r="K50" s="44">
        <f t="shared" si="26"/>
        <v>1510.2739726027394</v>
      </c>
      <c r="L50" s="44">
        <f t="shared" si="26"/>
        <v>2013.6986301369864</v>
      </c>
      <c r="M50" s="44">
        <f t="shared" si="26"/>
        <v>2013.6986301369864</v>
      </c>
      <c r="N50" s="44">
        <f t="shared" si="26"/>
        <v>2013.6986301369864</v>
      </c>
      <c r="O50" s="44">
        <f t="shared" si="26"/>
        <v>2013.6986301369864</v>
      </c>
      <c r="P50" s="44">
        <f>P48*P49/(1-$P$27)</f>
        <v>2013.6986301369864</v>
      </c>
      <c r="Q50" s="44">
        <f t="shared" ref="Q50:AA50" si="27">Q48*Q49/(1-$P$27)</f>
        <v>1510.2739726027398</v>
      </c>
      <c r="R50" s="44">
        <f t="shared" si="27"/>
        <v>1510.2739726027394</v>
      </c>
      <c r="S50" s="44">
        <f t="shared" si="27"/>
        <v>1510.2739726027394</v>
      </c>
      <c r="T50" s="44">
        <f t="shared" si="27"/>
        <v>2013.6986301369864</v>
      </c>
      <c r="U50" s="44">
        <f t="shared" si="27"/>
        <v>2013.6986301369864</v>
      </c>
      <c r="V50" s="44">
        <f t="shared" si="27"/>
        <v>2517.1232876712329</v>
      </c>
      <c r="W50" s="44">
        <f t="shared" si="27"/>
        <v>2013.6986301369864</v>
      </c>
      <c r="X50" s="44">
        <f t="shared" si="27"/>
        <v>1510.2739726027394</v>
      </c>
      <c r="Y50" s="44">
        <f t="shared" si="27"/>
        <v>2517.1232876712329</v>
      </c>
      <c r="Z50" s="44">
        <f t="shared" si="27"/>
        <v>1510.2739726027394</v>
      </c>
      <c r="AA50" s="44">
        <f t="shared" si="27"/>
        <v>1534.2465753424658</v>
      </c>
    </row>
    <row r="51" spans="2:29" ht="9.75" customHeight="1" thickBot="1" x14ac:dyDescent="0.35">
      <c r="B51" s="178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45"/>
    </row>
    <row r="52" spans="2:29" ht="22.5" customHeight="1" thickBot="1" x14ac:dyDescent="0.35">
      <c r="B52" s="178"/>
      <c r="C52" s="134" t="s">
        <v>98</v>
      </c>
      <c r="D52" s="46">
        <f t="shared" ref="D52:O52" si="28">+D50+D37+D36</f>
        <v>8602.787550362611</v>
      </c>
      <c r="E52" s="46">
        <f t="shared" si="28"/>
        <v>8602.787550362611</v>
      </c>
      <c r="F52" s="46">
        <f t="shared" si="28"/>
        <v>13860.12951248993</v>
      </c>
      <c r="G52" s="46">
        <f t="shared" si="28"/>
        <v>8602.787550362611</v>
      </c>
      <c r="H52" s="46">
        <f t="shared" si="28"/>
        <v>9363.7401490733282</v>
      </c>
      <c r="I52" s="46">
        <f t="shared" si="28"/>
        <v>9363.7401490733282</v>
      </c>
      <c r="J52" s="46">
        <f t="shared" si="28"/>
        <v>13860.12951248993</v>
      </c>
      <c r="K52" s="46">
        <f t="shared" si="28"/>
        <v>9363.7401490733282</v>
      </c>
      <c r="L52" s="46">
        <f t="shared" si="28"/>
        <v>10124.692747784045</v>
      </c>
      <c r="M52" s="46">
        <f t="shared" si="28"/>
        <v>13860.12951248993</v>
      </c>
      <c r="N52" s="46">
        <f t="shared" si="28"/>
        <v>10124.692747784045</v>
      </c>
      <c r="O52" s="46">
        <f t="shared" si="28"/>
        <v>10124.692747784045</v>
      </c>
      <c r="P52" s="46">
        <f>+P50+P37+P36</f>
        <v>13860.12951248993</v>
      </c>
      <c r="Q52" s="46">
        <f t="shared" ref="Q52:AA52" si="29">+Q50+Q37+Q36</f>
        <v>9363.7401490733282</v>
      </c>
      <c r="R52" s="46">
        <f t="shared" si="29"/>
        <v>9363.7401490733282</v>
      </c>
      <c r="S52" s="46">
        <f t="shared" si="29"/>
        <v>9363.7401490733282</v>
      </c>
      <c r="T52" s="46">
        <f t="shared" si="29"/>
        <v>13860.12951248993</v>
      </c>
      <c r="U52" s="46">
        <f t="shared" si="29"/>
        <v>10124.692747784045</v>
      </c>
      <c r="V52" s="46">
        <f t="shared" si="29"/>
        <v>14621.082111200647</v>
      </c>
      <c r="W52" s="46">
        <f t="shared" si="29"/>
        <v>10124.692747784045</v>
      </c>
      <c r="X52" s="46">
        <f t="shared" si="29"/>
        <v>9363.7401490733282</v>
      </c>
      <c r="Y52" s="46">
        <f t="shared" si="29"/>
        <v>14621.082111200647</v>
      </c>
      <c r="Z52" s="46">
        <f t="shared" si="29"/>
        <v>9363.7401490733282</v>
      </c>
      <c r="AA52" s="46">
        <f t="shared" si="29"/>
        <v>9399.9759871071728</v>
      </c>
      <c r="AC52" s="47">
        <f>SUM(D52:AA52)</f>
        <v>259284.53535455282</v>
      </c>
    </row>
    <row r="53" spans="2:29" x14ac:dyDescent="0.3">
      <c r="B53" s="178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100"/>
    </row>
    <row r="54" spans="2:29" ht="50.25" customHeight="1" x14ac:dyDescent="0.3">
      <c r="B54" s="178"/>
      <c r="C54" s="172" t="s">
        <v>99</v>
      </c>
      <c r="D54" s="172"/>
      <c r="E54" s="172"/>
      <c r="F54" s="172"/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172"/>
      <c r="R54" s="172"/>
      <c r="S54" s="172"/>
      <c r="T54" s="172"/>
      <c r="U54" s="172"/>
      <c r="V54" s="172"/>
      <c r="W54" s="172"/>
      <c r="X54" s="172"/>
      <c r="Y54" s="172"/>
      <c r="Z54" s="172"/>
      <c r="AA54" s="173"/>
    </row>
    <row r="55" spans="2:29" x14ac:dyDescent="0.3">
      <c r="B55" s="178"/>
      <c r="C55" s="129" t="s">
        <v>101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3">
        <v>0</v>
      </c>
      <c r="R55" s="43">
        <v>0</v>
      </c>
      <c r="S55" s="43">
        <v>0</v>
      </c>
      <c r="T55" s="43">
        <v>0</v>
      </c>
      <c r="U55" s="43">
        <v>0</v>
      </c>
      <c r="V55" s="43">
        <v>0</v>
      </c>
      <c r="W55" s="43">
        <v>0</v>
      </c>
      <c r="X55" s="43">
        <v>0</v>
      </c>
      <c r="Y55" s="43">
        <v>0</v>
      </c>
      <c r="Z55" s="43">
        <v>0</v>
      </c>
      <c r="AA55" s="43">
        <v>0</v>
      </c>
    </row>
    <row r="56" spans="2:29" x14ac:dyDescent="0.3">
      <c r="B56" s="178"/>
      <c r="C56" s="129" t="s">
        <v>102</v>
      </c>
      <c r="D56" s="17">
        <f t="shared" ref="D56:O56" si="30">D9*D21+D11*D21*2</f>
        <v>4815</v>
      </c>
      <c r="E56" s="17">
        <f t="shared" si="30"/>
        <v>4815</v>
      </c>
      <c r="F56" s="17">
        <f t="shared" si="30"/>
        <v>4815</v>
      </c>
      <c r="G56" s="17">
        <f t="shared" si="30"/>
        <v>4815</v>
      </c>
      <c r="H56" s="17">
        <f t="shared" si="30"/>
        <v>4815</v>
      </c>
      <c r="I56" s="17">
        <f t="shared" si="30"/>
        <v>4815</v>
      </c>
      <c r="J56" s="17">
        <f t="shared" si="30"/>
        <v>4815</v>
      </c>
      <c r="K56" s="17">
        <f t="shared" si="30"/>
        <v>4815</v>
      </c>
      <c r="L56" s="17">
        <f t="shared" si="30"/>
        <v>4815</v>
      </c>
      <c r="M56" s="17">
        <f t="shared" si="30"/>
        <v>4815</v>
      </c>
      <c r="N56" s="17">
        <f t="shared" si="30"/>
        <v>4815</v>
      </c>
      <c r="O56" s="17">
        <f t="shared" si="30"/>
        <v>4815</v>
      </c>
      <c r="P56" s="17">
        <f>P9*P21+P11*P21*2</f>
        <v>4815</v>
      </c>
      <c r="Q56" s="18">
        <f t="shared" ref="Q56:AA56" si="31">Q9*Q21+Q11*Q21*2</f>
        <v>4815</v>
      </c>
      <c r="R56" s="18">
        <f t="shared" si="31"/>
        <v>4815</v>
      </c>
      <c r="S56" s="18">
        <f t="shared" si="31"/>
        <v>4815</v>
      </c>
      <c r="T56" s="18">
        <f t="shared" si="31"/>
        <v>4815</v>
      </c>
      <c r="U56" s="18">
        <f t="shared" si="31"/>
        <v>4815</v>
      </c>
      <c r="V56" s="18">
        <f t="shared" si="31"/>
        <v>4815</v>
      </c>
      <c r="W56" s="18">
        <f t="shared" si="31"/>
        <v>4815</v>
      </c>
      <c r="X56" s="18">
        <f t="shared" si="31"/>
        <v>4815</v>
      </c>
      <c r="Y56" s="18">
        <f t="shared" si="31"/>
        <v>4815</v>
      </c>
      <c r="Z56" s="18">
        <f t="shared" si="31"/>
        <v>4815</v>
      </c>
      <c r="AA56" s="18">
        <f t="shared" si="31"/>
        <v>4815</v>
      </c>
    </row>
    <row r="57" spans="2:29" x14ac:dyDescent="0.3">
      <c r="B57" s="178"/>
      <c r="C57" s="129" t="s">
        <v>103</v>
      </c>
      <c r="D57" s="102">
        <f t="shared" ref="D57:O58" si="32">D12*D22</f>
        <v>0</v>
      </c>
      <c r="E57" s="102">
        <f t="shared" si="32"/>
        <v>0</v>
      </c>
      <c r="F57" s="102">
        <f t="shared" si="32"/>
        <v>2715.2160000000003</v>
      </c>
      <c r="G57" s="102">
        <f t="shared" si="32"/>
        <v>0</v>
      </c>
      <c r="H57" s="102">
        <f t="shared" si="32"/>
        <v>0</v>
      </c>
      <c r="I57" s="102">
        <f t="shared" si="32"/>
        <v>0</v>
      </c>
      <c r="J57" s="102">
        <f t="shared" si="32"/>
        <v>2715.2160000000003</v>
      </c>
      <c r="K57" s="102">
        <f t="shared" si="32"/>
        <v>0</v>
      </c>
      <c r="L57" s="102">
        <f t="shared" si="32"/>
        <v>0</v>
      </c>
      <c r="M57" s="102">
        <f t="shared" si="32"/>
        <v>2715.2160000000003</v>
      </c>
      <c r="N57" s="102">
        <f t="shared" si="32"/>
        <v>0</v>
      </c>
      <c r="O57" s="102">
        <f t="shared" si="32"/>
        <v>0</v>
      </c>
      <c r="P57" s="102">
        <f>P12*P22</f>
        <v>2715.2160000000003</v>
      </c>
      <c r="Q57" s="103">
        <f t="shared" ref="Q57:AA58" si="33">Q12*Q22</f>
        <v>0</v>
      </c>
      <c r="R57" s="103">
        <f t="shared" si="33"/>
        <v>0</v>
      </c>
      <c r="S57" s="103">
        <f t="shared" si="33"/>
        <v>0</v>
      </c>
      <c r="T57" s="103">
        <f t="shared" si="33"/>
        <v>2715.2160000000003</v>
      </c>
      <c r="U57" s="103">
        <f t="shared" si="33"/>
        <v>0</v>
      </c>
      <c r="V57" s="103">
        <f t="shared" si="33"/>
        <v>2715.2160000000003</v>
      </c>
      <c r="W57" s="103">
        <f t="shared" si="33"/>
        <v>0</v>
      </c>
      <c r="X57" s="103">
        <f t="shared" si="33"/>
        <v>0</v>
      </c>
      <c r="Y57" s="103">
        <f t="shared" si="33"/>
        <v>2715.2160000000003</v>
      </c>
      <c r="Z57" s="103">
        <f t="shared" si="33"/>
        <v>0</v>
      </c>
      <c r="AA57" s="103">
        <f t="shared" si="33"/>
        <v>0</v>
      </c>
    </row>
    <row r="58" spans="2:29" x14ac:dyDescent="0.3">
      <c r="B58" s="178"/>
      <c r="C58" s="129" t="s">
        <v>104</v>
      </c>
      <c r="D58" s="17">
        <f t="shared" si="32"/>
        <v>350.238</v>
      </c>
      <c r="E58" s="17">
        <f t="shared" si="32"/>
        <v>350.238</v>
      </c>
      <c r="F58" s="17">
        <f t="shared" si="32"/>
        <v>525.35699999999997</v>
      </c>
      <c r="G58" s="17">
        <f t="shared" si="32"/>
        <v>350.238</v>
      </c>
      <c r="H58" s="17">
        <f t="shared" si="32"/>
        <v>525.35699999999997</v>
      </c>
      <c r="I58" s="17">
        <f t="shared" si="32"/>
        <v>525.35699999999997</v>
      </c>
      <c r="J58" s="17">
        <f t="shared" si="32"/>
        <v>525.35699999999997</v>
      </c>
      <c r="K58" s="17">
        <f t="shared" si="32"/>
        <v>525.35699999999997</v>
      </c>
      <c r="L58" s="17">
        <f t="shared" si="32"/>
        <v>700.476</v>
      </c>
      <c r="M58" s="17">
        <f t="shared" si="32"/>
        <v>525.35699999999997</v>
      </c>
      <c r="N58" s="17">
        <f t="shared" si="32"/>
        <v>700.476</v>
      </c>
      <c r="O58" s="17">
        <f t="shared" si="32"/>
        <v>700.476</v>
      </c>
      <c r="P58" s="17">
        <f>P13*P23</f>
        <v>525.35699999999997</v>
      </c>
      <c r="Q58" s="18">
        <f t="shared" si="33"/>
        <v>525.35699999999997</v>
      </c>
      <c r="R58" s="18">
        <f t="shared" si="33"/>
        <v>525.35699999999997</v>
      </c>
      <c r="S58" s="18">
        <f t="shared" si="33"/>
        <v>525.35699999999997</v>
      </c>
      <c r="T58" s="18">
        <f t="shared" si="33"/>
        <v>525.35699999999997</v>
      </c>
      <c r="U58" s="18">
        <f t="shared" si="33"/>
        <v>700.476</v>
      </c>
      <c r="V58" s="18">
        <f t="shared" si="33"/>
        <v>700.476</v>
      </c>
      <c r="W58" s="18">
        <f t="shared" si="33"/>
        <v>700.476</v>
      </c>
      <c r="X58" s="18">
        <f t="shared" si="33"/>
        <v>525.35699999999997</v>
      </c>
      <c r="Y58" s="18">
        <f t="shared" si="33"/>
        <v>700.476</v>
      </c>
      <c r="Z58" s="18">
        <f t="shared" si="33"/>
        <v>525.35699999999997</v>
      </c>
      <c r="AA58" s="18">
        <f t="shared" si="33"/>
        <v>533.69600000000003</v>
      </c>
    </row>
    <row r="59" spans="2:29" x14ac:dyDescent="0.3">
      <c r="B59" s="178"/>
      <c r="C59" s="129" t="s">
        <v>105</v>
      </c>
      <c r="D59" s="102">
        <f t="shared" ref="D59:O60" si="34">D12*D24</f>
        <v>0</v>
      </c>
      <c r="E59" s="102">
        <f t="shared" si="34"/>
        <v>0</v>
      </c>
      <c r="F59" s="102">
        <f t="shared" si="34"/>
        <v>883.428</v>
      </c>
      <c r="G59" s="102">
        <f t="shared" si="34"/>
        <v>0</v>
      </c>
      <c r="H59" s="102">
        <f t="shared" si="34"/>
        <v>0</v>
      </c>
      <c r="I59" s="102">
        <f t="shared" si="34"/>
        <v>0</v>
      </c>
      <c r="J59" s="102">
        <f t="shared" si="34"/>
        <v>883.428</v>
      </c>
      <c r="K59" s="102">
        <f t="shared" si="34"/>
        <v>0</v>
      </c>
      <c r="L59" s="102">
        <f t="shared" si="34"/>
        <v>0</v>
      </c>
      <c r="M59" s="102">
        <f t="shared" si="34"/>
        <v>883.428</v>
      </c>
      <c r="N59" s="102">
        <f t="shared" si="34"/>
        <v>0</v>
      </c>
      <c r="O59" s="102">
        <f t="shared" si="34"/>
        <v>0</v>
      </c>
      <c r="P59" s="102">
        <f>P12*P24</f>
        <v>883.428</v>
      </c>
      <c r="Q59" s="103">
        <f t="shared" ref="Q59:AA60" si="35">Q12*Q24</f>
        <v>0</v>
      </c>
      <c r="R59" s="103">
        <f t="shared" si="35"/>
        <v>0</v>
      </c>
      <c r="S59" s="103">
        <f t="shared" si="35"/>
        <v>0</v>
      </c>
      <c r="T59" s="103">
        <f t="shared" si="35"/>
        <v>883.428</v>
      </c>
      <c r="U59" s="103">
        <f t="shared" si="35"/>
        <v>0</v>
      </c>
      <c r="V59" s="103">
        <f t="shared" si="35"/>
        <v>883.428</v>
      </c>
      <c r="W59" s="103">
        <f t="shared" si="35"/>
        <v>0</v>
      </c>
      <c r="X59" s="103">
        <f t="shared" si="35"/>
        <v>0</v>
      </c>
      <c r="Y59" s="103">
        <f t="shared" si="35"/>
        <v>883.428</v>
      </c>
      <c r="Z59" s="103">
        <f t="shared" si="35"/>
        <v>0</v>
      </c>
      <c r="AA59" s="103">
        <f t="shared" si="35"/>
        <v>0</v>
      </c>
    </row>
    <row r="60" spans="2:29" x14ac:dyDescent="0.3">
      <c r="B60" s="178"/>
      <c r="C60" s="129" t="s">
        <v>106</v>
      </c>
      <c r="D60" s="17">
        <f t="shared" si="34"/>
        <v>1056.048</v>
      </c>
      <c r="E60" s="17">
        <f t="shared" si="34"/>
        <v>1056.048</v>
      </c>
      <c r="F60" s="17">
        <f t="shared" si="34"/>
        <v>1584.0719999999999</v>
      </c>
      <c r="G60" s="17">
        <f t="shared" si="34"/>
        <v>1056.048</v>
      </c>
      <c r="H60" s="17">
        <f t="shared" si="34"/>
        <v>1584.0719999999999</v>
      </c>
      <c r="I60" s="17">
        <f t="shared" si="34"/>
        <v>1584.0719999999999</v>
      </c>
      <c r="J60" s="17">
        <f t="shared" si="34"/>
        <v>1584.0719999999999</v>
      </c>
      <c r="K60" s="17">
        <f t="shared" si="34"/>
        <v>1584.0719999999999</v>
      </c>
      <c r="L60" s="17">
        <f t="shared" si="34"/>
        <v>2112.096</v>
      </c>
      <c r="M60" s="17">
        <f t="shared" si="34"/>
        <v>1584.0719999999999</v>
      </c>
      <c r="N60" s="17">
        <f t="shared" si="34"/>
        <v>2112.096</v>
      </c>
      <c r="O60" s="17">
        <f t="shared" si="34"/>
        <v>2112.096</v>
      </c>
      <c r="P60" s="17">
        <f>P13*P25</f>
        <v>1584.0719999999999</v>
      </c>
      <c r="Q60" s="18">
        <f t="shared" si="35"/>
        <v>1584.0719999999999</v>
      </c>
      <c r="R60" s="18">
        <f t="shared" si="35"/>
        <v>1584.0719999999999</v>
      </c>
      <c r="S60" s="18">
        <f t="shared" si="35"/>
        <v>1584.0719999999999</v>
      </c>
      <c r="T60" s="18">
        <f t="shared" si="35"/>
        <v>1584.0719999999999</v>
      </c>
      <c r="U60" s="18">
        <f t="shared" si="35"/>
        <v>2112.096</v>
      </c>
      <c r="V60" s="18">
        <f t="shared" si="35"/>
        <v>2112.096</v>
      </c>
      <c r="W60" s="18">
        <f t="shared" si="35"/>
        <v>2112.096</v>
      </c>
      <c r="X60" s="18">
        <f t="shared" si="35"/>
        <v>1584.0719999999999</v>
      </c>
      <c r="Y60" s="18">
        <f t="shared" si="35"/>
        <v>2112.096</v>
      </c>
      <c r="Z60" s="18">
        <f t="shared" si="35"/>
        <v>1584.0719999999999</v>
      </c>
      <c r="AA60" s="18">
        <f t="shared" si="35"/>
        <v>1609.2160000000001</v>
      </c>
    </row>
    <row r="61" spans="2:29" x14ac:dyDescent="0.3">
      <c r="B61" s="178"/>
      <c r="C61" s="130" t="s">
        <v>107</v>
      </c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103"/>
    </row>
    <row r="62" spans="2:29" x14ac:dyDescent="0.3">
      <c r="B62" s="178"/>
      <c r="C62" s="130" t="s">
        <v>110</v>
      </c>
      <c r="D62" s="21">
        <f t="shared" ref="D62:O62" si="36">SUM(D55:D61)/(1-SUM(D27:D28))*SUM(D27:D28)</f>
        <v>2927.6640000000002</v>
      </c>
      <c r="E62" s="21">
        <f t="shared" si="36"/>
        <v>2927.6640000000002</v>
      </c>
      <c r="F62" s="21">
        <f t="shared" si="36"/>
        <v>4952.0343529411775</v>
      </c>
      <c r="G62" s="21">
        <f t="shared" si="36"/>
        <v>2927.6640000000002</v>
      </c>
      <c r="H62" s="21">
        <f t="shared" si="36"/>
        <v>3258.5548235294123</v>
      </c>
      <c r="I62" s="21">
        <f t="shared" si="36"/>
        <v>3258.5548235294123</v>
      </c>
      <c r="J62" s="21">
        <f t="shared" si="36"/>
        <v>4952.0343529411775</v>
      </c>
      <c r="K62" s="21">
        <f t="shared" si="36"/>
        <v>3258.5548235294123</v>
      </c>
      <c r="L62" s="21">
        <f t="shared" si="36"/>
        <v>3589.4456470588239</v>
      </c>
      <c r="M62" s="21">
        <f t="shared" si="36"/>
        <v>4952.0343529411775</v>
      </c>
      <c r="N62" s="21">
        <f t="shared" si="36"/>
        <v>3589.4456470588239</v>
      </c>
      <c r="O62" s="21">
        <f t="shared" si="36"/>
        <v>3589.4456470588239</v>
      </c>
      <c r="P62" s="21">
        <f>SUM(P55:P61)/(1-SUM(P27:P28))*SUM(P27:P28)</f>
        <v>4952.0343529411775</v>
      </c>
      <c r="Q62" s="22">
        <f t="shared" ref="Q62:AA62" si="37">SUM(Q55:Q61)/(1-SUM(Q27:Q28))*SUM(Q27:Q28)</f>
        <v>3258.5548235294123</v>
      </c>
      <c r="R62" s="22">
        <f t="shared" si="37"/>
        <v>3258.5548235294123</v>
      </c>
      <c r="S62" s="22">
        <f t="shared" si="37"/>
        <v>3258.5548235294123</v>
      </c>
      <c r="T62" s="22">
        <f t="shared" si="37"/>
        <v>4952.0343529411775</v>
      </c>
      <c r="U62" s="22">
        <f t="shared" si="37"/>
        <v>3589.4456470588239</v>
      </c>
      <c r="V62" s="22">
        <f t="shared" si="37"/>
        <v>5282.9251764705896</v>
      </c>
      <c r="W62" s="22">
        <f t="shared" si="37"/>
        <v>3589.4456470588239</v>
      </c>
      <c r="X62" s="22">
        <f t="shared" si="37"/>
        <v>3258.5548235294123</v>
      </c>
      <c r="Y62" s="22">
        <f t="shared" si="37"/>
        <v>5282.9251764705896</v>
      </c>
      <c r="Z62" s="22">
        <f t="shared" si="37"/>
        <v>3258.5548235294123</v>
      </c>
      <c r="AA62" s="22">
        <f t="shared" si="37"/>
        <v>3274.3115294117652</v>
      </c>
    </row>
    <row r="63" spans="2:29" ht="17.25" thickBot="1" x14ac:dyDescent="0.35">
      <c r="B63" s="178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45"/>
    </row>
    <row r="64" spans="2:29" ht="22.5" customHeight="1" thickBot="1" x14ac:dyDescent="0.35">
      <c r="B64" s="178"/>
      <c r="C64" s="134" t="s">
        <v>109</v>
      </c>
      <c r="D64" s="46">
        <f t="shared" ref="D64:O64" si="38">+SUM(D55:D62)</f>
        <v>9148.9500000000007</v>
      </c>
      <c r="E64" s="46">
        <f t="shared" si="38"/>
        <v>9148.9500000000007</v>
      </c>
      <c r="F64" s="46">
        <f t="shared" si="38"/>
        <v>15475.107352941177</v>
      </c>
      <c r="G64" s="46">
        <f t="shared" si="38"/>
        <v>9148.9500000000007</v>
      </c>
      <c r="H64" s="46">
        <f t="shared" si="38"/>
        <v>10182.983823529412</v>
      </c>
      <c r="I64" s="46">
        <f t="shared" si="38"/>
        <v>10182.983823529412</v>
      </c>
      <c r="J64" s="46">
        <f t="shared" si="38"/>
        <v>15475.107352941177</v>
      </c>
      <c r="K64" s="46">
        <f t="shared" si="38"/>
        <v>10182.983823529412</v>
      </c>
      <c r="L64" s="46">
        <f t="shared" si="38"/>
        <v>11217.017647058823</v>
      </c>
      <c r="M64" s="46">
        <f t="shared" si="38"/>
        <v>15475.107352941177</v>
      </c>
      <c r="N64" s="46">
        <f t="shared" si="38"/>
        <v>11217.017647058823</v>
      </c>
      <c r="O64" s="46">
        <f t="shared" si="38"/>
        <v>11217.017647058823</v>
      </c>
      <c r="P64" s="46">
        <f>+SUM(P55:P62)</f>
        <v>15475.107352941177</v>
      </c>
      <c r="Q64" s="46">
        <f t="shared" ref="Q64:AA64" si="39">+SUM(Q55:Q62)</f>
        <v>10182.983823529412</v>
      </c>
      <c r="R64" s="46">
        <f t="shared" si="39"/>
        <v>10182.983823529412</v>
      </c>
      <c r="S64" s="46">
        <f t="shared" si="39"/>
        <v>10182.983823529412</v>
      </c>
      <c r="T64" s="46">
        <f t="shared" si="39"/>
        <v>15475.107352941177</v>
      </c>
      <c r="U64" s="46">
        <f t="shared" si="39"/>
        <v>11217.017647058823</v>
      </c>
      <c r="V64" s="46">
        <f t="shared" si="39"/>
        <v>16509.141176470592</v>
      </c>
      <c r="W64" s="46">
        <f t="shared" si="39"/>
        <v>11217.017647058823</v>
      </c>
      <c r="X64" s="46">
        <f t="shared" si="39"/>
        <v>10182.983823529412</v>
      </c>
      <c r="Y64" s="46">
        <f t="shared" si="39"/>
        <v>16509.141176470592</v>
      </c>
      <c r="Z64" s="46">
        <f t="shared" si="39"/>
        <v>10182.983823529412</v>
      </c>
      <c r="AA64" s="46">
        <f t="shared" si="39"/>
        <v>10232.223529411765</v>
      </c>
      <c r="AC64" s="47">
        <f>SUM(D64:AA64)</f>
        <v>285621.85147058824</v>
      </c>
    </row>
    <row r="65" spans="2:32" ht="17.25" thickBot="1" x14ac:dyDescent="0.35">
      <c r="B65" s="178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  <c r="AA65" s="41"/>
    </row>
    <row r="66" spans="2:32" ht="22.5" customHeight="1" thickBot="1" x14ac:dyDescent="0.35">
      <c r="B66" s="178"/>
      <c r="C66" s="134" t="s">
        <v>111</v>
      </c>
      <c r="D66" s="46">
        <f t="shared" ref="D66:O66" si="40">D64-D52</f>
        <v>546.16244963738973</v>
      </c>
      <c r="E66" s="46">
        <f t="shared" si="40"/>
        <v>546.16244963738973</v>
      </c>
      <c r="F66" s="46">
        <f t="shared" si="40"/>
        <v>1614.9778404512472</v>
      </c>
      <c r="G66" s="46">
        <f t="shared" si="40"/>
        <v>546.16244963738973</v>
      </c>
      <c r="H66" s="46">
        <f t="shared" si="40"/>
        <v>819.24367445608368</v>
      </c>
      <c r="I66" s="46">
        <f t="shared" si="40"/>
        <v>819.24367445608368</v>
      </c>
      <c r="J66" s="46">
        <f t="shared" si="40"/>
        <v>1614.9778404512472</v>
      </c>
      <c r="K66" s="46">
        <f t="shared" si="40"/>
        <v>819.24367445608368</v>
      </c>
      <c r="L66" s="46">
        <f t="shared" si="40"/>
        <v>1092.3248992747776</v>
      </c>
      <c r="M66" s="46">
        <f t="shared" si="40"/>
        <v>1614.9778404512472</v>
      </c>
      <c r="N66" s="46">
        <f t="shared" si="40"/>
        <v>1092.3248992747776</v>
      </c>
      <c r="O66" s="46">
        <f t="shared" si="40"/>
        <v>1092.3248992747776</v>
      </c>
      <c r="P66" s="46">
        <f>P64-P52</f>
        <v>1614.9778404512472</v>
      </c>
      <c r="Q66" s="46">
        <f t="shared" ref="Q66:AA66" si="41">Q64-Q52</f>
        <v>819.24367445608368</v>
      </c>
      <c r="R66" s="46">
        <f t="shared" si="41"/>
        <v>819.24367445608368</v>
      </c>
      <c r="S66" s="46">
        <f t="shared" si="41"/>
        <v>819.24367445608368</v>
      </c>
      <c r="T66" s="46">
        <f t="shared" si="41"/>
        <v>1614.9778404512472</v>
      </c>
      <c r="U66" s="46">
        <f t="shared" si="41"/>
        <v>1092.3248992747776</v>
      </c>
      <c r="V66" s="46">
        <f t="shared" si="41"/>
        <v>1888.0590652699448</v>
      </c>
      <c r="W66" s="46">
        <f t="shared" si="41"/>
        <v>1092.3248992747776</v>
      </c>
      <c r="X66" s="46">
        <f t="shared" si="41"/>
        <v>819.24367445608368</v>
      </c>
      <c r="Y66" s="46">
        <f t="shared" si="41"/>
        <v>1888.0590652699448</v>
      </c>
      <c r="Z66" s="46">
        <f t="shared" si="41"/>
        <v>819.24367445608368</v>
      </c>
      <c r="AA66" s="46">
        <f t="shared" si="41"/>
        <v>832.24754230459257</v>
      </c>
      <c r="AC66" s="47">
        <f>AC64-AC52</f>
        <v>26337.316116035421</v>
      </c>
    </row>
    <row r="67" spans="2:32" ht="23.25" customHeight="1" thickBot="1" x14ac:dyDescent="0.35">
      <c r="B67" s="179"/>
      <c r="C67" s="134" t="s">
        <v>112</v>
      </c>
      <c r="D67" s="105">
        <f t="shared" ref="D67:O67" si="42">D66/D64</f>
        <v>5.9696735651346838E-2</v>
      </c>
      <c r="E67" s="105">
        <f t="shared" si="42"/>
        <v>5.9696735651346838E-2</v>
      </c>
      <c r="F67" s="105">
        <f t="shared" si="42"/>
        <v>0.10435971806969771</v>
      </c>
      <c r="G67" s="105">
        <f t="shared" si="42"/>
        <v>5.9696735651346838E-2</v>
      </c>
      <c r="H67" s="105">
        <f t="shared" si="42"/>
        <v>8.0452221927632864E-2</v>
      </c>
      <c r="I67" s="105">
        <f t="shared" si="42"/>
        <v>8.0452221927632864E-2</v>
      </c>
      <c r="J67" s="105">
        <f t="shared" si="42"/>
        <v>0.10435971806969771</v>
      </c>
      <c r="K67" s="105">
        <f t="shared" si="42"/>
        <v>8.0452221927632864E-2</v>
      </c>
      <c r="L67" s="105">
        <f t="shared" si="42"/>
        <v>9.7381044912699458E-2</v>
      </c>
      <c r="M67" s="105">
        <f t="shared" si="42"/>
        <v>0.10435971806969771</v>
      </c>
      <c r="N67" s="105">
        <f t="shared" si="42"/>
        <v>9.7381044912699458E-2</v>
      </c>
      <c r="O67" s="105">
        <f t="shared" si="42"/>
        <v>9.7381044912699458E-2</v>
      </c>
      <c r="P67" s="105">
        <f>P66/P64</f>
        <v>0.10435971806969771</v>
      </c>
      <c r="Q67" s="105">
        <f>Q66/Q64</f>
        <v>8.0452221927632864E-2</v>
      </c>
      <c r="R67" s="105">
        <f t="shared" ref="R67:AA67" si="43">R66/R64</f>
        <v>8.0452221927632864E-2</v>
      </c>
      <c r="S67" s="105">
        <f t="shared" si="43"/>
        <v>8.0452221927632864E-2</v>
      </c>
      <c r="T67" s="105">
        <f t="shared" si="43"/>
        <v>0.10435971806969771</v>
      </c>
      <c r="U67" s="105">
        <f t="shared" si="43"/>
        <v>9.7381044912699458E-2</v>
      </c>
      <c r="V67" s="105">
        <f t="shared" si="43"/>
        <v>0.11436446300191999</v>
      </c>
      <c r="W67" s="105">
        <f t="shared" si="43"/>
        <v>9.7381044912699458E-2</v>
      </c>
      <c r="X67" s="105">
        <f t="shared" si="43"/>
        <v>8.0452221927632864E-2</v>
      </c>
      <c r="Y67" s="105">
        <f t="shared" si="43"/>
        <v>0.11436446300191999</v>
      </c>
      <c r="Z67" s="105">
        <f t="shared" si="43"/>
        <v>8.0452221927632864E-2</v>
      </c>
      <c r="AA67" s="105">
        <f t="shared" si="43"/>
        <v>8.1335942272210818E-2</v>
      </c>
      <c r="AC67" s="106">
        <f>AC66/AC64</f>
        <v>9.2210438313566817E-2</v>
      </c>
    </row>
    <row r="68" spans="2:32" x14ac:dyDescent="0.3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48"/>
    </row>
    <row r="69" spans="2:32" ht="17.25" thickBot="1" x14ac:dyDescent="0.35"/>
    <row r="70" spans="2:32" ht="45.75" x14ac:dyDescent="0.3">
      <c r="B70" s="177" t="s">
        <v>122</v>
      </c>
      <c r="C70" s="170" t="s">
        <v>100</v>
      </c>
      <c r="D70" s="170"/>
      <c r="E70" s="170"/>
      <c r="F70" s="170"/>
      <c r="G70" s="170"/>
      <c r="H70" s="170"/>
      <c r="I70" s="170"/>
      <c r="J70" s="170"/>
      <c r="K70" s="170"/>
      <c r="L70" s="170"/>
      <c r="M70" s="170"/>
      <c r="N70" s="170"/>
      <c r="O70" s="170"/>
      <c r="P70" s="170"/>
      <c r="Q70" s="170"/>
      <c r="R70" s="170"/>
      <c r="S70" s="170"/>
      <c r="T70" s="170"/>
      <c r="U70" s="170"/>
      <c r="V70" s="170"/>
      <c r="W70" s="170"/>
      <c r="X70" s="170"/>
      <c r="Y70" s="170"/>
      <c r="Z70" s="170"/>
      <c r="AA70" s="171"/>
      <c r="AC70" s="5"/>
    </row>
    <row r="71" spans="2:32" x14ac:dyDescent="0.3">
      <c r="B71" s="178"/>
      <c r="C71" s="128" t="s">
        <v>3</v>
      </c>
      <c r="D71" s="7">
        <v>43101</v>
      </c>
      <c r="E71" s="7">
        <v>43133</v>
      </c>
      <c r="F71" s="7">
        <v>43165</v>
      </c>
      <c r="G71" s="7">
        <v>43197</v>
      </c>
      <c r="H71" s="7">
        <v>43229</v>
      </c>
      <c r="I71" s="7">
        <v>43261</v>
      </c>
      <c r="J71" s="7">
        <v>43293</v>
      </c>
      <c r="K71" s="7">
        <v>43325</v>
      </c>
      <c r="L71" s="7">
        <v>43357</v>
      </c>
      <c r="M71" s="7">
        <v>43389</v>
      </c>
      <c r="N71" s="7">
        <v>43421</v>
      </c>
      <c r="O71" s="7">
        <v>43453</v>
      </c>
      <c r="P71" s="7">
        <v>43485</v>
      </c>
      <c r="Q71" s="7">
        <v>43517</v>
      </c>
      <c r="R71" s="7">
        <v>43549</v>
      </c>
      <c r="S71" s="7">
        <v>43581</v>
      </c>
      <c r="T71" s="7">
        <v>43613</v>
      </c>
      <c r="U71" s="7">
        <v>43645</v>
      </c>
      <c r="V71" s="7">
        <v>43677</v>
      </c>
      <c r="W71" s="7">
        <v>43709</v>
      </c>
      <c r="X71" s="7">
        <v>43741</v>
      </c>
      <c r="Y71" s="7">
        <v>43773</v>
      </c>
      <c r="Z71" s="7">
        <v>43805</v>
      </c>
      <c r="AA71" s="7">
        <v>43806</v>
      </c>
    </row>
    <row r="72" spans="2:32" x14ac:dyDescent="0.3">
      <c r="B72" s="178"/>
      <c r="C72" s="128" t="s">
        <v>4</v>
      </c>
      <c r="D72" s="6">
        <v>744</v>
      </c>
      <c r="E72" s="6">
        <v>696</v>
      </c>
      <c r="F72" s="6">
        <v>744</v>
      </c>
      <c r="G72" s="6">
        <v>720</v>
      </c>
      <c r="H72" s="6">
        <v>744</v>
      </c>
      <c r="I72" s="6">
        <v>720</v>
      </c>
      <c r="J72" s="6">
        <v>744</v>
      </c>
      <c r="K72" s="6">
        <v>744</v>
      </c>
      <c r="L72" s="6">
        <v>720</v>
      </c>
      <c r="M72" s="6">
        <v>744</v>
      </c>
      <c r="N72" s="6">
        <v>720</v>
      </c>
      <c r="O72" s="6">
        <v>744</v>
      </c>
      <c r="P72" s="6">
        <v>744</v>
      </c>
      <c r="Q72" s="6">
        <v>672</v>
      </c>
      <c r="R72" s="6">
        <v>744</v>
      </c>
      <c r="S72" s="6">
        <v>720</v>
      </c>
      <c r="T72" s="6">
        <v>744</v>
      </c>
      <c r="U72" s="6">
        <v>720</v>
      </c>
      <c r="V72" s="6">
        <v>744</v>
      </c>
      <c r="W72" s="6">
        <v>744</v>
      </c>
      <c r="X72" s="6">
        <v>720</v>
      </c>
      <c r="Y72" s="6">
        <v>744</v>
      </c>
      <c r="Z72" s="6">
        <v>720</v>
      </c>
      <c r="AA72" s="6">
        <v>744</v>
      </c>
    </row>
    <row r="73" spans="2:32" x14ac:dyDescent="0.3">
      <c r="B73" s="178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  <c r="AA73" s="8"/>
    </row>
    <row r="74" spans="2:32" x14ac:dyDescent="0.3">
      <c r="B74" s="178"/>
      <c r="C74" s="129" t="s">
        <v>5</v>
      </c>
      <c r="D74" s="43">
        <v>21</v>
      </c>
      <c r="E74" s="43">
        <v>0</v>
      </c>
      <c r="F74" s="43">
        <v>0</v>
      </c>
      <c r="G74" s="43">
        <v>0</v>
      </c>
      <c r="H74" s="43">
        <v>21</v>
      </c>
      <c r="I74" s="43">
        <v>21</v>
      </c>
      <c r="J74" s="43">
        <v>21</v>
      </c>
      <c r="K74" s="43">
        <v>21</v>
      </c>
      <c r="L74" s="43">
        <v>21</v>
      </c>
      <c r="M74" s="43">
        <v>21</v>
      </c>
      <c r="N74" s="43">
        <v>21</v>
      </c>
      <c r="O74" s="43">
        <v>21</v>
      </c>
      <c r="P74" s="110">
        <v>21</v>
      </c>
      <c r="Q74" s="110">
        <v>0</v>
      </c>
      <c r="R74" s="110">
        <v>21</v>
      </c>
      <c r="S74" s="110">
        <v>21</v>
      </c>
      <c r="T74" s="110">
        <v>21</v>
      </c>
      <c r="U74" s="110">
        <v>21</v>
      </c>
      <c r="V74" s="110">
        <v>21</v>
      </c>
      <c r="W74" s="110">
        <v>21</v>
      </c>
      <c r="X74" s="110">
        <v>21</v>
      </c>
      <c r="Y74" s="110">
        <v>21</v>
      </c>
      <c r="Z74" s="110">
        <v>21</v>
      </c>
      <c r="AA74" s="110">
        <v>21</v>
      </c>
      <c r="AB74" s="2"/>
      <c r="AC74" s="94" t="s">
        <v>92</v>
      </c>
      <c r="AD74" s="96" t="s">
        <v>96</v>
      </c>
      <c r="AE74" s="94" t="s">
        <v>97</v>
      </c>
      <c r="AF74" s="104" t="s">
        <v>108</v>
      </c>
    </row>
    <row r="75" spans="2:32" x14ac:dyDescent="0.3">
      <c r="B75" s="178"/>
      <c r="C75" s="129" t="s">
        <v>41</v>
      </c>
      <c r="D75" s="18">
        <v>21</v>
      </c>
      <c r="E75" s="18">
        <v>21</v>
      </c>
      <c r="F75" s="18">
        <v>21</v>
      </c>
      <c r="G75" s="18">
        <v>21</v>
      </c>
      <c r="H75" s="18">
        <v>21</v>
      </c>
      <c r="I75" s="18">
        <v>21</v>
      </c>
      <c r="J75" s="18">
        <v>21</v>
      </c>
      <c r="K75" s="18">
        <v>21</v>
      </c>
      <c r="L75" s="18">
        <v>21</v>
      </c>
      <c r="M75" s="18">
        <v>21</v>
      </c>
      <c r="N75" s="18">
        <v>42</v>
      </c>
      <c r="O75" s="18">
        <v>21</v>
      </c>
      <c r="P75" s="111">
        <v>21</v>
      </c>
      <c r="Q75" s="111">
        <v>21</v>
      </c>
      <c r="R75" s="111">
        <v>21</v>
      </c>
      <c r="S75" s="111">
        <v>21</v>
      </c>
      <c r="T75" s="111">
        <v>21</v>
      </c>
      <c r="U75" s="111">
        <v>21</v>
      </c>
      <c r="V75" s="111">
        <v>21</v>
      </c>
      <c r="W75" s="111">
        <v>21</v>
      </c>
      <c r="X75" s="111">
        <v>21</v>
      </c>
      <c r="Y75" s="111">
        <v>21</v>
      </c>
      <c r="Z75" s="111">
        <v>21</v>
      </c>
      <c r="AA75" s="111">
        <v>21</v>
      </c>
      <c r="AB75" s="2"/>
      <c r="AC75" s="94" t="s">
        <v>93</v>
      </c>
      <c r="AD75" s="95">
        <v>0</v>
      </c>
      <c r="AE75" s="96">
        <v>175</v>
      </c>
      <c r="AF75" s="104">
        <v>13.43</v>
      </c>
    </row>
    <row r="76" spans="2:32" x14ac:dyDescent="0.3">
      <c r="B76" s="178"/>
      <c r="C76" s="129" t="s">
        <v>6</v>
      </c>
      <c r="D76" s="13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3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2"/>
      <c r="AC76" s="94" t="s">
        <v>94</v>
      </c>
      <c r="AD76" s="95">
        <v>0.5</v>
      </c>
      <c r="AE76" s="96">
        <v>220</v>
      </c>
      <c r="AF76" s="104">
        <v>41.69</v>
      </c>
    </row>
    <row r="77" spans="2:32" x14ac:dyDescent="0.3">
      <c r="B77" s="178"/>
      <c r="C77" s="129" t="s">
        <v>7</v>
      </c>
      <c r="D77" s="122">
        <v>250</v>
      </c>
      <c r="E77" s="122">
        <v>250</v>
      </c>
      <c r="F77" s="122">
        <v>250</v>
      </c>
      <c r="G77" s="122">
        <v>250</v>
      </c>
      <c r="H77" s="122">
        <v>250</v>
      </c>
      <c r="I77" s="122">
        <v>250</v>
      </c>
      <c r="J77" s="122">
        <v>250</v>
      </c>
      <c r="K77" s="122">
        <v>250</v>
      </c>
      <c r="L77" s="122">
        <v>250</v>
      </c>
      <c r="M77" s="122">
        <v>250</v>
      </c>
      <c r="N77" s="122">
        <v>250</v>
      </c>
      <c r="O77" s="122">
        <v>250</v>
      </c>
      <c r="P77" s="112">
        <v>250</v>
      </c>
      <c r="Q77" s="112">
        <v>250</v>
      </c>
      <c r="R77" s="112">
        <v>250</v>
      </c>
      <c r="S77" s="112">
        <v>250</v>
      </c>
      <c r="T77" s="112">
        <v>250</v>
      </c>
      <c r="U77" s="112">
        <v>250</v>
      </c>
      <c r="V77" s="112">
        <v>250</v>
      </c>
      <c r="W77" s="112">
        <v>250</v>
      </c>
      <c r="X77" s="112">
        <v>250</v>
      </c>
      <c r="Y77" s="112">
        <v>250</v>
      </c>
      <c r="Z77" s="112">
        <v>250</v>
      </c>
      <c r="AA77" s="112">
        <v>250</v>
      </c>
      <c r="AB77" s="2"/>
      <c r="AC77" s="94" t="s">
        <v>95</v>
      </c>
      <c r="AD77" s="95">
        <v>1</v>
      </c>
      <c r="AE77" s="96">
        <v>310</v>
      </c>
      <c r="AF77" s="104">
        <v>62.43</v>
      </c>
    </row>
    <row r="78" spans="2:32" x14ac:dyDescent="0.3">
      <c r="B78" s="178"/>
      <c r="C78" s="129" t="s">
        <v>8</v>
      </c>
      <c r="D78" s="16">
        <f t="shared" ref="D78:AA78" si="44">IF(D87="Verde",0,IF(D74&gt;D76*1.05,D74-D76,0))</f>
        <v>0</v>
      </c>
      <c r="E78" s="16">
        <f t="shared" si="44"/>
        <v>0</v>
      </c>
      <c r="F78" s="16">
        <f t="shared" si="44"/>
        <v>0</v>
      </c>
      <c r="G78" s="16">
        <f t="shared" si="44"/>
        <v>0</v>
      </c>
      <c r="H78" s="16">
        <f t="shared" si="44"/>
        <v>0</v>
      </c>
      <c r="I78" s="16">
        <f t="shared" si="44"/>
        <v>0</v>
      </c>
      <c r="J78" s="16">
        <f t="shared" si="44"/>
        <v>0</v>
      </c>
      <c r="K78" s="16">
        <f t="shared" si="44"/>
        <v>0</v>
      </c>
      <c r="L78" s="16">
        <f t="shared" si="44"/>
        <v>0</v>
      </c>
      <c r="M78" s="16">
        <f t="shared" si="44"/>
        <v>0</v>
      </c>
      <c r="N78" s="16">
        <f t="shared" si="44"/>
        <v>0</v>
      </c>
      <c r="O78" s="16">
        <f t="shared" si="44"/>
        <v>0</v>
      </c>
      <c r="P78" s="16">
        <f t="shared" si="44"/>
        <v>0</v>
      </c>
      <c r="Q78" s="16">
        <f t="shared" si="44"/>
        <v>0</v>
      </c>
      <c r="R78" s="16">
        <f t="shared" si="44"/>
        <v>0</v>
      </c>
      <c r="S78" s="16">
        <f t="shared" si="44"/>
        <v>0</v>
      </c>
      <c r="T78" s="16">
        <f t="shared" si="44"/>
        <v>0</v>
      </c>
      <c r="U78" s="16">
        <f t="shared" si="44"/>
        <v>0</v>
      </c>
      <c r="V78" s="16">
        <f t="shared" si="44"/>
        <v>0</v>
      </c>
      <c r="W78" s="16">
        <f t="shared" si="44"/>
        <v>0</v>
      </c>
      <c r="X78" s="16">
        <f t="shared" si="44"/>
        <v>0</v>
      </c>
      <c r="Y78" s="16">
        <f t="shared" si="44"/>
        <v>0</v>
      </c>
      <c r="Z78" s="16">
        <f t="shared" si="44"/>
        <v>0</v>
      </c>
      <c r="AA78" s="16">
        <f t="shared" si="44"/>
        <v>0</v>
      </c>
      <c r="AB78" s="2"/>
    </row>
    <row r="79" spans="2:32" x14ac:dyDescent="0.3">
      <c r="B79" s="178"/>
      <c r="C79" s="129" t="s">
        <v>9</v>
      </c>
      <c r="D79" s="18">
        <f t="shared" ref="D79:AA79" si="45">IF(D75&gt;D77*1.05,D75-D77,0)</f>
        <v>0</v>
      </c>
      <c r="E79" s="18">
        <f t="shared" si="45"/>
        <v>0</v>
      </c>
      <c r="F79" s="18">
        <f t="shared" si="45"/>
        <v>0</v>
      </c>
      <c r="G79" s="18">
        <f t="shared" si="45"/>
        <v>0</v>
      </c>
      <c r="H79" s="18">
        <f t="shared" si="45"/>
        <v>0</v>
      </c>
      <c r="I79" s="18">
        <f t="shared" si="45"/>
        <v>0</v>
      </c>
      <c r="J79" s="18">
        <f t="shared" si="45"/>
        <v>0</v>
      </c>
      <c r="K79" s="18">
        <f t="shared" si="45"/>
        <v>0</v>
      </c>
      <c r="L79" s="18">
        <f t="shared" si="45"/>
        <v>0</v>
      </c>
      <c r="M79" s="18">
        <f t="shared" si="45"/>
        <v>0</v>
      </c>
      <c r="N79" s="18">
        <f t="shared" si="45"/>
        <v>0</v>
      </c>
      <c r="O79" s="18">
        <f t="shared" si="45"/>
        <v>0</v>
      </c>
      <c r="P79" s="18">
        <f t="shared" si="45"/>
        <v>0</v>
      </c>
      <c r="Q79" s="18">
        <f t="shared" si="45"/>
        <v>0</v>
      </c>
      <c r="R79" s="18">
        <f t="shared" si="45"/>
        <v>0</v>
      </c>
      <c r="S79" s="18">
        <f t="shared" si="45"/>
        <v>0</v>
      </c>
      <c r="T79" s="18">
        <f t="shared" si="45"/>
        <v>0</v>
      </c>
      <c r="U79" s="18">
        <f t="shared" si="45"/>
        <v>0</v>
      </c>
      <c r="V79" s="18">
        <f t="shared" si="45"/>
        <v>0</v>
      </c>
      <c r="W79" s="18">
        <f t="shared" si="45"/>
        <v>0</v>
      </c>
      <c r="X79" s="18">
        <f t="shared" si="45"/>
        <v>0</v>
      </c>
      <c r="Y79" s="18">
        <f t="shared" si="45"/>
        <v>0</v>
      </c>
      <c r="Z79" s="18">
        <f t="shared" si="45"/>
        <v>0</v>
      </c>
      <c r="AA79" s="18">
        <f t="shared" si="45"/>
        <v>0</v>
      </c>
      <c r="AB79" s="1" t="s">
        <v>43</v>
      </c>
    </row>
    <row r="80" spans="2:32" x14ac:dyDescent="0.3">
      <c r="B80" s="178"/>
      <c r="C80" s="129" t="s">
        <v>10</v>
      </c>
      <c r="D80" s="43">
        <v>0</v>
      </c>
      <c r="E80" s="43">
        <v>0</v>
      </c>
      <c r="F80" s="43">
        <v>2.1</v>
      </c>
      <c r="G80" s="43">
        <v>0</v>
      </c>
      <c r="H80" s="43">
        <v>0</v>
      </c>
      <c r="I80" s="43">
        <v>0</v>
      </c>
      <c r="J80" s="43">
        <v>2.1</v>
      </c>
      <c r="K80" s="43">
        <v>0</v>
      </c>
      <c r="L80" s="43">
        <v>0</v>
      </c>
      <c r="M80" s="43">
        <v>2.1</v>
      </c>
      <c r="N80" s="43">
        <v>0</v>
      </c>
      <c r="O80" s="43">
        <v>0</v>
      </c>
      <c r="P80" s="110">
        <f>2100/1000</f>
        <v>2.1</v>
      </c>
      <c r="Q80" s="113">
        <v>0</v>
      </c>
      <c r="R80" s="113">
        <v>0</v>
      </c>
      <c r="S80" s="113">
        <v>0</v>
      </c>
      <c r="T80" s="110">
        <f>2100/1000</f>
        <v>2.1</v>
      </c>
      <c r="U80" s="113">
        <v>0</v>
      </c>
      <c r="V80" s="110">
        <f>2100/1000</f>
        <v>2.1</v>
      </c>
      <c r="W80" s="113">
        <v>0</v>
      </c>
      <c r="X80" s="113">
        <v>0</v>
      </c>
      <c r="Y80" s="110">
        <f>2100/1000</f>
        <v>2.1</v>
      </c>
      <c r="Z80" s="113">
        <v>0</v>
      </c>
      <c r="AA80" s="113">
        <v>0</v>
      </c>
      <c r="AB80" s="2"/>
    </row>
    <row r="81" spans="2:32" x14ac:dyDescent="0.3">
      <c r="B81" s="178"/>
      <c r="C81" s="129" t="s">
        <v>11</v>
      </c>
      <c r="D81" s="18">
        <v>4.2</v>
      </c>
      <c r="E81" s="18">
        <v>4.2</v>
      </c>
      <c r="F81" s="18">
        <v>6.3</v>
      </c>
      <c r="G81" s="18">
        <v>4.2</v>
      </c>
      <c r="H81" s="18">
        <v>6.3</v>
      </c>
      <c r="I81" s="18">
        <v>6.3</v>
      </c>
      <c r="J81" s="18">
        <v>6.3</v>
      </c>
      <c r="K81" s="18">
        <v>6.3</v>
      </c>
      <c r="L81" s="18">
        <v>8.4</v>
      </c>
      <c r="M81" s="18">
        <v>6.3</v>
      </c>
      <c r="N81" s="18">
        <v>8.4</v>
      </c>
      <c r="O81" s="18">
        <v>8.4</v>
      </c>
      <c r="P81" s="111">
        <f>6300/1000</f>
        <v>6.3</v>
      </c>
      <c r="Q81" s="111">
        <f t="shared" ref="Q81:T81" si="46">6300/1000</f>
        <v>6.3</v>
      </c>
      <c r="R81" s="111">
        <f t="shared" si="46"/>
        <v>6.3</v>
      </c>
      <c r="S81" s="111">
        <f t="shared" si="46"/>
        <v>6.3</v>
      </c>
      <c r="T81" s="111">
        <f t="shared" si="46"/>
        <v>6.3</v>
      </c>
      <c r="U81" s="111">
        <f>8400/1000</f>
        <v>8.4</v>
      </c>
      <c r="V81" s="111">
        <f t="shared" ref="V81:Y81" si="47">8400/1000</f>
        <v>8.4</v>
      </c>
      <c r="W81" s="111">
        <f t="shared" si="47"/>
        <v>8.4</v>
      </c>
      <c r="X81" s="111">
        <f t="shared" ref="X81" si="48">6300/1000</f>
        <v>6.3</v>
      </c>
      <c r="Y81" s="111">
        <f t="shared" si="47"/>
        <v>8.4</v>
      </c>
      <c r="Z81" s="111">
        <f t="shared" ref="Z81" si="49">6300/1000</f>
        <v>6.3</v>
      </c>
      <c r="AA81" s="111">
        <f>6400/1000</f>
        <v>6.4</v>
      </c>
      <c r="AB81" s="2"/>
      <c r="AC81" s="1" t="s">
        <v>45</v>
      </c>
      <c r="AD81" s="1">
        <f>SUM(P80:AA81)/SUM(P72:AA72)</f>
        <v>1.0559360730593607E-2</v>
      </c>
      <c r="AF81" s="1">
        <v>145</v>
      </c>
    </row>
    <row r="82" spans="2:32" x14ac:dyDescent="0.3">
      <c r="B82" s="178"/>
      <c r="C82" s="129" t="s">
        <v>0</v>
      </c>
      <c r="D82" s="19" t="s">
        <v>44</v>
      </c>
      <c r="E82" s="20" t="s">
        <v>44</v>
      </c>
      <c r="F82" s="20" t="s">
        <v>44</v>
      </c>
      <c r="G82" s="20" t="s">
        <v>44</v>
      </c>
      <c r="H82" s="20" t="s">
        <v>44</v>
      </c>
      <c r="I82" s="20" t="s">
        <v>44</v>
      </c>
      <c r="J82" s="19" t="s">
        <v>44</v>
      </c>
      <c r="K82" s="20" t="s">
        <v>44</v>
      </c>
      <c r="L82" s="20" t="s">
        <v>44</v>
      </c>
      <c r="M82" s="20" t="s">
        <v>44</v>
      </c>
      <c r="N82" s="20" t="s">
        <v>44</v>
      </c>
      <c r="O82" s="20" t="s">
        <v>44</v>
      </c>
      <c r="P82" s="20" t="s">
        <v>44</v>
      </c>
      <c r="Q82" s="20" t="s">
        <v>44</v>
      </c>
      <c r="R82" s="20" t="s">
        <v>44</v>
      </c>
      <c r="S82" s="20" t="s">
        <v>44</v>
      </c>
      <c r="T82" s="20" t="s">
        <v>44</v>
      </c>
      <c r="U82" s="20" t="s">
        <v>44</v>
      </c>
      <c r="V82" s="20" t="s">
        <v>44</v>
      </c>
      <c r="W82" s="20" t="s">
        <v>44</v>
      </c>
      <c r="X82" s="20" t="s">
        <v>44</v>
      </c>
      <c r="Y82" s="20" t="s">
        <v>44</v>
      </c>
      <c r="Z82" s="20" t="s">
        <v>44</v>
      </c>
      <c r="AA82" s="20" t="s">
        <v>44</v>
      </c>
      <c r="AB82" s="2"/>
      <c r="AC82" s="1" t="s">
        <v>91</v>
      </c>
      <c r="AD82" s="93">
        <f>SUM(P80:AA80)/SUM(P80:AA81)</f>
        <v>9.0810810810810813E-2</v>
      </c>
      <c r="AF82" s="1">
        <v>17.64</v>
      </c>
    </row>
    <row r="83" spans="2:32" x14ac:dyDescent="0.3">
      <c r="B83" s="178"/>
      <c r="C83" s="107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7"/>
      <c r="AA83" s="108"/>
      <c r="AD83" s="1">
        <v>0.12392200974878137</v>
      </c>
      <c r="AF83" s="1">
        <f>AF81+AF82</f>
        <v>162.63999999999999</v>
      </c>
    </row>
    <row r="84" spans="2:32" x14ac:dyDescent="0.3">
      <c r="B84" s="178"/>
      <c r="C84" s="129" t="s">
        <v>12</v>
      </c>
      <c r="D84" s="126">
        <f>'SIMULAÇÃO CENÁRIOS'!$D$7</f>
        <v>0.5</v>
      </c>
      <c r="E84" s="126">
        <f>'SIMULAÇÃO CENÁRIOS'!$D$7</f>
        <v>0.5</v>
      </c>
      <c r="F84" s="126">
        <f>'SIMULAÇÃO CENÁRIOS'!$D$7</f>
        <v>0.5</v>
      </c>
      <c r="G84" s="126">
        <f>'SIMULAÇÃO CENÁRIOS'!$D$7</f>
        <v>0.5</v>
      </c>
      <c r="H84" s="126">
        <f>'SIMULAÇÃO CENÁRIOS'!$D$7</f>
        <v>0.5</v>
      </c>
      <c r="I84" s="126">
        <f>'SIMULAÇÃO CENÁRIOS'!$D$7</f>
        <v>0.5</v>
      </c>
      <c r="J84" s="126">
        <f>'SIMULAÇÃO CENÁRIOS'!$D$7</f>
        <v>0.5</v>
      </c>
      <c r="K84" s="126">
        <f>'SIMULAÇÃO CENÁRIOS'!$D$7</f>
        <v>0.5</v>
      </c>
      <c r="L84" s="126">
        <f>'SIMULAÇÃO CENÁRIOS'!$D$7</f>
        <v>0.5</v>
      </c>
      <c r="M84" s="126">
        <f>'SIMULAÇÃO CENÁRIOS'!$D$7</f>
        <v>0.5</v>
      </c>
      <c r="N84" s="126">
        <f>'SIMULAÇÃO CENÁRIOS'!$D$7</f>
        <v>0.5</v>
      </c>
      <c r="O84" s="126">
        <f>'SIMULAÇÃO CENÁRIOS'!$D$7</f>
        <v>0.5</v>
      </c>
      <c r="P84" s="126">
        <f>'SIMULAÇÃO CENÁRIOS'!$D$7</f>
        <v>0.5</v>
      </c>
      <c r="Q84" s="126">
        <f>'SIMULAÇÃO CENÁRIOS'!$D$7</f>
        <v>0.5</v>
      </c>
      <c r="R84" s="126">
        <f>'SIMULAÇÃO CENÁRIOS'!$D$7</f>
        <v>0.5</v>
      </c>
      <c r="S84" s="126">
        <f>'SIMULAÇÃO CENÁRIOS'!$D$7</f>
        <v>0.5</v>
      </c>
      <c r="T84" s="126">
        <f>'SIMULAÇÃO CENÁRIOS'!$D$7</f>
        <v>0.5</v>
      </c>
      <c r="U84" s="126">
        <f>'SIMULAÇÃO CENÁRIOS'!$D$7</f>
        <v>0.5</v>
      </c>
      <c r="V84" s="126">
        <f>'SIMULAÇÃO CENÁRIOS'!$D$7</f>
        <v>0.5</v>
      </c>
      <c r="W84" s="126">
        <f>'SIMULAÇÃO CENÁRIOS'!$D$7</f>
        <v>0.5</v>
      </c>
      <c r="X84" s="126">
        <f>'SIMULAÇÃO CENÁRIOS'!$D$7</f>
        <v>0.5</v>
      </c>
      <c r="Y84" s="126">
        <f>'SIMULAÇÃO CENÁRIOS'!$D$7</f>
        <v>0.5</v>
      </c>
      <c r="Z84" s="126">
        <f>'SIMULAÇÃO CENÁRIOS'!$D$7</f>
        <v>0.5</v>
      </c>
      <c r="AA84" s="126">
        <f>'SIMULAÇÃO CENÁRIOS'!$D$7</f>
        <v>0.5</v>
      </c>
    </row>
    <row r="85" spans="2:32" x14ac:dyDescent="0.3">
      <c r="B85" s="178"/>
      <c r="C85" s="107"/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  <c r="W85" s="107"/>
      <c r="X85" s="107"/>
      <c r="Y85" s="107"/>
      <c r="Z85" s="107"/>
      <c r="AA85" s="108"/>
    </row>
    <row r="86" spans="2:32" x14ac:dyDescent="0.3">
      <c r="B86" s="178"/>
      <c r="C86" s="129" t="s">
        <v>13</v>
      </c>
      <c r="D86" s="9" t="s">
        <v>1</v>
      </c>
      <c r="E86" s="10" t="s">
        <v>1</v>
      </c>
      <c r="F86" s="10" t="s">
        <v>1</v>
      </c>
      <c r="G86" s="10" t="s">
        <v>1</v>
      </c>
      <c r="H86" s="10" t="s">
        <v>1</v>
      </c>
      <c r="I86" s="10" t="s">
        <v>1</v>
      </c>
      <c r="J86" s="9" t="s">
        <v>1</v>
      </c>
      <c r="K86" s="10" t="s">
        <v>1</v>
      </c>
      <c r="L86" s="10" t="s">
        <v>1</v>
      </c>
      <c r="M86" s="10" t="s">
        <v>1</v>
      </c>
      <c r="N86" s="10" t="s">
        <v>1</v>
      </c>
      <c r="O86" s="10" t="s">
        <v>1</v>
      </c>
      <c r="P86" s="9" t="s">
        <v>1</v>
      </c>
      <c r="Q86" s="9" t="s">
        <v>1</v>
      </c>
      <c r="R86" s="9" t="s">
        <v>1</v>
      </c>
      <c r="S86" s="9" t="s">
        <v>1</v>
      </c>
      <c r="T86" s="9" t="s">
        <v>1</v>
      </c>
      <c r="U86" s="9" t="s">
        <v>1</v>
      </c>
      <c r="V86" s="9" t="s">
        <v>1</v>
      </c>
      <c r="W86" s="9" t="s">
        <v>1</v>
      </c>
      <c r="X86" s="9" t="s">
        <v>1</v>
      </c>
      <c r="Y86" s="9" t="s">
        <v>1</v>
      </c>
      <c r="Z86" s="9" t="s">
        <v>1</v>
      </c>
      <c r="AA86" s="9" t="s">
        <v>1</v>
      </c>
      <c r="AF86" s="92">
        <f>AF83*1000</f>
        <v>162640</v>
      </c>
    </row>
    <row r="87" spans="2:32" x14ac:dyDescent="0.3">
      <c r="B87" s="178"/>
      <c r="C87" s="129" t="s">
        <v>14</v>
      </c>
      <c r="D87" s="11" t="s">
        <v>42</v>
      </c>
      <c r="E87" s="12" t="s">
        <v>42</v>
      </c>
      <c r="F87" s="12" t="s">
        <v>42</v>
      </c>
      <c r="G87" s="12" t="s">
        <v>42</v>
      </c>
      <c r="H87" s="12" t="s">
        <v>42</v>
      </c>
      <c r="I87" s="12" t="s">
        <v>42</v>
      </c>
      <c r="J87" s="11" t="s">
        <v>42</v>
      </c>
      <c r="K87" s="12" t="s">
        <v>42</v>
      </c>
      <c r="L87" s="12" t="s">
        <v>42</v>
      </c>
      <c r="M87" s="12" t="s">
        <v>42</v>
      </c>
      <c r="N87" s="12" t="s">
        <v>42</v>
      </c>
      <c r="O87" s="12" t="s">
        <v>42</v>
      </c>
      <c r="P87" s="12" t="s">
        <v>42</v>
      </c>
      <c r="Q87" s="12" t="s">
        <v>42</v>
      </c>
      <c r="R87" s="12" t="s">
        <v>42</v>
      </c>
      <c r="S87" s="12" t="s">
        <v>42</v>
      </c>
      <c r="T87" s="12" t="s">
        <v>42</v>
      </c>
      <c r="U87" s="12" t="s">
        <v>42</v>
      </c>
      <c r="V87" s="12" t="s">
        <v>42</v>
      </c>
      <c r="W87" s="12" t="s">
        <v>42</v>
      </c>
      <c r="X87" s="12" t="s">
        <v>42</v>
      </c>
      <c r="Y87" s="12" t="s">
        <v>42</v>
      </c>
      <c r="Z87" s="12" t="s">
        <v>42</v>
      </c>
      <c r="AA87" s="12" t="s">
        <v>42</v>
      </c>
      <c r="AF87" s="92">
        <f>AF86/100</f>
        <v>1626.4</v>
      </c>
    </row>
    <row r="88" spans="2:32" x14ac:dyDescent="0.3">
      <c r="B88" s="178"/>
      <c r="C88" s="129" t="s">
        <v>15</v>
      </c>
      <c r="D88" s="13">
        <v>49.84</v>
      </c>
      <c r="E88" s="14">
        <v>49.84</v>
      </c>
      <c r="F88" s="14">
        <v>49.84</v>
      </c>
      <c r="G88" s="14">
        <v>49.84</v>
      </c>
      <c r="H88" s="14">
        <v>49.84</v>
      </c>
      <c r="I88" s="14">
        <v>49.84</v>
      </c>
      <c r="J88" s="13">
        <v>49.84</v>
      </c>
      <c r="K88" s="14">
        <v>49.84</v>
      </c>
      <c r="L88" s="14">
        <v>49.84</v>
      </c>
      <c r="M88" s="14">
        <v>49.84</v>
      </c>
      <c r="N88" s="14">
        <v>49.84</v>
      </c>
      <c r="O88" s="14">
        <v>49.84</v>
      </c>
      <c r="P88" s="14">
        <v>49.84</v>
      </c>
      <c r="Q88" s="14">
        <v>49.84</v>
      </c>
      <c r="R88" s="14">
        <v>49.84</v>
      </c>
      <c r="S88" s="14">
        <v>49.84</v>
      </c>
      <c r="T88" s="14">
        <v>49.84</v>
      </c>
      <c r="U88" s="14">
        <v>49.84</v>
      </c>
      <c r="V88" s="14">
        <v>49.84</v>
      </c>
      <c r="W88" s="14">
        <v>49.84</v>
      </c>
      <c r="X88" s="14">
        <v>49.84</v>
      </c>
      <c r="Y88" s="14">
        <v>49.84</v>
      </c>
      <c r="Z88" s="14">
        <v>49.84</v>
      </c>
      <c r="AA88" s="14">
        <v>49.84</v>
      </c>
      <c r="AF88" s="1">
        <f>AF87*1.343</f>
        <v>2184.2552000000001</v>
      </c>
    </row>
    <row r="89" spans="2:32" x14ac:dyDescent="0.3">
      <c r="B89" s="178"/>
      <c r="C89" s="129" t="s">
        <v>16</v>
      </c>
      <c r="D89" s="11">
        <v>19.260000000000002</v>
      </c>
      <c r="E89" s="12">
        <v>19.260000000000002</v>
      </c>
      <c r="F89" s="12">
        <v>19.260000000000002</v>
      </c>
      <c r="G89" s="12">
        <v>19.260000000000002</v>
      </c>
      <c r="H89" s="12">
        <v>19.260000000000002</v>
      </c>
      <c r="I89" s="12">
        <v>19.260000000000002</v>
      </c>
      <c r="J89" s="11">
        <v>19.260000000000002</v>
      </c>
      <c r="K89" s="12">
        <v>19.260000000000002</v>
      </c>
      <c r="L89" s="12">
        <v>19.260000000000002</v>
      </c>
      <c r="M89" s="12">
        <v>19.260000000000002</v>
      </c>
      <c r="N89" s="12">
        <v>19.260000000000002</v>
      </c>
      <c r="O89" s="12">
        <v>19.260000000000002</v>
      </c>
      <c r="P89" s="12">
        <v>19.260000000000002</v>
      </c>
      <c r="Q89" s="12">
        <v>19.260000000000002</v>
      </c>
      <c r="R89" s="12">
        <v>19.260000000000002</v>
      </c>
      <c r="S89" s="12">
        <v>19.260000000000002</v>
      </c>
      <c r="T89" s="12">
        <v>19.260000000000002</v>
      </c>
      <c r="U89" s="12">
        <v>19.260000000000002</v>
      </c>
      <c r="V89" s="12">
        <v>19.260000000000002</v>
      </c>
      <c r="W89" s="12">
        <v>19.260000000000002</v>
      </c>
      <c r="X89" s="12">
        <v>19.260000000000002</v>
      </c>
      <c r="Y89" s="12">
        <v>19.260000000000002</v>
      </c>
      <c r="Z89" s="12">
        <v>19.260000000000002</v>
      </c>
      <c r="AA89" s="12">
        <v>19.260000000000002</v>
      </c>
    </row>
    <row r="90" spans="2:32" x14ac:dyDescent="0.3">
      <c r="B90" s="178"/>
      <c r="C90" s="129" t="s">
        <v>17</v>
      </c>
      <c r="D90" s="15">
        <v>1292.96</v>
      </c>
      <c r="E90" s="16">
        <v>1292.96</v>
      </c>
      <c r="F90" s="16">
        <v>1292.96</v>
      </c>
      <c r="G90" s="16">
        <v>1292.96</v>
      </c>
      <c r="H90" s="16">
        <v>1292.96</v>
      </c>
      <c r="I90" s="16">
        <v>1292.96</v>
      </c>
      <c r="J90" s="15">
        <v>1292.96</v>
      </c>
      <c r="K90" s="16">
        <v>1292.96</v>
      </c>
      <c r="L90" s="16">
        <v>1292.96</v>
      </c>
      <c r="M90" s="16">
        <v>1292.96</v>
      </c>
      <c r="N90" s="16">
        <v>1292.96</v>
      </c>
      <c r="O90" s="16">
        <v>1292.96</v>
      </c>
      <c r="P90" s="16">
        <v>1292.96</v>
      </c>
      <c r="Q90" s="16">
        <v>1292.96</v>
      </c>
      <c r="R90" s="16">
        <v>1292.96</v>
      </c>
      <c r="S90" s="16">
        <v>1292.96</v>
      </c>
      <c r="T90" s="16">
        <v>1292.96</v>
      </c>
      <c r="U90" s="16">
        <v>1292.96</v>
      </c>
      <c r="V90" s="16">
        <v>1292.96</v>
      </c>
      <c r="W90" s="16">
        <v>1292.96</v>
      </c>
      <c r="X90" s="16">
        <v>1292.96</v>
      </c>
      <c r="Y90" s="16">
        <v>1292.96</v>
      </c>
      <c r="Z90" s="16">
        <v>1292.96</v>
      </c>
      <c r="AA90" s="16">
        <v>1292.96</v>
      </c>
    </row>
    <row r="91" spans="2:32" x14ac:dyDescent="0.3">
      <c r="B91" s="178"/>
      <c r="C91" s="129" t="s">
        <v>18</v>
      </c>
      <c r="D91" s="17">
        <v>83.39</v>
      </c>
      <c r="E91" s="18">
        <v>83.39</v>
      </c>
      <c r="F91" s="18">
        <v>83.39</v>
      </c>
      <c r="G91" s="18">
        <v>83.39</v>
      </c>
      <c r="H91" s="18">
        <v>83.39</v>
      </c>
      <c r="I91" s="18">
        <v>83.39</v>
      </c>
      <c r="J91" s="17">
        <v>83.39</v>
      </c>
      <c r="K91" s="18">
        <v>83.39</v>
      </c>
      <c r="L91" s="18">
        <v>83.39</v>
      </c>
      <c r="M91" s="18">
        <v>83.39</v>
      </c>
      <c r="N91" s="18">
        <v>83.39</v>
      </c>
      <c r="O91" s="18">
        <v>83.39</v>
      </c>
      <c r="P91" s="18">
        <v>83.39</v>
      </c>
      <c r="Q91" s="18">
        <v>83.39</v>
      </c>
      <c r="R91" s="18">
        <v>83.39</v>
      </c>
      <c r="S91" s="18">
        <v>83.39</v>
      </c>
      <c r="T91" s="18">
        <v>83.39</v>
      </c>
      <c r="U91" s="18">
        <v>83.39</v>
      </c>
      <c r="V91" s="18">
        <v>83.39</v>
      </c>
      <c r="W91" s="18">
        <v>83.39</v>
      </c>
      <c r="X91" s="18">
        <v>83.39</v>
      </c>
      <c r="Y91" s="18">
        <v>83.39</v>
      </c>
      <c r="Z91" s="18">
        <v>83.39</v>
      </c>
      <c r="AA91" s="18">
        <v>83.39</v>
      </c>
    </row>
    <row r="92" spans="2:32" x14ac:dyDescent="0.3">
      <c r="B92" s="178"/>
      <c r="C92" s="129" t="s">
        <v>19</v>
      </c>
      <c r="D92" s="15">
        <v>420.68</v>
      </c>
      <c r="E92" s="16">
        <v>420.68</v>
      </c>
      <c r="F92" s="16">
        <v>420.68</v>
      </c>
      <c r="G92" s="16">
        <v>420.68</v>
      </c>
      <c r="H92" s="16">
        <v>420.68</v>
      </c>
      <c r="I92" s="16">
        <v>420.68</v>
      </c>
      <c r="J92" s="15">
        <v>420.68</v>
      </c>
      <c r="K92" s="16">
        <v>420.68</v>
      </c>
      <c r="L92" s="16">
        <v>420.68</v>
      </c>
      <c r="M92" s="16">
        <v>420.68</v>
      </c>
      <c r="N92" s="16">
        <v>420.68</v>
      </c>
      <c r="O92" s="16">
        <v>420.68</v>
      </c>
      <c r="P92" s="16">
        <v>420.68</v>
      </c>
      <c r="Q92" s="16">
        <v>420.68</v>
      </c>
      <c r="R92" s="16">
        <v>420.68</v>
      </c>
      <c r="S92" s="16">
        <v>420.68</v>
      </c>
      <c r="T92" s="16">
        <v>420.68</v>
      </c>
      <c r="U92" s="16">
        <v>420.68</v>
      </c>
      <c r="V92" s="16">
        <v>420.68</v>
      </c>
      <c r="W92" s="16">
        <v>420.68</v>
      </c>
      <c r="X92" s="16">
        <v>420.68</v>
      </c>
      <c r="Y92" s="16">
        <v>420.68</v>
      </c>
      <c r="Z92" s="16">
        <v>420.68</v>
      </c>
      <c r="AA92" s="16">
        <v>420.68</v>
      </c>
    </row>
    <row r="93" spans="2:32" x14ac:dyDescent="0.3">
      <c r="B93" s="178"/>
      <c r="C93" s="130" t="s">
        <v>20</v>
      </c>
      <c r="D93" s="21">
        <v>251.44</v>
      </c>
      <c r="E93" s="22">
        <v>251.44</v>
      </c>
      <c r="F93" s="22">
        <v>251.44</v>
      </c>
      <c r="G93" s="22">
        <v>251.44</v>
      </c>
      <c r="H93" s="22">
        <v>251.44</v>
      </c>
      <c r="I93" s="22">
        <v>251.44</v>
      </c>
      <c r="J93" s="21">
        <v>251.44</v>
      </c>
      <c r="K93" s="22">
        <v>251.44</v>
      </c>
      <c r="L93" s="22">
        <v>251.44</v>
      </c>
      <c r="M93" s="22">
        <v>251.44</v>
      </c>
      <c r="N93" s="22">
        <v>251.44</v>
      </c>
      <c r="O93" s="22">
        <v>251.44</v>
      </c>
      <c r="P93" s="22">
        <v>251.44</v>
      </c>
      <c r="Q93" s="22">
        <v>251.44</v>
      </c>
      <c r="R93" s="22">
        <v>251.44</v>
      </c>
      <c r="S93" s="22">
        <v>251.44</v>
      </c>
      <c r="T93" s="22">
        <v>251.44</v>
      </c>
      <c r="U93" s="22">
        <v>251.44</v>
      </c>
      <c r="V93" s="22">
        <v>251.44</v>
      </c>
      <c r="W93" s="22">
        <v>251.44</v>
      </c>
      <c r="X93" s="22">
        <v>251.44</v>
      </c>
      <c r="Y93" s="22">
        <v>251.44</v>
      </c>
      <c r="Z93" s="22">
        <v>251.44</v>
      </c>
      <c r="AA93" s="22">
        <v>251.44</v>
      </c>
    </row>
    <row r="94" spans="2:32" x14ac:dyDescent="0.3">
      <c r="B94" s="178"/>
      <c r="C94" s="107"/>
      <c r="D94" s="107"/>
      <c r="E94" s="107"/>
      <c r="F94" s="107"/>
      <c r="G94" s="107"/>
      <c r="H94" s="107"/>
      <c r="I94" s="107"/>
      <c r="J94" s="107"/>
      <c r="K94" s="107"/>
      <c r="L94" s="107"/>
      <c r="M94" s="107"/>
      <c r="N94" s="107"/>
      <c r="O94" s="107"/>
      <c r="P94" s="107"/>
      <c r="Q94" s="107"/>
      <c r="R94" s="107"/>
      <c r="S94" s="107"/>
      <c r="T94" s="107"/>
      <c r="U94" s="107"/>
      <c r="V94" s="107"/>
      <c r="W94" s="107"/>
      <c r="X94" s="107"/>
      <c r="Y94" s="107"/>
      <c r="Z94" s="107"/>
      <c r="AA94" s="23"/>
    </row>
    <row r="95" spans="2:32" x14ac:dyDescent="0.3">
      <c r="B95" s="178"/>
      <c r="C95" s="129" t="s">
        <v>21</v>
      </c>
      <c r="D95" s="24">
        <v>0.27</v>
      </c>
      <c r="E95" s="24">
        <v>0.27</v>
      </c>
      <c r="F95" s="24">
        <v>0.27</v>
      </c>
      <c r="G95" s="24">
        <v>0.27</v>
      </c>
      <c r="H95" s="24">
        <v>0.27</v>
      </c>
      <c r="I95" s="24">
        <v>0.27</v>
      </c>
      <c r="J95" s="24">
        <v>0.27</v>
      </c>
      <c r="K95" s="24">
        <v>0.27</v>
      </c>
      <c r="L95" s="24">
        <v>0.27</v>
      </c>
      <c r="M95" s="24">
        <v>0.27</v>
      </c>
      <c r="N95" s="24">
        <v>0.27</v>
      </c>
      <c r="O95" s="24">
        <v>0.27</v>
      </c>
      <c r="P95" s="24">
        <v>0.27</v>
      </c>
      <c r="Q95" s="24">
        <v>0.27</v>
      </c>
      <c r="R95" s="24">
        <v>0.27</v>
      </c>
      <c r="S95" s="24">
        <v>0.27</v>
      </c>
      <c r="T95" s="24">
        <v>0.27</v>
      </c>
      <c r="U95" s="24">
        <v>0.27</v>
      </c>
      <c r="V95" s="24">
        <v>0.27</v>
      </c>
      <c r="W95" s="24">
        <v>0.27</v>
      </c>
      <c r="X95" s="24">
        <v>0.27</v>
      </c>
      <c r="Y95" s="24">
        <v>0.27</v>
      </c>
      <c r="Z95" s="24">
        <v>0.27</v>
      </c>
      <c r="AA95" s="24">
        <v>0.27</v>
      </c>
    </row>
    <row r="96" spans="2:32" x14ac:dyDescent="0.3">
      <c r="B96" s="178"/>
      <c r="C96" s="129" t="s">
        <v>22</v>
      </c>
      <c r="D96" s="25">
        <v>0.05</v>
      </c>
      <c r="E96" s="26">
        <v>0.05</v>
      </c>
      <c r="F96" s="26">
        <v>0.05</v>
      </c>
      <c r="G96" s="26">
        <v>0.05</v>
      </c>
      <c r="H96" s="26">
        <v>0.05</v>
      </c>
      <c r="I96" s="26">
        <v>0.05</v>
      </c>
      <c r="J96" s="25">
        <v>0.05</v>
      </c>
      <c r="K96" s="26">
        <v>0.05</v>
      </c>
      <c r="L96" s="26">
        <v>0.05</v>
      </c>
      <c r="M96" s="26">
        <v>0.05</v>
      </c>
      <c r="N96" s="26">
        <v>0.05</v>
      </c>
      <c r="O96" s="26">
        <v>0.05</v>
      </c>
      <c r="P96" s="26">
        <v>0.05</v>
      </c>
      <c r="Q96" s="26">
        <v>0.05</v>
      </c>
      <c r="R96" s="26">
        <v>0.05</v>
      </c>
      <c r="S96" s="26">
        <v>0.05</v>
      </c>
      <c r="T96" s="26">
        <v>0.05</v>
      </c>
      <c r="U96" s="26">
        <v>0.05</v>
      </c>
      <c r="V96" s="26">
        <v>0.05</v>
      </c>
      <c r="W96" s="26">
        <v>0.05</v>
      </c>
      <c r="X96" s="26">
        <v>0.05</v>
      </c>
      <c r="Y96" s="26">
        <v>0.05</v>
      </c>
      <c r="Z96" s="26">
        <v>0.05</v>
      </c>
      <c r="AA96" s="26">
        <v>0.05</v>
      </c>
    </row>
    <row r="97" spans="2:29" x14ac:dyDescent="0.3">
      <c r="B97" s="178"/>
      <c r="C97" s="107"/>
      <c r="D97" s="107"/>
      <c r="E97" s="107"/>
      <c r="F97" s="107"/>
      <c r="G97" s="107"/>
      <c r="H97" s="107"/>
      <c r="I97" s="107"/>
      <c r="J97" s="107"/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07"/>
      <c r="V97" s="107"/>
      <c r="W97" s="107"/>
      <c r="X97" s="107"/>
      <c r="Y97" s="107"/>
      <c r="Z97" s="107"/>
      <c r="AA97" s="23"/>
    </row>
    <row r="98" spans="2:29" x14ac:dyDescent="0.3">
      <c r="B98" s="178"/>
      <c r="C98" s="131" t="s">
        <v>23</v>
      </c>
      <c r="D98" s="27">
        <f>IF(D87="Azul",D76*D88*(1-D84),0)</f>
        <v>0</v>
      </c>
      <c r="E98" s="28">
        <f t="shared" ref="E98:O98" si="50">IF(E87="Azul",E76*E88*(1-E84),0)</f>
        <v>0</v>
      </c>
      <c r="F98" s="28">
        <f t="shared" si="50"/>
        <v>0</v>
      </c>
      <c r="G98" s="28">
        <f t="shared" si="50"/>
        <v>0</v>
      </c>
      <c r="H98" s="28">
        <f t="shared" si="50"/>
        <v>0</v>
      </c>
      <c r="I98" s="28">
        <f t="shared" si="50"/>
        <v>0</v>
      </c>
      <c r="J98" s="27">
        <f t="shared" si="50"/>
        <v>0</v>
      </c>
      <c r="K98" s="28">
        <f t="shared" si="50"/>
        <v>0</v>
      </c>
      <c r="L98" s="28">
        <f t="shared" si="50"/>
        <v>0</v>
      </c>
      <c r="M98" s="28">
        <f t="shared" si="50"/>
        <v>0</v>
      </c>
      <c r="N98" s="28">
        <f t="shared" si="50"/>
        <v>0</v>
      </c>
      <c r="O98" s="28">
        <f t="shared" si="50"/>
        <v>0</v>
      </c>
      <c r="P98" s="27">
        <f>IF(P87="Azul",P76*P88*(1-P84),0)</f>
        <v>0</v>
      </c>
      <c r="Q98" s="28">
        <f t="shared" ref="Q98:AA98" si="51">IF(Q87="Azul",Q76*Q88*(1-Q84),0)</f>
        <v>0</v>
      </c>
      <c r="R98" s="28">
        <f t="shared" si="51"/>
        <v>0</v>
      </c>
      <c r="S98" s="28">
        <f t="shared" si="51"/>
        <v>0</v>
      </c>
      <c r="T98" s="28">
        <f t="shared" si="51"/>
        <v>0</v>
      </c>
      <c r="U98" s="28">
        <f t="shared" si="51"/>
        <v>0</v>
      </c>
      <c r="V98" s="28">
        <f t="shared" si="51"/>
        <v>0</v>
      </c>
      <c r="W98" s="28">
        <f t="shared" si="51"/>
        <v>0</v>
      </c>
      <c r="X98" s="28">
        <f t="shared" si="51"/>
        <v>0</v>
      </c>
      <c r="Y98" s="28">
        <f t="shared" si="51"/>
        <v>0</v>
      </c>
      <c r="Z98" s="28">
        <f t="shared" si="51"/>
        <v>0</v>
      </c>
      <c r="AA98" s="28">
        <f t="shared" si="51"/>
        <v>0</v>
      </c>
    </row>
    <row r="99" spans="2:29" x14ac:dyDescent="0.3">
      <c r="B99" s="178"/>
      <c r="C99" s="131" t="s">
        <v>24</v>
      </c>
      <c r="D99" s="29">
        <f>D78*D88*2</f>
        <v>0</v>
      </c>
      <c r="E99" s="30">
        <f t="shared" ref="E99:O99" si="52">E78*E88*2</f>
        <v>0</v>
      </c>
      <c r="F99" s="30">
        <f t="shared" si="52"/>
        <v>0</v>
      </c>
      <c r="G99" s="30">
        <f t="shared" si="52"/>
        <v>0</v>
      </c>
      <c r="H99" s="30">
        <f t="shared" si="52"/>
        <v>0</v>
      </c>
      <c r="I99" s="30">
        <f t="shared" si="52"/>
        <v>0</v>
      </c>
      <c r="J99" s="29">
        <f t="shared" si="52"/>
        <v>0</v>
      </c>
      <c r="K99" s="30">
        <f t="shared" si="52"/>
        <v>0</v>
      </c>
      <c r="L99" s="30">
        <f t="shared" si="52"/>
        <v>0</v>
      </c>
      <c r="M99" s="30">
        <f t="shared" si="52"/>
        <v>0</v>
      </c>
      <c r="N99" s="30">
        <f t="shared" si="52"/>
        <v>0</v>
      </c>
      <c r="O99" s="30">
        <f t="shared" si="52"/>
        <v>0</v>
      </c>
      <c r="P99" s="29">
        <f>P78*P88*2</f>
        <v>0</v>
      </c>
      <c r="Q99" s="30">
        <f t="shared" ref="Q99:AA99" si="53">Q78*Q88*2</f>
        <v>0</v>
      </c>
      <c r="R99" s="30">
        <f t="shared" si="53"/>
        <v>0</v>
      </c>
      <c r="S99" s="30">
        <f t="shared" si="53"/>
        <v>0</v>
      </c>
      <c r="T99" s="30">
        <f t="shared" si="53"/>
        <v>0</v>
      </c>
      <c r="U99" s="30">
        <f t="shared" si="53"/>
        <v>0</v>
      </c>
      <c r="V99" s="30">
        <f t="shared" si="53"/>
        <v>0</v>
      </c>
      <c r="W99" s="30">
        <f t="shared" si="53"/>
        <v>0</v>
      </c>
      <c r="X99" s="30">
        <f t="shared" si="53"/>
        <v>0</v>
      </c>
      <c r="Y99" s="30">
        <f t="shared" si="53"/>
        <v>0</v>
      </c>
      <c r="Z99" s="30">
        <f t="shared" si="53"/>
        <v>0</v>
      </c>
      <c r="AA99" s="30">
        <f t="shared" si="53"/>
        <v>0</v>
      </c>
    </row>
    <row r="100" spans="2:29" x14ac:dyDescent="0.3">
      <c r="B100" s="178"/>
      <c r="C100" s="131" t="s">
        <v>25</v>
      </c>
      <c r="D100" s="31">
        <f>D77*D89*(1-D84)</f>
        <v>2407.5</v>
      </c>
      <c r="E100" s="32">
        <f t="shared" ref="E100:O100" si="54">E77*E89*(1-E84)</f>
        <v>2407.5</v>
      </c>
      <c r="F100" s="32">
        <f t="shared" si="54"/>
        <v>2407.5</v>
      </c>
      <c r="G100" s="32">
        <f t="shared" si="54"/>
        <v>2407.5</v>
      </c>
      <c r="H100" s="32">
        <f t="shared" si="54"/>
        <v>2407.5</v>
      </c>
      <c r="I100" s="32">
        <f t="shared" si="54"/>
        <v>2407.5</v>
      </c>
      <c r="J100" s="31">
        <f t="shared" si="54"/>
        <v>2407.5</v>
      </c>
      <c r="K100" s="32">
        <f t="shared" si="54"/>
        <v>2407.5</v>
      </c>
      <c r="L100" s="32">
        <f t="shared" si="54"/>
        <v>2407.5</v>
      </c>
      <c r="M100" s="32">
        <f t="shared" si="54"/>
        <v>2407.5</v>
      </c>
      <c r="N100" s="32">
        <f t="shared" si="54"/>
        <v>2407.5</v>
      </c>
      <c r="O100" s="32">
        <f t="shared" si="54"/>
        <v>2407.5</v>
      </c>
      <c r="P100" s="31">
        <f>P77*P89*(1-P84)</f>
        <v>2407.5</v>
      </c>
      <c r="Q100" s="32">
        <f t="shared" ref="Q100:AA100" si="55">Q77*Q89*(1-Q84)</f>
        <v>2407.5</v>
      </c>
      <c r="R100" s="32">
        <f t="shared" si="55"/>
        <v>2407.5</v>
      </c>
      <c r="S100" s="32">
        <f t="shared" si="55"/>
        <v>2407.5</v>
      </c>
      <c r="T100" s="32">
        <f t="shared" si="55"/>
        <v>2407.5</v>
      </c>
      <c r="U100" s="32">
        <f t="shared" si="55"/>
        <v>2407.5</v>
      </c>
      <c r="V100" s="32">
        <f t="shared" si="55"/>
        <v>2407.5</v>
      </c>
      <c r="W100" s="32">
        <f t="shared" si="55"/>
        <v>2407.5</v>
      </c>
      <c r="X100" s="32">
        <f t="shared" si="55"/>
        <v>2407.5</v>
      </c>
      <c r="Y100" s="32">
        <f t="shared" si="55"/>
        <v>2407.5</v>
      </c>
      <c r="Z100" s="32">
        <f t="shared" si="55"/>
        <v>2407.5</v>
      </c>
      <c r="AA100" s="32">
        <f t="shared" si="55"/>
        <v>2407.5</v>
      </c>
    </row>
    <row r="101" spans="2:29" x14ac:dyDescent="0.3">
      <c r="B101" s="178"/>
      <c r="C101" s="131" t="s">
        <v>26</v>
      </c>
      <c r="D101" s="29">
        <f>D79*D89*2</f>
        <v>0</v>
      </c>
      <c r="E101" s="30">
        <f t="shared" ref="E101:O101" si="56">E79*E89*2</f>
        <v>0</v>
      </c>
      <c r="F101" s="30">
        <f t="shared" si="56"/>
        <v>0</v>
      </c>
      <c r="G101" s="30">
        <f t="shared" si="56"/>
        <v>0</v>
      </c>
      <c r="H101" s="30">
        <f t="shared" si="56"/>
        <v>0</v>
      </c>
      <c r="I101" s="30">
        <f t="shared" si="56"/>
        <v>0</v>
      </c>
      <c r="J101" s="29">
        <f t="shared" si="56"/>
        <v>0</v>
      </c>
      <c r="K101" s="30">
        <f t="shared" si="56"/>
        <v>0</v>
      </c>
      <c r="L101" s="30">
        <f t="shared" si="56"/>
        <v>0</v>
      </c>
      <c r="M101" s="30">
        <f t="shared" si="56"/>
        <v>0</v>
      </c>
      <c r="N101" s="30">
        <f t="shared" si="56"/>
        <v>0</v>
      </c>
      <c r="O101" s="30">
        <f t="shared" si="56"/>
        <v>0</v>
      </c>
      <c r="P101" s="29">
        <f>P79*P89*2</f>
        <v>0</v>
      </c>
      <c r="Q101" s="30">
        <f t="shared" ref="Q101:AA101" si="57">Q79*Q89*2</f>
        <v>0</v>
      </c>
      <c r="R101" s="30">
        <f t="shared" si="57"/>
        <v>0</v>
      </c>
      <c r="S101" s="30">
        <f t="shared" si="57"/>
        <v>0</v>
      </c>
      <c r="T101" s="30">
        <f t="shared" si="57"/>
        <v>0</v>
      </c>
      <c r="U101" s="30">
        <f t="shared" si="57"/>
        <v>0</v>
      </c>
      <c r="V101" s="30">
        <f t="shared" si="57"/>
        <v>0</v>
      </c>
      <c r="W101" s="30">
        <f t="shared" si="57"/>
        <v>0</v>
      </c>
      <c r="X101" s="30">
        <f t="shared" si="57"/>
        <v>0</v>
      </c>
      <c r="Y101" s="30">
        <f t="shared" si="57"/>
        <v>0</v>
      </c>
      <c r="Z101" s="30">
        <f t="shared" si="57"/>
        <v>0</v>
      </c>
      <c r="AA101" s="30">
        <f t="shared" si="57"/>
        <v>0</v>
      </c>
    </row>
    <row r="102" spans="2:29" x14ac:dyDescent="0.3">
      <c r="B102" s="178"/>
      <c r="C102" s="131" t="s">
        <v>27</v>
      </c>
      <c r="D102" s="31">
        <f>IF(D87="Azul",D80*D91,D80*((D90-D91)*(1-D84)+D91))</f>
        <v>0</v>
      </c>
      <c r="E102" s="32">
        <f t="shared" ref="E102:O102" si="58">IF(E87="Azul",E80*E91,E80*((E90-E91)*(1-E84)+E91))</f>
        <v>0</v>
      </c>
      <c r="F102" s="32">
        <f t="shared" si="58"/>
        <v>1445.1675</v>
      </c>
      <c r="G102" s="32">
        <f t="shared" si="58"/>
        <v>0</v>
      </c>
      <c r="H102" s="32">
        <f t="shared" si="58"/>
        <v>0</v>
      </c>
      <c r="I102" s="32">
        <f t="shared" si="58"/>
        <v>0</v>
      </c>
      <c r="J102" s="31">
        <f t="shared" si="58"/>
        <v>1445.1675</v>
      </c>
      <c r="K102" s="32">
        <f t="shared" si="58"/>
        <v>0</v>
      </c>
      <c r="L102" s="32">
        <f t="shared" si="58"/>
        <v>0</v>
      </c>
      <c r="M102" s="32">
        <f t="shared" si="58"/>
        <v>1445.1675</v>
      </c>
      <c r="N102" s="32">
        <f t="shared" si="58"/>
        <v>0</v>
      </c>
      <c r="O102" s="32">
        <f t="shared" si="58"/>
        <v>0</v>
      </c>
      <c r="P102" s="31">
        <f>IF(P87="Azul",P80*P91,P80*((P90-P91)*(1-P84)+P91))</f>
        <v>1445.1675</v>
      </c>
      <c r="Q102" s="32">
        <f t="shared" ref="Q102:AA102" si="59">IF(Q87="Azul",Q80*Q91,Q80*((Q90-Q91)*(1-Q84)+Q91))</f>
        <v>0</v>
      </c>
      <c r="R102" s="32">
        <f t="shared" si="59"/>
        <v>0</v>
      </c>
      <c r="S102" s="32">
        <f t="shared" si="59"/>
        <v>0</v>
      </c>
      <c r="T102" s="32">
        <f t="shared" si="59"/>
        <v>1445.1675</v>
      </c>
      <c r="U102" s="32">
        <f t="shared" si="59"/>
        <v>0</v>
      </c>
      <c r="V102" s="32">
        <f t="shared" si="59"/>
        <v>1445.1675</v>
      </c>
      <c r="W102" s="32">
        <f t="shared" si="59"/>
        <v>0</v>
      </c>
      <c r="X102" s="32">
        <f t="shared" si="59"/>
        <v>0</v>
      </c>
      <c r="Y102" s="32">
        <f t="shared" si="59"/>
        <v>1445.1675</v>
      </c>
      <c r="Z102" s="32">
        <f t="shared" si="59"/>
        <v>0</v>
      </c>
      <c r="AA102" s="32">
        <f t="shared" si="59"/>
        <v>0</v>
      </c>
    </row>
    <row r="103" spans="2:29" x14ac:dyDescent="0.3">
      <c r="B103" s="178"/>
      <c r="C103" s="132" t="s">
        <v>28</v>
      </c>
      <c r="D103" s="33">
        <f>D81*D91</f>
        <v>350.238</v>
      </c>
      <c r="E103" s="34">
        <f t="shared" ref="E103:O103" si="60">E81*E91</f>
        <v>350.238</v>
      </c>
      <c r="F103" s="34">
        <f t="shared" si="60"/>
        <v>525.35699999999997</v>
      </c>
      <c r="G103" s="34">
        <f t="shared" si="60"/>
        <v>350.238</v>
      </c>
      <c r="H103" s="34">
        <f t="shared" si="60"/>
        <v>525.35699999999997</v>
      </c>
      <c r="I103" s="34">
        <f t="shared" si="60"/>
        <v>525.35699999999997</v>
      </c>
      <c r="J103" s="33">
        <f t="shared" si="60"/>
        <v>525.35699999999997</v>
      </c>
      <c r="K103" s="34">
        <f t="shared" si="60"/>
        <v>525.35699999999997</v>
      </c>
      <c r="L103" s="34">
        <f t="shared" si="60"/>
        <v>700.476</v>
      </c>
      <c r="M103" s="34">
        <f t="shared" si="60"/>
        <v>525.35699999999997</v>
      </c>
      <c r="N103" s="34">
        <f t="shared" si="60"/>
        <v>700.476</v>
      </c>
      <c r="O103" s="34">
        <f t="shared" si="60"/>
        <v>700.476</v>
      </c>
      <c r="P103" s="33">
        <f>P81*P91</f>
        <v>525.35699999999997</v>
      </c>
      <c r="Q103" s="34">
        <f t="shared" ref="Q103:AA103" si="61">Q81*Q91</f>
        <v>525.35699999999997</v>
      </c>
      <c r="R103" s="34">
        <f t="shared" si="61"/>
        <v>525.35699999999997</v>
      </c>
      <c r="S103" s="34">
        <f t="shared" si="61"/>
        <v>525.35699999999997</v>
      </c>
      <c r="T103" s="34">
        <f t="shared" si="61"/>
        <v>525.35699999999997</v>
      </c>
      <c r="U103" s="34">
        <f t="shared" si="61"/>
        <v>700.476</v>
      </c>
      <c r="V103" s="34">
        <f t="shared" si="61"/>
        <v>700.476</v>
      </c>
      <c r="W103" s="34">
        <f t="shared" si="61"/>
        <v>700.476</v>
      </c>
      <c r="X103" s="34">
        <f t="shared" si="61"/>
        <v>525.35699999999997</v>
      </c>
      <c r="Y103" s="34">
        <f t="shared" si="61"/>
        <v>700.476</v>
      </c>
      <c r="Z103" s="34">
        <f t="shared" si="61"/>
        <v>525.35699999999997</v>
      </c>
      <c r="AA103" s="34">
        <f t="shared" si="61"/>
        <v>533.69600000000003</v>
      </c>
    </row>
    <row r="104" spans="2:29" x14ac:dyDescent="0.3">
      <c r="B104" s="178"/>
      <c r="C104" s="131" t="s">
        <v>29</v>
      </c>
      <c r="D104" s="27">
        <f>SUM(D98:D103)</f>
        <v>2757.7379999999998</v>
      </c>
      <c r="E104" s="28">
        <f>SUM(E98:E103)</f>
        <v>2757.7379999999998</v>
      </c>
      <c r="F104" s="28">
        <f>SUM(F98:F103)</f>
        <v>4378.0244999999995</v>
      </c>
      <c r="G104" s="28">
        <f t="shared" ref="G104:O104" si="62">SUM(G98:G103)</f>
        <v>2757.7379999999998</v>
      </c>
      <c r="H104" s="28">
        <f t="shared" si="62"/>
        <v>2932.857</v>
      </c>
      <c r="I104" s="28">
        <f t="shared" si="62"/>
        <v>2932.857</v>
      </c>
      <c r="J104" s="27">
        <f t="shared" si="62"/>
        <v>4378.0244999999995</v>
      </c>
      <c r="K104" s="28">
        <f t="shared" si="62"/>
        <v>2932.857</v>
      </c>
      <c r="L104" s="28">
        <f t="shared" si="62"/>
        <v>3107.9760000000001</v>
      </c>
      <c r="M104" s="28">
        <f t="shared" si="62"/>
        <v>4378.0244999999995</v>
      </c>
      <c r="N104" s="28">
        <f t="shared" si="62"/>
        <v>3107.9760000000001</v>
      </c>
      <c r="O104" s="28">
        <f t="shared" si="62"/>
        <v>3107.9760000000001</v>
      </c>
      <c r="P104" s="27">
        <f>SUM(P98:P103)</f>
        <v>4378.0244999999995</v>
      </c>
      <c r="Q104" s="28">
        <f t="shared" ref="Q104:AA104" si="63">SUM(Q98:Q103)</f>
        <v>2932.857</v>
      </c>
      <c r="R104" s="28">
        <f t="shared" si="63"/>
        <v>2932.857</v>
      </c>
      <c r="S104" s="28">
        <f t="shared" si="63"/>
        <v>2932.857</v>
      </c>
      <c r="T104" s="28">
        <f t="shared" si="63"/>
        <v>4378.0244999999995</v>
      </c>
      <c r="U104" s="28">
        <f t="shared" si="63"/>
        <v>3107.9760000000001</v>
      </c>
      <c r="V104" s="28">
        <f t="shared" si="63"/>
        <v>4553.1435000000001</v>
      </c>
      <c r="W104" s="28">
        <f t="shared" si="63"/>
        <v>3107.9760000000001</v>
      </c>
      <c r="X104" s="28">
        <f t="shared" si="63"/>
        <v>2932.857</v>
      </c>
      <c r="Y104" s="28">
        <f t="shared" si="63"/>
        <v>4553.1435000000001</v>
      </c>
      <c r="Z104" s="28">
        <f t="shared" si="63"/>
        <v>2932.857</v>
      </c>
      <c r="AA104" s="28">
        <f t="shared" si="63"/>
        <v>2941.1959999999999</v>
      </c>
    </row>
    <row r="105" spans="2:29" x14ac:dyDescent="0.3">
      <c r="B105" s="178"/>
      <c r="C105" s="131" t="s">
        <v>30</v>
      </c>
      <c r="D105" s="35">
        <f>D104/(1-SUM(D95:D96))*SUM(D95:D96)+((D109+D107+D108)/(1-SUM(D95:D96)))*SUM(D95:D96)</f>
        <v>2430.7002352941181</v>
      </c>
      <c r="E105" s="36">
        <f t="shared" ref="E105:AA105" si="64">E104/(1-SUM(E95:E96))*SUM(E95:E96)+((E109+E107+E108)/(1-SUM(E95:E96)))*SUM(E95:E96)</f>
        <v>2430.7002352941181</v>
      </c>
      <c r="F105" s="36">
        <f t="shared" si="64"/>
        <v>3790.8578823529415</v>
      </c>
      <c r="G105" s="36">
        <f t="shared" si="64"/>
        <v>2430.7002352941181</v>
      </c>
      <c r="H105" s="36">
        <f t="shared" si="64"/>
        <v>2513.1091764705889</v>
      </c>
      <c r="I105" s="36">
        <f t="shared" si="64"/>
        <v>2513.1091764705889</v>
      </c>
      <c r="J105" s="35">
        <f t="shared" si="64"/>
        <v>3790.8578823529415</v>
      </c>
      <c r="K105" s="36">
        <f t="shared" si="64"/>
        <v>2513.1091764705889</v>
      </c>
      <c r="L105" s="36">
        <f t="shared" si="64"/>
        <v>2595.5181176470592</v>
      </c>
      <c r="M105" s="36">
        <f t="shared" si="64"/>
        <v>3790.8578823529415</v>
      </c>
      <c r="N105" s="36">
        <f t="shared" si="64"/>
        <v>2595.5181176470592</v>
      </c>
      <c r="O105" s="36">
        <f t="shared" si="64"/>
        <v>2595.5181176470592</v>
      </c>
      <c r="P105" s="35">
        <f t="shared" si="64"/>
        <v>3790.8578823529415</v>
      </c>
      <c r="Q105" s="36">
        <f t="shared" si="64"/>
        <v>2513.1091764705889</v>
      </c>
      <c r="R105" s="36">
        <f t="shared" si="64"/>
        <v>2513.1091764705889</v>
      </c>
      <c r="S105" s="36">
        <f t="shared" si="64"/>
        <v>2513.1091764705889</v>
      </c>
      <c r="T105" s="36">
        <f t="shared" si="64"/>
        <v>3790.8578823529415</v>
      </c>
      <c r="U105" s="36">
        <f t="shared" si="64"/>
        <v>2595.5181176470592</v>
      </c>
      <c r="V105" s="36">
        <f t="shared" si="64"/>
        <v>3873.2668235294122</v>
      </c>
      <c r="W105" s="36">
        <f t="shared" si="64"/>
        <v>2595.5181176470592</v>
      </c>
      <c r="X105" s="36">
        <f t="shared" si="64"/>
        <v>2513.1091764705889</v>
      </c>
      <c r="Y105" s="36">
        <f t="shared" si="64"/>
        <v>3873.2668235294122</v>
      </c>
      <c r="Z105" s="36">
        <f t="shared" si="64"/>
        <v>2513.1091764705889</v>
      </c>
      <c r="AA105" s="36">
        <f t="shared" si="64"/>
        <v>2517.0334117647062</v>
      </c>
    </row>
    <row r="106" spans="2:29" x14ac:dyDescent="0.3">
      <c r="B106" s="178"/>
      <c r="C106" s="107"/>
      <c r="D106" s="107"/>
      <c r="E106" s="107"/>
      <c r="F106" s="107"/>
      <c r="G106" s="107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  <c r="S106" s="107"/>
      <c r="T106" s="107"/>
      <c r="U106" s="107"/>
      <c r="V106" s="107"/>
      <c r="W106" s="107"/>
      <c r="X106" s="107"/>
      <c r="Y106" s="107"/>
      <c r="Z106" s="107"/>
      <c r="AA106" s="37"/>
    </row>
    <row r="107" spans="2:29" x14ac:dyDescent="0.3">
      <c r="B107" s="178"/>
      <c r="C107" s="131" t="s">
        <v>31</v>
      </c>
      <c r="D107" s="9">
        <f>IF(D87="Azul",D76*D88*(D84),0)</f>
        <v>0</v>
      </c>
      <c r="E107" s="10">
        <f t="shared" ref="E107:O107" si="65">IF(E87="Azul",E76*E88*(E84),0)</f>
        <v>0</v>
      </c>
      <c r="F107" s="10">
        <f t="shared" si="65"/>
        <v>0</v>
      </c>
      <c r="G107" s="10">
        <f t="shared" si="65"/>
        <v>0</v>
      </c>
      <c r="H107" s="10">
        <f t="shared" si="65"/>
        <v>0</v>
      </c>
      <c r="I107" s="10">
        <f t="shared" si="65"/>
        <v>0</v>
      </c>
      <c r="J107" s="9">
        <f t="shared" si="65"/>
        <v>0</v>
      </c>
      <c r="K107" s="10">
        <f t="shared" si="65"/>
        <v>0</v>
      </c>
      <c r="L107" s="10">
        <f t="shared" si="65"/>
        <v>0</v>
      </c>
      <c r="M107" s="10">
        <f t="shared" si="65"/>
        <v>0</v>
      </c>
      <c r="N107" s="10">
        <f t="shared" si="65"/>
        <v>0</v>
      </c>
      <c r="O107" s="10">
        <f t="shared" si="65"/>
        <v>0</v>
      </c>
      <c r="P107" s="10">
        <f>IF(P87="Azul",P76*P88*(P84),0)</f>
        <v>0</v>
      </c>
      <c r="Q107" s="10">
        <f t="shared" ref="Q107:AA107" si="66">IF(Q87="Azul",Q76*Q88*(Q84),0)</f>
        <v>0</v>
      </c>
      <c r="R107" s="10">
        <f t="shared" si="66"/>
        <v>0</v>
      </c>
      <c r="S107" s="10">
        <f t="shared" si="66"/>
        <v>0</v>
      </c>
      <c r="T107" s="10">
        <f t="shared" si="66"/>
        <v>0</v>
      </c>
      <c r="U107" s="10">
        <f t="shared" si="66"/>
        <v>0</v>
      </c>
      <c r="V107" s="10">
        <f t="shared" si="66"/>
        <v>0</v>
      </c>
      <c r="W107" s="10">
        <f t="shared" si="66"/>
        <v>0</v>
      </c>
      <c r="X107" s="10">
        <f t="shared" si="66"/>
        <v>0</v>
      </c>
      <c r="Y107" s="10">
        <f t="shared" si="66"/>
        <v>0</v>
      </c>
      <c r="Z107" s="10">
        <f t="shared" si="66"/>
        <v>0</v>
      </c>
      <c r="AA107" s="10">
        <f t="shared" si="66"/>
        <v>0</v>
      </c>
    </row>
    <row r="108" spans="2:29" x14ac:dyDescent="0.3">
      <c r="B108" s="178"/>
      <c r="C108" s="131" t="s">
        <v>32</v>
      </c>
      <c r="D108" s="11">
        <f>D77*D89*(D84)</f>
        <v>2407.5</v>
      </c>
      <c r="E108" s="12">
        <f t="shared" ref="E108:O108" si="67">E77*E89*(E84)</f>
        <v>2407.5</v>
      </c>
      <c r="F108" s="12">
        <f t="shared" si="67"/>
        <v>2407.5</v>
      </c>
      <c r="G108" s="12">
        <f t="shared" si="67"/>
        <v>2407.5</v>
      </c>
      <c r="H108" s="12">
        <f t="shared" si="67"/>
        <v>2407.5</v>
      </c>
      <c r="I108" s="12">
        <f t="shared" si="67"/>
        <v>2407.5</v>
      </c>
      <c r="J108" s="11">
        <f t="shared" si="67"/>
        <v>2407.5</v>
      </c>
      <c r="K108" s="12">
        <f t="shared" si="67"/>
        <v>2407.5</v>
      </c>
      <c r="L108" s="12">
        <f t="shared" si="67"/>
        <v>2407.5</v>
      </c>
      <c r="M108" s="12">
        <f t="shared" si="67"/>
        <v>2407.5</v>
      </c>
      <c r="N108" s="12">
        <f t="shared" si="67"/>
        <v>2407.5</v>
      </c>
      <c r="O108" s="12">
        <f t="shared" si="67"/>
        <v>2407.5</v>
      </c>
      <c r="P108" s="12">
        <f>P77*P89*(P84)</f>
        <v>2407.5</v>
      </c>
      <c r="Q108" s="12">
        <f t="shared" ref="Q108:AA108" si="68">Q77*Q89*(Q84)</f>
        <v>2407.5</v>
      </c>
      <c r="R108" s="12">
        <f t="shared" si="68"/>
        <v>2407.5</v>
      </c>
      <c r="S108" s="12">
        <f t="shared" si="68"/>
        <v>2407.5</v>
      </c>
      <c r="T108" s="12">
        <f t="shared" si="68"/>
        <v>2407.5</v>
      </c>
      <c r="U108" s="12">
        <f t="shared" si="68"/>
        <v>2407.5</v>
      </c>
      <c r="V108" s="12">
        <f t="shared" si="68"/>
        <v>2407.5</v>
      </c>
      <c r="W108" s="12">
        <f t="shared" si="68"/>
        <v>2407.5</v>
      </c>
      <c r="X108" s="12">
        <f t="shared" si="68"/>
        <v>2407.5</v>
      </c>
      <c r="Y108" s="12">
        <f t="shared" si="68"/>
        <v>2407.5</v>
      </c>
      <c r="Z108" s="12">
        <f t="shared" si="68"/>
        <v>2407.5</v>
      </c>
      <c r="AA108" s="12">
        <f t="shared" si="68"/>
        <v>2407.5</v>
      </c>
    </row>
    <row r="109" spans="2:29" x14ac:dyDescent="0.3">
      <c r="B109" s="178"/>
      <c r="C109" s="129" t="s">
        <v>33</v>
      </c>
      <c r="D109" s="19">
        <f>IF(D87="Verde",D80*(D90-D91)*(D84),0)</f>
        <v>0</v>
      </c>
      <c r="E109" s="20">
        <f t="shared" ref="E109:AA109" si="69">IF(E87="Verde",E80*(E90-E91)*(E84),0)</f>
        <v>0</v>
      </c>
      <c r="F109" s="20">
        <f t="shared" si="69"/>
        <v>1270.0484999999999</v>
      </c>
      <c r="G109" s="20">
        <f t="shared" si="69"/>
        <v>0</v>
      </c>
      <c r="H109" s="20">
        <f t="shared" si="69"/>
        <v>0</v>
      </c>
      <c r="I109" s="20">
        <f t="shared" si="69"/>
        <v>0</v>
      </c>
      <c r="J109" s="19">
        <f t="shared" si="69"/>
        <v>1270.0484999999999</v>
      </c>
      <c r="K109" s="20">
        <f t="shared" si="69"/>
        <v>0</v>
      </c>
      <c r="L109" s="20">
        <f t="shared" si="69"/>
        <v>0</v>
      </c>
      <c r="M109" s="20">
        <f t="shared" si="69"/>
        <v>1270.0484999999999</v>
      </c>
      <c r="N109" s="20">
        <f t="shared" si="69"/>
        <v>0</v>
      </c>
      <c r="O109" s="20">
        <f t="shared" si="69"/>
        <v>0</v>
      </c>
      <c r="P109" s="20">
        <f t="shared" si="69"/>
        <v>1270.0484999999999</v>
      </c>
      <c r="Q109" s="20">
        <f t="shared" si="69"/>
        <v>0</v>
      </c>
      <c r="R109" s="20">
        <f t="shared" si="69"/>
        <v>0</v>
      </c>
      <c r="S109" s="20">
        <f t="shared" si="69"/>
        <v>0</v>
      </c>
      <c r="T109" s="20">
        <f t="shared" si="69"/>
        <v>1270.0484999999999</v>
      </c>
      <c r="U109" s="20">
        <f t="shared" si="69"/>
        <v>0</v>
      </c>
      <c r="V109" s="20">
        <f t="shared" si="69"/>
        <v>1270.0484999999999</v>
      </c>
      <c r="W109" s="20">
        <f t="shared" si="69"/>
        <v>0</v>
      </c>
      <c r="X109" s="20">
        <f t="shared" si="69"/>
        <v>0</v>
      </c>
      <c r="Y109" s="20">
        <f t="shared" si="69"/>
        <v>1270.0484999999999</v>
      </c>
      <c r="Z109" s="20">
        <f t="shared" si="69"/>
        <v>0</v>
      </c>
      <c r="AA109" s="20">
        <f t="shared" si="69"/>
        <v>0</v>
      </c>
      <c r="AC109" s="92"/>
    </row>
    <row r="110" spans="2:29" x14ac:dyDescent="0.3">
      <c r="B110" s="178"/>
      <c r="C110" s="109"/>
      <c r="D110" s="109"/>
      <c r="E110" s="109"/>
      <c r="F110" s="109"/>
      <c r="G110" s="109"/>
      <c r="H110" s="109"/>
      <c r="I110" s="109"/>
      <c r="J110" s="109"/>
      <c r="K110" s="109"/>
      <c r="L110" s="109"/>
      <c r="M110" s="109"/>
      <c r="N110" s="109"/>
      <c r="O110" s="109"/>
      <c r="P110" s="109"/>
      <c r="Q110" s="109"/>
      <c r="R110" s="109"/>
      <c r="S110" s="109"/>
      <c r="T110" s="109"/>
      <c r="U110" s="109"/>
      <c r="V110" s="109"/>
      <c r="W110" s="109"/>
      <c r="X110" s="109"/>
      <c r="Y110" s="109"/>
      <c r="Z110" s="109"/>
      <c r="AA110" s="38"/>
    </row>
    <row r="111" spans="2:29" x14ac:dyDescent="0.3">
      <c r="B111" s="178"/>
      <c r="C111" s="129" t="s">
        <v>34</v>
      </c>
      <c r="D111" s="98">
        <f>SUM(D80:D81)/D72</f>
        <v>5.6451612903225812E-3</v>
      </c>
      <c r="E111" s="98">
        <f t="shared" ref="E111:O111" si="70">SUM(E80:E81)/E72</f>
        <v>6.0344827586206896E-3</v>
      </c>
      <c r="F111" s="98">
        <f t="shared" si="70"/>
        <v>1.1290322580645162E-2</v>
      </c>
      <c r="G111" s="98">
        <f t="shared" si="70"/>
        <v>5.8333333333333336E-3</v>
      </c>
      <c r="H111" s="98">
        <f t="shared" si="70"/>
        <v>8.46774193548387E-3</v>
      </c>
      <c r="I111" s="98">
        <f t="shared" si="70"/>
        <v>8.7499999999999991E-3</v>
      </c>
      <c r="J111" s="98">
        <f t="shared" si="70"/>
        <v>1.1290322580645162E-2</v>
      </c>
      <c r="K111" s="98">
        <f t="shared" si="70"/>
        <v>8.46774193548387E-3</v>
      </c>
      <c r="L111" s="98">
        <f t="shared" si="70"/>
        <v>1.1666666666666667E-2</v>
      </c>
      <c r="M111" s="98">
        <f t="shared" si="70"/>
        <v>1.1290322580645162E-2</v>
      </c>
      <c r="N111" s="98">
        <f t="shared" si="70"/>
        <v>1.1666666666666667E-2</v>
      </c>
      <c r="O111" s="98">
        <f t="shared" si="70"/>
        <v>1.1290322580645162E-2</v>
      </c>
      <c r="P111" s="98">
        <f>SUM(P80:P81)/P72</f>
        <v>1.1290322580645162E-2</v>
      </c>
      <c r="Q111" s="98">
        <f t="shared" ref="Q111:AA111" si="71">SUM(Q80:Q81)/Q72</f>
        <v>9.3749999999999997E-3</v>
      </c>
      <c r="R111" s="98">
        <f t="shared" si="71"/>
        <v>8.46774193548387E-3</v>
      </c>
      <c r="S111" s="98">
        <f t="shared" si="71"/>
        <v>8.7499999999999991E-3</v>
      </c>
      <c r="T111" s="98">
        <f t="shared" si="71"/>
        <v>1.1290322580645162E-2</v>
      </c>
      <c r="U111" s="98">
        <f t="shared" si="71"/>
        <v>1.1666666666666667E-2</v>
      </c>
      <c r="V111" s="98">
        <f t="shared" si="71"/>
        <v>1.4112903225806451E-2</v>
      </c>
      <c r="W111" s="98">
        <f t="shared" si="71"/>
        <v>1.1290322580645162E-2</v>
      </c>
      <c r="X111" s="98">
        <f t="shared" si="71"/>
        <v>8.7499999999999991E-3</v>
      </c>
      <c r="Y111" s="98">
        <f t="shared" si="71"/>
        <v>1.4112903225806451E-2</v>
      </c>
      <c r="Z111" s="98">
        <f t="shared" si="71"/>
        <v>8.7499999999999991E-3</v>
      </c>
      <c r="AA111" s="98">
        <f t="shared" si="71"/>
        <v>8.6021505376344086E-3</v>
      </c>
    </row>
    <row r="112" spans="2:29" x14ac:dyDescent="0.3">
      <c r="B112" s="178"/>
      <c r="C112" s="133" t="s">
        <v>35</v>
      </c>
      <c r="D112" s="97">
        <f t="shared" ref="D112:T112" si="72">D111*D72</f>
        <v>4.2</v>
      </c>
      <c r="E112" s="97">
        <f t="shared" si="72"/>
        <v>4.2</v>
      </c>
      <c r="F112" s="97">
        <f t="shared" si="72"/>
        <v>8.4</v>
      </c>
      <c r="G112" s="97">
        <f t="shared" si="72"/>
        <v>4.2</v>
      </c>
      <c r="H112" s="97">
        <f t="shared" si="72"/>
        <v>6.2999999999999989</v>
      </c>
      <c r="I112" s="97">
        <f t="shared" si="72"/>
        <v>6.2999999999999989</v>
      </c>
      <c r="J112" s="97">
        <f t="shared" si="72"/>
        <v>8.4</v>
      </c>
      <c r="K112" s="97">
        <f t="shared" si="72"/>
        <v>6.2999999999999989</v>
      </c>
      <c r="L112" s="97">
        <f t="shared" si="72"/>
        <v>8.4</v>
      </c>
      <c r="M112" s="97">
        <f t="shared" si="72"/>
        <v>8.4</v>
      </c>
      <c r="N112" s="97">
        <f t="shared" si="72"/>
        <v>8.4</v>
      </c>
      <c r="O112" s="97">
        <f t="shared" si="72"/>
        <v>8.4</v>
      </c>
      <c r="P112" s="97">
        <f t="shared" si="72"/>
        <v>8.4</v>
      </c>
      <c r="Q112" s="97">
        <f t="shared" si="72"/>
        <v>6.3</v>
      </c>
      <c r="R112" s="97">
        <f t="shared" si="72"/>
        <v>6.2999999999999989</v>
      </c>
      <c r="S112" s="97">
        <f t="shared" si="72"/>
        <v>6.2999999999999989</v>
      </c>
      <c r="T112" s="97">
        <f t="shared" si="72"/>
        <v>8.4</v>
      </c>
      <c r="U112" s="97">
        <f>U111*U72</f>
        <v>8.4</v>
      </c>
      <c r="V112" s="97">
        <f t="shared" ref="V112:AA112" si="73">V111*V72</f>
        <v>10.5</v>
      </c>
      <c r="W112" s="97">
        <f t="shared" si="73"/>
        <v>8.4</v>
      </c>
      <c r="X112" s="97">
        <f t="shared" si="73"/>
        <v>6.2999999999999989</v>
      </c>
      <c r="Y112" s="97">
        <f t="shared" si="73"/>
        <v>10.5</v>
      </c>
      <c r="Z112" s="97">
        <f t="shared" si="73"/>
        <v>6.2999999999999989</v>
      </c>
      <c r="AA112" s="97">
        <f t="shared" si="73"/>
        <v>6.4</v>
      </c>
    </row>
    <row r="113" spans="2:29" x14ac:dyDescent="0.3">
      <c r="B113" s="178"/>
      <c r="C113" s="129" t="s">
        <v>36</v>
      </c>
      <c r="D113" s="39">
        <f t="shared" ref="D113:AA113" si="74">D112*1.1</f>
        <v>4.620000000000001</v>
      </c>
      <c r="E113" s="39">
        <f t="shared" si="74"/>
        <v>4.620000000000001</v>
      </c>
      <c r="F113" s="39">
        <f t="shared" si="74"/>
        <v>9.240000000000002</v>
      </c>
      <c r="G113" s="39">
        <f t="shared" si="74"/>
        <v>4.620000000000001</v>
      </c>
      <c r="H113" s="39">
        <f t="shared" si="74"/>
        <v>6.93</v>
      </c>
      <c r="I113" s="39">
        <f t="shared" si="74"/>
        <v>6.93</v>
      </c>
      <c r="J113" s="39">
        <f t="shared" si="74"/>
        <v>9.240000000000002</v>
      </c>
      <c r="K113" s="39">
        <f t="shared" si="74"/>
        <v>6.93</v>
      </c>
      <c r="L113" s="39">
        <f t="shared" si="74"/>
        <v>9.240000000000002</v>
      </c>
      <c r="M113" s="39">
        <f t="shared" si="74"/>
        <v>9.240000000000002</v>
      </c>
      <c r="N113" s="39">
        <f t="shared" si="74"/>
        <v>9.240000000000002</v>
      </c>
      <c r="O113" s="39">
        <f t="shared" si="74"/>
        <v>9.240000000000002</v>
      </c>
      <c r="P113" s="39">
        <f t="shared" si="74"/>
        <v>9.240000000000002</v>
      </c>
      <c r="Q113" s="39">
        <f t="shared" si="74"/>
        <v>6.9300000000000006</v>
      </c>
      <c r="R113" s="39">
        <f t="shared" si="74"/>
        <v>6.93</v>
      </c>
      <c r="S113" s="39">
        <f t="shared" si="74"/>
        <v>6.93</v>
      </c>
      <c r="T113" s="39">
        <f t="shared" si="74"/>
        <v>9.240000000000002</v>
      </c>
      <c r="U113" s="39">
        <f t="shared" si="74"/>
        <v>9.240000000000002</v>
      </c>
      <c r="V113" s="39">
        <f t="shared" si="74"/>
        <v>11.55</v>
      </c>
      <c r="W113" s="39">
        <f t="shared" si="74"/>
        <v>9.240000000000002</v>
      </c>
      <c r="X113" s="39">
        <f t="shared" si="74"/>
        <v>6.93</v>
      </c>
      <c r="Y113" s="39">
        <f t="shared" si="74"/>
        <v>11.55</v>
      </c>
      <c r="Z113" s="39">
        <f t="shared" si="74"/>
        <v>6.93</v>
      </c>
      <c r="AA113" s="39">
        <f t="shared" si="74"/>
        <v>7.0400000000000009</v>
      </c>
    </row>
    <row r="114" spans="2:29" x14ac:dyDescent="0.3">
      <c r="B114" s="178"/>
      <c r="C114" s="129" t="s">
        <v>37</v>
      </c>
      <c r="D114" s="40">
        <f t="shared" ref="D114:AA114" si="75">D112*0.9</f>
        <v>3.7800000000000002</v>
      </c>
      <c r="E114" s="40">
        <f t="shared" si="75"/>
        <v>3.7800000000000002</v>
      </c>
      <c r="F114" s="40">
        <f t="shared" si="75"/>
        <v>7.5600000000000005</v>
      </c>
      <c r="G114" s="40">
        <f t="shared" si="75"/>
        <v>3.7800000000000002</v>
      </c>
      <c r="H114" s="40">
        <f t="shared" si="75"/>
        <v>5.669999999999999</v>
      </c>
      <c r="I114" s="40">
        <f t="shared" si="75"/>
        <v>5.669999999999999</v>
      </c>
      <c r="J114" s="40">
        <f t="shared" si="75"/>
        <v>7.5600000000000005</v>
      </c>
      <c r="K114" s="40">
        <f t="shared" si="75"/>
        <v>5.669999999999999</v>
      </c>
      <c r="L114" s="40">
        <f t="shared" si="75"/>
        <v>7.5600000000000005</v>
      </c>
      <c r="M114" s="40">
        <f t="shared" si="75"/>
        <v>7.5600000000000005</v>
      </c>
      <c r="N114" s="40">
        <f t="shared" si="75"/>
        <v>7.5600000000000005</v>
      </c>
      <c r="O114" s="40">
        <f t="shared" si="75"/>
        <v>7.5600000000000005</v>
      </c>
      <c r="P114" s="40">
        <f t="shared" si="75"/>
        <v>7.5600000000000005</v>
      </c>
      <c r="Q114" s="40">
        <f t="shared" si="75"/>
        <v>5.67</v>
      </c>
      <c r="R114" s="40">
        <f t="shared" si="75"/>
        <v>5.669999999999999</v>
      </c>
      <c r="S114" s="40">
        <f t="shared" si="75"/>
        <v>5.669999999999999</v>
      </c>
      <c r="T114" s="40">
        <f t="shared" si="75"/>
        <v>7.5600000000000005</v>
      </c>
      <c r="U114" s="40">
        <f t="shared" si="75"/>
        <v>7.5600000000000005</v>
      </c>
      <c r="V114" s="40">
        <f t="shared" si="75"/>
        <v>9.4500000000000011</v>
      </c>
      <c r="W114" s="40">
        <f t="shared" si="75"/>
        <v>7.5600000000000005</v>
      </c>
      <c r="X114" s="40">
        <f t="shared" si="75"/>
        <v>5.669999999999999</v>
      </c>
      <c r="Y114" s="40">
        <f t="shared" si="75"/>
        <v>9.4500000000000011</v>
      </c>
      <c r="Z114" s="40">
        <f t="shared" si="75"/>
        <v>5.669999999999999</v>
      </c>
      <c r="AA114" s="40">
        <f t="shared" si="75"/>
        <v>5.7600000000000007</v>
      </c>
    </row>
    <row r="115" spans="2:29" x14ac:dyDescent="0.3">
      <c r="B115" s="178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  <c r="AA115" s="41"/>
    </row>
    <row r="116" spans="2:29" x14ac:dyDescent="0.3">
      <c r="B116" s="178"/>
      <c r="C116" s="129" t="s">
        <v>38</v>
      </c>
      <c r="D116" s="43">
        <f t="shared" ref="D116:O116" si="76">D112</f>
        <v>4.2</v>
      </c>
      <c r="E116" s="43">
        <f t="shared" si="76"/>
        <v>4.2</v>
      </c>
      <c r="F116" s="43">
        <f t="shared" si="76"/>
        <v>8.4</v>
      </c>
      <c r="G116" s="43">
        <f t="shared" si="76"/>
        <v>4.2</v>
      </c>
      <c r="H116" s="43">
        <f t="shared" si="76"/>
        <v>6.2999999999999989</v>
      </c>
      <c r="I116" s="43">
        <f t="shared" si="76"/>
        <v>6.2999999999999989</v>
      </c>
      <c r="J116" s="43">
        <f t="shared" si="76"/>
        <v>8.4</v>
      </c>
      <c r="K116" s="43">
        <f t="shared" si="76"/>
        <v>6.2999999999999989</v>
      </c>
      <c r="L116" s="43">
        <f t="shared" si="76"/>
        <v>8.4</v>
      </c>
      <c r="M116" s="43">
        <f t="shared" si="76"/>
        <v>8.4</v>
      </c>
      <c r="N116" s="43">
        <f t="shared" si="76"/>
        <v>8.4</v>
      </c>
      <c r="O116" s="43">
        <f t="shared" si="76"/>
        <v>8.4</v>
      </c>
      <c r="P116" s="43">
        <f>P112</f>
        <v>8.4</v>
      </c>
      <c r="Q116" s="43">
        <f t="shared" ref="Q116:AA116" si="77">Q112</f>
        <v>6.3</v>
      </c>
      <c r="R116" s="43">
        <f t="shared" si="77"/>
        <v>6.2999999999999989</v>
      </c>
      <c r="S116" s="43">
        <f t="shared" si="77"/>
        <v>6.2999999999999989</v>
      </c>
      <c r="T116" s="43">
        <f t="shared" si="77"/>
        <v>8.4</v>
      </c>
      <c r="U116" s="43">
        <f t="shared" si="77"/>
        <v>8.4</v>
      </c>
      <c r="V116" s="43">
        <f t="shared" si="77"/>
        <v>10.5</v>
      </c>
      <c r="W116" s="43">
        <f t="shared" si="77"/>
        <v>8.4</v>
      </c>
      <c r="X116" s="43">
        <f t="shared" si="77"/>
        <v>6.2999999999999989</v>
      </c>
      <c r="Y116" s="43">
        <f t="shared" si="77"/>
        <v>10.5</v>
      </c>
      <c r="Z116" s="43">
        <f t="shared" si="77"/>
        <v>6.2999999999999989</v>
      </c>
      <c r="AA116" s="43">
        <f t="shared" si="77"/>
        <v>6.4</v>
      </c>
    </row>
    <row r="117" spans="2:29" x14ac:dyDescent="0.3">
      <c r="B117" s="178"/>
      <c r="C117" s="129" t="s">
        <v>39</v>
      </c>
      <c r="D117" s="127">
        <f>'SIMULAÇÃO CENÁRIOS'!$E$7</f>
        <v>220</v>
      </c>
      <c r="E117" s="127">
        <f>'SIMULAÇÃO CENÁRIOS'!$E$7</f>
        <v>220</v>
      </c>
      <c r="F117" s="127">
        <f>'SIMULAÇÃO CENÁRIOS'!$E$7</f>
        <v>220</v>
      </c>
      <c r="G117" s="127">
        <f>'SIMULAÇÃO CENÁRIOS'!$E$7</f>
        <v>220</v>
      </c>
      <c r="H117" s="127">
        <f>'SIMULAÇÃO CENÁRIOS'!$E$7</f>
        <v>220</v>
      </c>
      <c r="I117" s="127">
        <f>'SIMULAÇÃO CENÁRIOS'!$E$7</f>
        <v>220</v>
      </c>
      <c r="J117" s="127">
        <f>'SIMULAÇÃO CENÁRIOS'!$E$7</f>
        <v>220</v>
      </c>
      <c r="K117" s="127">
        <f>'SIMULAÇÃO CENÁRIOS'!$E$7</f>
        <v>220</v>
      </c>
      <c r="L117" s="127">
        <f>'SIMULAÇÃO CENÁRIOS'!$E$7</f>
        <v>220</v>
      </c>
      <c r="M117" s="127">
        <f>'SIMULAÇÃO CENÁRIOS'!$E$7</f>
        <v>220</v>
      </c>
      <c r="N117" s="127">
        <f>'SIMULAÇÃO CENÁRIOS'!$E$7</f>
        <v>220</v>
      </c>
      <c r="O117" s="127">
        <f>'SIMULAÇÃO CENÁRIOS'!$E$7</f>
        <v>220</v>
      </c>
      <c r="P117" s="127">
        <f>'SIMULAÇÃO CENÁRIOS'!$E$7</f>
        <v>220</v>
      </c>
      <c r="Q117" s="127">
        <f>'SIMULAÇÃO CENÁRIOS'!$E$7</f>
        <v>220</v>
      </c>
      <c r="R117" s="127">
        <f>'SIMULAÇÃO CENÁRIOS'!$E$7</f>
        <v>220</v>
      </c>
      <c r="S117" s="127">
        <f>'SIMULAÇÃO CENÁRIOS'!$E$7</f>
        <v>220</v>
      </c>
      <c r="T117" s="127">
        <f>'SIMULAÇÃO CENÁRIOS'!$E$7</f>
        <v>220</v>
      </c>
      <c r="U117" s="127">
        <f>'SIMULAÇÃO CENÁRIOS'!$E$7</f>
        <v>220</v>
      </c>
      <c r="V117" s="127">
        <f>'SIMULAÇÃO CENÁRIOS'!$E$7</f>
        <v>220</v>
      </c>
      <c r="W117" s="127">
        <f>'SIMULAÇÃO CENÁRIOS'!$E$7</f>
        <v>220</v>
      </c>
      <c r="X117" s="127">
        <f>'SIMULAÇÃO CENÁRIOS'!$E$7</f>
        <v>220</v>
      </c>
      <c r="Y117" s="127">
        <f>'SIMULAÇÃO CENÁRIOS'!$E$7</f>
        <v>220</v>
      </c>
      <c r="Z117" s="127">
        <f>'SIMULAÇÃO CENÁRIOS'!$E$7</f>
        <v>220</v>
      </c>
      <c r="AA117" s="127">
        <f>'SIMULAÇÃO CENÁRIOS'!$E$7</f>
        <v>220</v>
      </c>
    </row>
    <row r="118" spans="2:29" x14ac:dyDescent="0.3">
      <c r="B118" s="178"/>
      <c r="C118" s="129" t="s">
        <v>40</v>
      </c>
      <c r="D118" s="44">
        <f t="shared" ref="D118:O118" si="78">D116*D117/(1-$P$27)</f>
        <v>1265.7534246575342</v>
      </c>
      <c r="E118" s="44">
        <f t="shared" si="78"/>
        <v>1265.7534246575342</v>
      </c>
      <c r="F118" s="44">
        <f t="shared" si="78"/>
        <v>2531.5068493150684</v>
      </c>
      <c r="G118" s="44">
        <f t="shared" si="78"/>
        <v>1265.7534246575342</v>
      </c>
      <c r="H118" s="44">
        <f t="shared" si="78"/>
        <v>1898.6301369863011</v>
      </c>
      <c r="I118" s="44">
        <f t="shared" si="78"/>
        <v>1898.6301369863011</v>
      </c>
      <c r="J118" s="44">
        <f t="shared" si="78"/>
        <v>2531.5068493150684</v>
      </c>
      <c r="K118" s="44">
        <f t="shared" si="78"/>
        <v>1898.6301369863011</v>
      </c>
      <c r="L118" s="44">
        <f t="shared" si="78"/>
        <v>2531.5068493150684</v>
      </c>
      <c r="M118" s="44">
        <f t="shared" si="78"/>
        <v>2531.5068493150684</v>
      </c>
      <c r="N118" s="44">
        <f t="shared" si="78"/>
        <v>2531.5068493150684</v>
      </c>
      <c r="O118" s="44">
        <f t="shared" si="78"/>
        <v>2531.5068493150684</v>
      </c>
      <c r="P118" s="44">
        <f>P116*P117/(1-$P$27)</f>
        <v>2531.5068493150684</v>
      </c>
      <c r="Q118" s="44">
        <f t="shared" ref="Q118:AA118" si="79">Q116*Q117/(1-$P$27)</f>
        <v>1898.6301369863015</v>
      </c>
      <c r="R118" s="44">
        <f t="shared" si="79"/>
        <v>1898.6301369863011</v>
      </c>
      <c r="S118" s="44">
        <f t="shared" si="79"/>
        <v>1898.6301369863011</v>
      </c>
      <c r="T118" s="44">
        <f t="shared" si="79"/>
        <v>2531.5068493150684</v>
      </c>
      <c r="U118" s="44">
        <f t="shared" si="79"/>
        <v>2531.5068493150684</v>
      </c>
      <c r="V118" s="44">
        <f t="shared" si="79"/>
        <v>3164.3835616438355</v>
      </c>
      <c r="W118" s="44">
        <f t="shared" si="79"/>
        <v>2531.5068493150684</v>
      </c>
      <c r="X118" s="44">
        <f t="shared" si="79"/>
        <v>1898.6301369863011</v>
      </c>
      <c r="Y118" s="44">
        <f t="shared" si="79"/>
        <v>3164.3835616438355</v>
      </c>
      <c r="Z118" s="44">
        <f t="shared" si="79"/>
        <v>1898.6301369863011</v>
      </c>
      <c r="AA118" s="44">
        <f t="shared" si="79"/>
        <v>1928.7671232876712</v>
      </c>
    </row>
    <row r="119" spans="2:29" ht="17.25" thickBot="1" x14ac:dyDescent="0.35">
      <c r="B119" s="178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  <c r="AA119" s="45"/>
    </row>
    <row r="120" spans="2:29" ht="17.25" thickBot="1" x14ac:dyDescent="0.35">
      <c r="B120" s="178"/>
      <c r="C120" s="134" t="s">
        <v>98</v>
      </c>
      <c r="D120" s="46">
        <f t="shared" ref="D120:O120" si="80">+D118+D105+D104</f>
        <v>6454.1916599516517</v>
      </c>
      <c r="E120" s="46">
        <f t="shared" si="80"/>
        <v>6454.1916599516517</v>
      </c>
      <c r="F120" s="46">
        <f t="shared" si="80"/>
        <v>10700.38923166801</v>
      </c>
      <c r="G120" s="46">
        <f t="shared" si="80"/>
        <v>6454.1916599516517</v>
      </c>
      <c r="H120" s="46">
        <f t="shared" si="80"/>
        <v>7344.5963134568901</v>
      </c>
      <c r="I120" s="46">
        <f t="shared" si="80"/>
        <v>7344.5963134568901</v>
      </c>
      <c r="J120" s="46">
        <f t="shared" si="80"/>
        <v>10700.38923166801</v>
      </c>
      <c r="K120" s="46">
        <f t="shared" si="80"/>
        <v>7344.5963134568901</v>
      </c>
      <c r="L120" s="46">
        <f t="shared" si="80"/>
        <v>8235.0009669621286</v>
      </c>
      <c r="M120" s="46">
        <f t="shared" si="80"/>
        <v>10700.38923166801</v>
      </c>
      <c r="N120" s="46">
        <f t="shared" si="80"/>
        <v>8235.0009669621286</v>
      </c>
      <c r="O120" s="46">
        <f t="shared" si="80"/>
        <v>8235.0009669621286</v>
      </c>
      <c r="P120" s="46">
        <f>+P118+P105+P104</f>
        <v>10700.38923166801</v>
      </c>
      <c r="Q120" s="46">
        <f t="shared" ref="Q120:AA120" si="81">+Q118+Q105+Q104</f>
        <v>7344.5963134568901</v>
      </c>
      <c r="R120" s="46">
        <f t="shared" si="81"/>
        <v>7344.5963134568901</v>
      </c>
      <c r="S120" s="46">
        <f t="shared" si="81"/>
        <v>7344.5963134568901</v>
      </c>
      <c r="T120" s="46">
        <f t="shared" si="81"/>
        <v>10700.38923166801</v>
      </c>
      <c r="U120" s="46">
        <f t="shared" si="81"/>
        <v>8235.0009669621286</v>
      </c>
      <c r="V120" s="46">
        <f t="shared" si="81"/>
        <v>11590.793885173247</v>
      </c>
      <c r="W120" s="46">
        <f t="shared" si="81"/>
        <v>8235.0009669621286</v>
      </c>
      <c r="X120" s="46">
        <f t="shared" si="81"/>
        <v>7344.5963134568901</v>
      </c>
      <c r="Y120" s="46">
        <f t="shared" si="81"/>
        <v>11590.793885173247</v>
      </c>
      <c r="Z120" s="46">
        <f t="shared" si="81"/>
        <v>7344.5963134568901</v>
      </c>
      <c r="AA120" s="46">
        <f t="shared" si="81"/>
        <v>7386.9965350523771</v>
      </c>
      <c r="AC120" s="47">
        <f>SUM(D120:AA120)</f>
        <v>203364.88078605966</v>
      </c>
    </row>
    <row r="121" spans="2:29" x14ac:dyDescent="0.3">
      <c r="B121" s="178"/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100"/>
    </row>
    <row r="122" spans="2:29" ht="45.75" x14ac:dyDescent="0.3">
      <c r="B122" s="178"/>
      <c r="C122" s="172" t="s">
        <v>99</v>
      </c>
      <c r="D122" s="172"/>
      <c r="E122" s="172"/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3"/>
    </row>
    <row r="123" spans="2:29" x14ac:dyDescent="0.3">
      <c r="B123" s="178"/>
      <c r="C123" s="129" t="s">
        <v>101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3">
        <v>0</v>
      </c>
      <c r="R123" s="43">
        <v>0</v>
      </c>
      <c r="S123" s="43">
        <v>0</v>
      </c>
      <c r="T123" s="43">
        <v>0</v>
      </c>
      <c r="U123" s="43">
        <v>0</v>
      </c>
      <c r="V123" s="43">
        <v>0</v>
      </c>
      <c r="W123" s="43">
        <v>0</v>
      </c>
      <c r="X123" s="43">
        <v>0</v>
      </c>
      <c r="Y123" s="43">
        <v>0</v>
      </c>
      <c r="Z123" s="43">
        <v>0</v>
      </c>
      <c r="AA123" s="43">
        <v>0</v>
      </c>
    </row>
    <row r="124" spans="2:29" x14ac:dyDescent="0.3">
      <c r="B124" s="178"/>
      <c r="C124" s="129" t="s">
        <v>102</v>
      </c>
      <c r="D124" s="17">
        <f t="shared" ref="D124:O124" si="82">D77*D89+D79*D89*2</f>
        <v>4815</v>
      </c>
      <c r="E124" s="17">
        <f t="shared" si="82"/>
        <v>4815</v>
      </c>
      <c r="F124" s="17">
        <f t="shared" si="82"/>
        <v>4815</v>
      </c>
      <c r="G124" s="17">
        <f t="shared" si="82"/>
        <v>4815</v>
      </c>
      <c r="H124" s="17">
        <f t="shared" si="82"/>
        <v>4815</v>
      </c>
      <c r="I124" s="17">
        <f t="shared" si="82"/>
        <v>4815</v>
      </c>
      <c r="J124" s="17">
        <f t="shared" si="82"/>
        <v>4815</v>
      </c>
      <c r="K124" s="17">
        <f t="shared" si="82"/>
        <v>4815</v>
      </c>
      <c r="L124" s="17">
        <f t="shared" si="82"/>
        <v>4815</v>
      </c>
      <c r="M124" s="17">
        <f t="shared" si="82"/>
        <v>4815</v>
      </c>
      <c r="N124" s="17">
        <f t="shared" si="82"/>
        <v>4815</v>
      </c>
      <c r="O124" s="17">
        <f t="shared" si="82"/>
        <v>4815</v>
      </c>
      <c r="P124" s="17">
        <f>P77*P89+P79*P89*2</f>
        <v>4815</v>
      </c>
      <c r="Q124" s="18">
        <f t="shared" ref="Q124:AA124" si="83">Q77*Q89+Q79*Q89*2</f>
        <v>4815</v>
      </c>
      <c r="R124" s="18">
        <f t="shared" si="83"/>
        <v>4815</v>
      </c>
      <c r="S124" s="18">
        <f t="shared" si="83"/>
        <v>4815</v>
      </c>
      <c r="T124" s="18">
        <f t="shared" si="83"/>
        <v>4815</v>
      </c>
      <c r="U124" s="18">
        <f t="shared" si="83"/>
        <v>4815</v>
      </c>
      <c r="V124" s="18">
        <f t="shared" si="83"/>
        <v>4815</v>
      </c>
      <c r="W124" s="18">
        <f t="shared" si="83"/>
        <v>4815</v>
      </c>
      <c r="X124" s="18">
        <f t="shared" si="83"/>
        <v>4815</v>
      </c>
      <c r="Y124" s="18">
        <f t="shared" si="83"/>
        <v>4815</v>
      </c>
      <c r="Z124" s="18">
        <f t="shared" si="83"/>
        <v>4815</v>
      </c>
      <c r="AA124" s="18">
        <f t="shared" si="83"/>
        <v>4815</v>
      </c>
    </row>
    <row r="125" spans="2:29" x14ac:dyDescent="0.3">
      <c r="B125" s="178"/>
      <c r="C125" s="129" t="s">
        <v>103</v>
      </c>
      <c r="D125" s="102">
        <f t="shared" ref="D125:O125" si="84">D80*D90</f>
        <v>0</v>
      </c>
      <c r="E125" s="102">
        <f t="shared" si="84"/>
        <v>0</v>
      </c>
      <c r="F125" s="102">
        <f t="shared" si="84"/>
        <v>2715.2160000000003</v>
      </c>
      <c r="G125" s="102">
        <f t="shared" si="84"/>
        <v>0</v>
      </c>
      <c r="H125" s="102">
        <f t="shared" si="84"/>
        <v>0</v>
      </c>
      <c r="I125" s="102">
        <f t="shared" si="84"/>
        <v>0</v>
      </c>
      <c r="J125" s="102">
        <f t="shared" si="84"/>
        <v>2715.2160000000003</v>
      </c>
      <c r="K125" s="102">
        <f t="shared" si="84"/>
        <v>0</v>
      </c>
      <c r="L125" s="102">
        <f t="shared" si="84"/>
        <v>0</v>
      </c>
      <c r="M125" s="102">
        <f t="shared" si="84"/>
        <v>2715.2160000000003</v>
      </c>
      <c r="N125" s="102">
        <f t="shared" si="84"/>
        <v>0</v>
      </c>
      <c r="O125" s="102">
        <f t="shared" si="84"/>
        <v>0</v>
      </c>
      <c r="P125" s="102">
        <f>P80*P90</f>
        <v>2715.2160000000003</v>
      </c>
      <c r="Q125" s="103">
        <f t="shared" ref="Q125:AA125" si="85">Q80*Q90</f>
        <v>0</v>
      </c>
      <c r="R125" s="103">
        <f t="shared" si="85"/>
        <v>0</v>
      </c>
      <c r="S125" s="103">
        <f t="shared" si="85"/>
        <v>0</v>
      </c>
      <c r="T125" s="103">
        <f t="shared" si="85"/>
        <v>2715.2160000000003</v>
      </c>
      <c r="U125" s="103">
        <f t="shared" si="85"/>
        <v>0</v>
      </c>
      <c r="V125" s="103">
        <f t="shared" si="85"/>
        <v>2715.2160000000003</v>
      </c>
      <c r="W125" s="103">
        <f t="shared" si="85"/>
        <v>0</v>
      </c>
      <c r="X125" s="103">
        <f t="shared" si="85"/>
        <v>0</v>
      </c>
      <c r="Y125" s="103">
        <f t="shared" si="85"/>
        <v>2715.2160000000003</v>
      </c>
      <c r="Z125" s="103">
        <f t="shared" si="85"/>
        <v>0</v>
      </c>
      <c r="AA125" s="103">
        <f t="shared" si="85"/>
        <v>0</v>
      </c>
    </row>
    <row r="126" spans="2:29" x14ac:dyDescent="0.3">
      <c r="B126" s="178"/>
      <c r="C126" s="129" t="s">
        <v>104</v>
      </c>
      <c r="D126" s="17">
        <f t="shared" ref="D126:O126" si="86">D81*D91</f>
        <v>350.238</v>
      </c>
      <c r="E126" s="17">
        <f t="shared" si="86"/>
        <v>350.238</v>
      </c>
      <c r="F126" s="17">
        <f t="shared" si="86"/>
        <v>525.35699999999997</v>
      </c>
      <c r="G126" s="17">
        <f t="shared" si="86"/>
        <v>350.238</v>
      </c>
      <c r="H126" s="17">
        <f t="shared" si="86"/>
        <v>525.35699999999997</v>
      </c>
      <c r="I126" s="17">
        <f t="shared" si="86"/>
        <v>525.35699999999997</v>
      </c>
      <c r="J126" s="17">
        <f t="shared" si="86"/>
        <v>525.35699999999997</v>
      </c>
      <c r="K126" s="17">
        <f t="shared" si="86"/>
        <v>525.35699999999997</v>
      </c>
      <c r="L126" s="17">
        <f t="shared" si="86"/>
        <v>700.476</v>
      </c>
      <c r="M126" s="17">
        <f t="shared" si="86"/>
        <v>525.35699999999997</v>
      </c>
      <c r="N126" s="17">
        <f t="shared" si="86"/>
        <v>700.476</v>
      </c>
      <c r="O126" s="17">
        <f t="shared" si="86"/>
        <v>700.476</v>
      </c>
      <c r="P126" s="17">
        <f>P81*P91</f>
        <v>525.35699999999997</v>
      </c>
      <c r="Q126" s="18">
        <f t="shared" ref="Q126:AA126" si="87">Q81*Q91</f>
        <v>525.35699999999997</v>
      </c>
      <c r="R126" s="18">
        <f t="shared" si="87"/>
        <v>525.35699999999997</v>
      </c>
      <c r="S126" s="18">
        <f t="shared" si="87"/>
        <v>525.35699999999997</v>
      </c>
      <c r="T126" s="18">
        <f t="shared" si="87"/>
        <v>525.35699999999997</v>
      </c>
      <c r="U126" s="18">
        <f t="shared" si="87"/>
        <v>700.476</v>
      </c>
      <c r="V126" s="18">
        <f t="shared" si="87"/>
        <v>700.476</v>
      </c>
      <c r="W126" s="18">
        <f t="shared" si="87"/>
        <v>700.476</v>
      </c>
      <c r="X126" s="18">
        <f t="shared" si="87"/>
        <v>525.35699999999997</v>
      </c>
      <c r="Y126" s="18">
        <f t="shared" si="87"/>
        <v>700.476</v>
      </c>
      <c r="Z126" s="18">
        <f t="shared" si="87"/>
        <v>525.35699999999997</v>
      </c>
      <c r="AA126" s="18">
        <f t="shared" si="87"/>
        <v>533.69600000000003</v>
      </c>
    </row>
    <row r="127" spans="2:29" x14ac:dyDescent="0.3">
      <c r="B127" s="178"/>
      <c r="C127" s="129" t="s">
        <v>105</v>
      </c>
      <c r="D127" s="102">
        <f t="shared" ref="D127:O127" si="88">D80*D92</f>
        <v>0</v>
      </c>
      <c r="E127" s="102">
        <f t="shared" si="88"/>
        <v>0</v>
      </c>
      <c r="F127" s="102">
        <f t="shared" si="88"/>
        <v>883.428</v>
      </c>
      <c r="G127" s="102">
        <f t="shared" si="88"/>
        <v>0</v>
      </c>
      <c r="H127" s="102">
        <f t="shared" si="88"/>
        <v>0</v>
      </c>
      <c r="I127" s="102">
        <f t="shared" si="88"/>
        <v>0</v>
      </c>
      <c r="J127" s="102">
        <f t="shared" si="88"/>
        <v>883.428</v>
      </c>
      <c r="K127" s="102">
        <f t="shared" si="88"/>
        <v>0</v>
      </c>
      <c r="L127" s="102">
        <f t="shared" si="88"/>
        <v>0</v>
      </c>
      <c r="M127" s="102">
        <f t="shared" si="88"/>
        <v>883.428</v>
      </c>
      <c r="N127" s="102">
        <f t="shared" si="88"/>
        <v>0</v>
      </c>
      <c r="O127" s="102">
        <f t="shared" si="88"/>
        <v>0</v>
      </c>
      <c r="P127" s="102">
        <f>P80*P92</f>
        <v>883.428</v>
      </c>
      <c r="Q127" s="103">
        <f t="shared" ref="Q127:AA127" si="89">Q80*Q92</f>
        <v>0</v>
      </c>
      <c r="R127" s="103">
        <f t="shared" si="89"/>
        <v>0</v>
      </c>
      <c r="S127" s="103">
        <f t="shared" si="89"/>
        <v>0</v>
      </c>
      <c r="T127" s="103">
        <f t="shared" si="89"/>
        <v>883.428</v>
      </c>
      <c r="U127" s="103">
        <f t="shared" si="89"/>
        <v>0</v>
      </c>
      <c r="V127" s="103">
        <f t="shared" si="89"/>
        <v>883.428</v>
      </c>
      <c r="W127" s="103">
        <f t="shared" si="89"/>
        <v>0</v>
      </c>
      <c r="X127" s="103">
        <f t="shared" si="89"/>
        <v>0</v>
      </c>
      <c r="Y127" s="103">
        <f t="shared" si="89"/>
        <v>883.428</v>
      </c>
      <c r="Z127" s="103">
        <f t="shared" si="89"/>
        <v>0</v>
      </c>
      <c r="AA127" s="103">
        <f t="shared" si="89"/>
        <v>0</v>
      </c>
    </row>
    <row r="128" spans="2:29" x14ac:dyDescent="0.3">
      <c r="B128" s="178"/>
      <c r="C128" s="129" t="s">
        <v>106</v>
      </c>
      <c r="D128" s="17">
        <f t="shared" ref="D128:O128" si="90">D81*D93</f>
        <v>1056.048</v>
      </c>
      <c r="E128" s="17">
        <f t="shared" si="90"/>
        <v>1056.048</v>
      </c>
      <c r="F128" s="17">
        <f t="shared" si="90"/>
        <v>1584.0719999999999</v>
      </c>
      <c r="G128" s="17">
        <f t="shared" si="90"/>
        <v>1056.048</v>
      </c>
      <c r="H128" s="17">
        <f t="shared" si="90"/>
        <v>1584.0719999999999</v>
      </c>
      <c r="I128" s="17">
        <f t="shared" si="90"/>
        <v>1584.0719999999999</v>
      </c>
      <c r="J128" s="17">
        <f t="shared" si="90"/>
        <v>1584.0719999999999</v>
      </c>
      <c r="K128" s="17">
        <f t="shared" si="90"/>
        <v>1584.0719999999999</v>
      </c>
      <c r="L128" s="17">
        <f t="shared" si="90"/>
        <v>2112.096</v>
      </c>
      <c r="M128" s="17">
        <f t="shared" si="90"/>
        <v>1584.0719999999999</v>
      </c>
      <c r="N128" s="17">
        <f t="shared" si="90"/>
        <v>2112.096</v>
      </c>
      <c r="O128" s="17">
        <f t="shared" si="90"/>
        <v>2112.096</v>
      </c>
      <c r="P128" s="17">
        <f>P81*P93</f>
        <v>1584.0719999999999</v>
      </c>
      <c r="Q128" s="18">
        <f t="shared" ref="Q128:AA128" si="91">Q81*Q93</f>
        <v>1584.0719999999999</v>
      </c>
      <c r="R128" s="18">
        <f t="shared" si="91"/>
        <v>1584.0719999999999</v>
      </c>
      <c r="S128" s="18">
        <f t="shared" si="91"/>
        <v>1584.0719999999999</v>
      </c>
      <c r="T128" s="18">
        <f t="shared" si="91"/>
        <v>1584.0719999999999</v>
      </c>
      <c r="U128" s="18">
        <f t="shared" si="91"/>
        <v>2112.096</v>
      </c>
      <c r="V128" s="18">
        <f t="shared" si="91"/>
        <v>2112.096</v>
      </c>
      <c r="W128" s="18">
        <f t="shared" si="91"/>
        <v>2112.096</v>
      </c>
      <c r="X128" s="18">
        <f t="shared" si="91"/>
        <v>1584.0719999999999</v>
      </c>
      <c r="Y128" s="18">
        <f t="shared" si="91"/>
        <v>2112.096</v>
      </c>
      <c r="Z128" s="18">
        <f t="shared" si="91"/>
        <v>1584.0719999999999</v>
      </c>
      <c r="AA128" s="18">
        <f t="shared" si="91"/>
        <v>1609.2160000000001</v>
      </c>
    </row>
    <row r="129" spans="2:32" x14ac:dyDescent="0.3">
      <c r="B129" s="178"/>
      <c r="C129" s="130" t="s">
        <v>107</v>
      </c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3"/>
      <c r="R129" s="103"/>
      <c r="S129" s="103"/>
      <c r="T129" s="103"/>
      <c r="U129" s="103"/>
      <c r="V129" s="103"/>
      <c r="W129" s="103"/>
      <c r="X129" s="103"/>
      <c r="Y129" s="103"/>
      <c r="Z129" s="103"/>
      <c r="AA129" s="103"/>
    </row>
    <row r="130" spans="2:32" x14ac:dyDescent="0.3">
      <c r="B130" s="178"/>
      <c r="C130" s="130" t="s">
        <v>110</v>
      </c>
      <c r="D130" s="21">
        <f t="shared" ref="D130:O130" si="92">SUM(D123:D129)/(1-SUM(D95:D96))*SUM(D95:D96)</f>
        <v>2927.6640000000002</v>
      </c>
      <c r="E130" s="21">
        <f t="shared" si="92"/>
        <v>2927.6640000000002</v>
      </c>
      <c r="F130" s="21">
        <f t="shared" si="92"/>
        <v>4952.0343529411775</v>
      </c>
      <c r="G130" s="21">
        <f t="shared" si="92"/>
        <v>2927.6640000000002</v>
      </c>
      <c r="H130" s="21">
        <f t="shared" si="92"/>
        <v>3258.5548235294123</v>
      </c>
      <c r="I130" s="21">
        <f t="shared" si="92"/>
        <v>3258.5548235294123</v>
      </c>
      <c r="J130" s="21">
        <f t="shared" si="92"/>
        <v>4952.0343529411775</v>
      </c>
      <c r="K130" s="21">
        <f t="shared" si="92"/>
        <v>3258.5548235294123</v>
      </c>
      <c r="L130" s="21">
        <f t="shared" si="92"/>
        <v>3589.4456470588239</v>
      </c>
      <c r="M130" s="21">
        <f t="shared" si="92"/>
        <v>4952.0343529411775</v>
      </c>
      <c r="N130" s="21">
        <f t="shared" si="92"/>
        <v>3589.4456470588239</v>
      </c>
      <c r="O130" s="21">
        <f t="shared" si="92"/>
        <v>3589.4456470588239</v>
      </c>
      <c r="P130" s="21">
        <f>SUM(P123:P129)/(1-SUM(P95:P96))*SUM(P95:P96)</f>
        <v>4952.0343529411775</v>
      </c>
      <c r="Q130" s="22">
        <f t="shared" ref="Q130:AA130" si="93">SUM(Q123:Q129)/(1-SUM(Q95:Q96))*SUM(Q95:Q96)</f>
        <v>3258.5548235294123</v>
      </c>
      <c r="R130" s="22">
        <f t="shared" si="93"/>
        <v>3258.5548235294123</v>
      </c>
      <c r="S130" s="22">
        <f t="shared" si="93"/>
        <v>3258.5548235294123</v>
      </c>
      <c r="T130" s="22">
        <f t="shared" si="93"/>
        <v>4952.0343529411775</v>
      </c>
      <c r="U130" s="22">
        <f t="shared" si="93"/>
        <v>3589.4456470588239</v>
      </c>
      <c r="V130" s="22">
        <f t="shared" si="93"/>
        <v>5282.9251764705896</v>
      </c>
      <c r="W130" s="22">
        <f t="shared" si="93"/>
        <v>3589.4456470588239</v>
      </c>
      <c r="X130" s="22">
        <f t="shared" si="93"/>
        <v>3258.5548235294123</v>
      </c>
      <c r="Y130" s="22">
        <f t="shared" si="93"/>
        <v>5282.9251764705896</v>
      </c>
      <c r="Z130" s="22">
        <f t="shared" si="93"/>
        <v>3258.5548235294123</v>
      </c>
      <c r="AA130" s="22">
        <f t="shared" si="93"/>
        <v>3274.3115294117652</v>
      </c>
    </row>
    <row r="131" spans="2:32" ht="17.25" thickBot="1" x14ac:dyDescent="0.35">
      <c r="B131" s="178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  <c r="AA131" s="45"/>
    </row>
    <row r="132" spans="2:32" ht="17.25" thickBot="1" x14ac:dyDescent="0.35">
      <c r="B132" s="178"/>
      <c r="C132" s="134" t="s">
        <v>109</v>
      </c>
      <c r="D132" s="46">
        <f t="shared" ref="D132:O132" si="94">+SUM(D123:D130)</f>
        <v>9148.9500000000007</v>
      </c>
      <c r="E132" s="46">
        <f t="shared" si="94"/>
        <v>9148.9500000000007</v>
      </c>
      <c r="F132" s="46">
        <f t="shared" si="94"/>
        <v>15475.107352941177</v>
      </c>
      <c r="G132" s="46">
        <f t="shared" si="94"/>
        <v>9148.9500000000007</v>
      </c>
      <c r="H132" s="46">
        <f t="shared" si="94"/>
        <v>10182.983823529412</v>
      </c>
      <c r="I132" s="46">
        <f t="shared" si="94"/>
        <v>10182.983823529412</v>
      </c>
      <c r="J132" s="46">
        <f t="shared" si="94"/>
        <v>15475.107352941177</v>
      </c>
      <c r="K132" s="46">
        <f t="shared" si="94"/>
        <v>10182.983823529412</v>
      </c>
      <c r="L132" s="46">
        <f t="shared" si="94"/>
        <v>11217.017647058823</v>
      </c>
      <c r="M132" s="46">
        <f t="shared" si="94"/>
        <v>15475.107352941177</v>
      </c>
      <c r="N132" s="46">
        <f t="shared" si="94"/>
        <v>11217.017647058823</v>
      </c>
      <c r="O132" s="46">
        <f t="shared" si="94"/>
        <v>11217.017647058823</v>
      </c>
      <c r="P132" s="46">
        <f>+SUM(P123:P130)</f>
        <v>15475.107352941177</v>
      </c>
      <c r="Q132" s="46">
        <f t="shared" ref="Q132:AA132" si="95">+SUM(Q123:Q130)</f>
        <v>10182.983823529412</v>
      </c>
      <c r="R132" s="46">
        <f t="shared" si="95"/>
        <v>10182.983823529412</v>
      </c>
      <c r="S132" s="46">
        <f t="shared" si="95"/>
        <v>10182.983823529412</v>
      </c>
      <c r="T132" s="46">
        <f t="shared" si="95"/>
        <v>15475.107352941177</v>
      </c>
      <c r="U132" s="46">
        <f t="shared" si="95"/>
        <v>11217.017647058823</v>
      </c>
      <c r="V132" s="46">
        <f t="shared" si="95"/>
        <v>16509.141176470592</v>
      </c>
      <c r="W132" s="46">
        <f t="shared" si="95"/>
        <v>11217.017647058823</v>
      </c>
      <c r="X132" s="46">
        <f t="shared" si="95"/>
        <v>10182.983823529412</v>
      </c>
      <c r="Y132" s="46">
        <f t="shared" si="95"/>
        <v>16509.141176470592</v>
      </c>
      <c r="Z132" s="46">
        <f t="shared" si="95"/>
        <v>10182.983823529412</v>
      </c>
      <c r="AA132" s="46">
        <f t="shared" si="95"/>
        <v>10232.223529411765</v>
      </c>
      <c r="AC132" s="47">
        <f>SUM(D132:AA132)</f>
        <v>285621.85147058824</v>
      </c>
    </row>
    <row r="133" spans="2:32" ht="17.25" thickBot="1" x14ac:dyDescent="0.35">
      <c r="B133" s="178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  <c r="AA133" s="41"/>
    </row>
    <row r="134" spans="2:32" ht="17.25" thickBot="1" x14ac:dyDescent="0.35">
      <c r="B134" s="178"/>
      <c r="C134" s="134" t="s">
        <v>111</v>
      </c>
      <c r="D134" s="46">
        <f t="shared" ref="D134:O134" si="96">D132-D120</f>
        <v>2694.7583400483491</v>
      </c>
      <c r="E134" s="46">
        <f t="shared" si="96"/>
        <v>2694.7583400483491</v>
      </c>
      <c r="F134" s="46">
        <f t="shared" si="96"/>
        <v>4774.7181212731666</v>
      </c>
      <c r="G134" s="46">
        <f t="shared" si="96"/>
        <v>2694.7583400483491</v>
      </c>
      <c r="H134" s="46">
        <f t="shared" si="96"/>
        <v>2838.3875100725218</v>
      </c>
      <c r="I134" s="46">
        <f t="shared" si="96"/>
        <v>2838.3875100725218</v>
      </c>
      <c r="J134" s="46">
        <f t="shared" si="96"/>
        <v>4774.7181212731666</v>
      </c>
      <c r="K134" s="46">
        <f t="shared" si="96"/>
        <v>2838.3875100725218</v>
      </c>
      <c r="L134" s="46">
        <f t="shared" si="96"/>
        <v>2982.0166800966945</v>
      </c>
      <c r="M134" s="46">
        <f t="shared" si="96"/>
        <v>4774.7181212731666</v>
      </c>
      <c r="N134" s="46">
        <f t="shared" si="96"/>
        <v>2982.0166800966945</v>
      </c>
      <c r="O134" s="46">
        <f t="shared" si="96"/>
        <v>2982.0166800966945</v>
      </c>
      <c r="P134" s="46">
        <f>P132-P120</f>
        <v>4774.7181212731666</v>
      </c>
      <c r="Q134" s="46">
        <f t="shared" ref="Q134:AA134" si="97">Q132-Q120</f>
        <v>2838.3875100725218</v>
      </c>
      <c r="R134" s="46">
        <f t="shared" si="97"/>
        <v>2838.3875100725218</v>
      </c>
      <c r="S134" s="46">
        <f t="shared" si="97"/>
        <v>2838.3875100725218</v>
      </c>
      <c r="T134" s="46">
        <f t="shared" si="97"/>
        <v>4774.7181212731666</v>
      </c>
      <c r="U134" s="46">
        <f t="shared" si="97"/>
        <v>2982.0166800966945</v>
      </c>
      <c r="V134" s="46">
        <f t="shared" si="97"/>
        <v>4918.3472912973448</v>
      </c>
      <c r="W134" s="46">
        <f t="shared" si="97"/>
        <v>2982.0166800966945</v>
      </c>
      <c r="X134" s="46">
        <f t="shared" si="97"/>
        <v>2838.3875100725218</v>
      </c>
      <c r="Y134" s="46">
        <f t="shared" si="97"/>
        <v>4918.3472912973448</v>
      </c>
      <c r="Z134" s="46">
        <f t="shared" si="97"/>
        <v>2838.3875100725218</v>
      </c>
      <c r="AA134" s="46">
        <f t="shared" si="97"/>
        <v>2845.2269943593883</v>
      </c>
      <c r="AC134" s="47">
        <f>AC132-AC120</f>
        <v>82256.970684528584</v>
      </c>
    </row>
    <row r="135" spans="2:32" ht="17.25" thickBot="1" x14ac:dyDescent="0.35">
      <c r="B135" s="179"/>
      <c r="C135" s="134" t="s">
        <v>112</v>
      </c>
      <c r="D135" s="105">
        <f t="shared" ref="D135:O135" si="98">D134/D132</f>
        <v>0.29454290820786527</v>
      </c>
      <c r="E135" s="105">
        <f t="shared" si="98"/>
        <v>0.29454290820786527</v>
      </c>
      <c r="F135" s="105">
        <f t="shared" si="98"/>
        <v>0.30854184157667186</v>
      </c>
      <c r="G135" s="105">
        <f t="shared" si="98"/>
        <v>0.29454290820786527</v>
      </c>
      <c r="H135" s="105">
        <f t="shared" si="98"/>
        <v>0.27873829117885601</v>
      </c>
      <c r="I135" s="105">
        <f t="shared" si="98"/>
        <v>0.27873829117885601</v>
      </c>
      <c r="J135" s="105">
        <f t="shared" si="98"/>
        <v>0.30854184157667186</v>
      </c>
      <c r="K135" s="105">
        <f t="shared" si="98"/>
        <v>0.27873829117885601</v>
      </c>
      <c r="L135" s="105">
        <f t="shared" si="98"/>
        <v>0.26584755181147451</v>
      </c>
      <c r="M135" s="105">
        <f t="shared" si="98"/>
        <v>0.30854184157667186</v>
      </c>
      <c r="N135" s="105">
        <f t="shared" si="98"/>
        <v>0.26584755181147451</v>
      </c>
      <c r="O135" s="105">
        <f t="shared" si="98"/>
        <v>0.26584755181147451</v>
      </c>
      <c r="P135" s="105">
        <f>P134/P132</f>
        <v>0.30854184157667186</v>
      </c>
      <c r="Q135" s="105">
        <f>Q134/Q132</f>
        <v>0.27873829117885601</v>
      </c>
      <c r="R135" s="105">
        <f t="shared" ref="R135:AA135" si="99">R134/R132</f>
        <v>0.27873829117885601</v>
      </c>
      <c r="S135" s="105">
        <f t="shared" si="99"/>
        <v>0.27873829117885601</v>
      </c>
      <c r="T135" s="105">
        <f t="shared" si="99"/>
        <v>0.30854184157667186</v>
      </c>
      <c r="U135" s="105">
        <f t="shared" si="99"/>
        <v>0.26584755181147451</v>
      </c>
      <c r="V135" s="105">
        <f t="shared" si="99"/>
        <v>0.29791660503255896</v>
      </c>
      <c r="W135" s="105">
        <f t="shared" si="99"/>
        <v>0.26584755181147451</v>
      </c>
      <c r="X135" s="105">
        <f t="shared" si="99"/>
        <v>0.27873829117885601</v>
      </c>
      <c r="Y135" s="105">
        <f t="shared" si="99"/>
        <v>0.29791660503255896</v>
      </c>
      <c r="Z135" s="105">
        <f t="shared" si="99"/>
        <v>0.27873829117885601</v>
      </c>
      <c r="AA135" s="105">
        <f t="shared" si="99"/>
        <v>0.27806536733496828</v>
      </c>
      <c r="AC135" s="106">
        <f>AC134/AC132</f>
        <v>0.28799256870932705</v>
      </c>
    </row>
    <row r="136" spans="2:32" x14ac:dyDescent="0.3"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"/>
    </row>
    <row r="137" spans="2:32" ht="17.25" thickBot="1" x14ac:dyDescent="0.35"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"/>
    </row>
    <row r="138" spans="2:32" ht="45.75" x14ac:dyDescent="0.3">
      <c r="B138" s="177" t="s">
        <v>95</v>
      </c>
      <c r="C138" s="170" t="s">
        <v>100</v>
      </c>
      <c r="D138" s="170"/>
      <c r="E138" s="170"/>
      <c r="F138" s="170"/>
      <c r="G138" s="170"/>
      <c r="H138" s="170"/>
      <c r="I138" s="170"/>
      <c r="J138" s="170"/>
      <c r="K138" s="170"/>
      <c r="L138" s="170"/>
      <c r="M138" s="170"/>
      <c r="N138" s="170"/>
      <c r="O138" s="170"/>
      <c r="P138" s="170"/>
      <c r="Q138" s="170"/>
      <c r="R138" s="170"/>
      <c r="S138" s="170"/>
      <c r="T138" s="170"/>
      <c r="U138" s="170"/>
      <c r="V138" s="170"/>
      <c r="W138" s="170"/>
      <c r="X138" s="170"/>
      <c r="Y138" s="170"/>
      <c r="Z138" s="170"/>
      <c r="AA138" s="171"/>
      <c r="AC138" s="5"/>
    </row>
    <row r="139" spans="2:32" x14ac:dyDescent="0.3">
      <c r="B139" s="178"/>
      <c r="C139" s="128" t="s">
        <v>3</v>
      </c>
      <c r="D139" s="7">
        <v>43101</v>
      </c>
      <c r="E139" s="7">
        <v>43133</v>
      </c>
      <c r="F139" s="7">
        <v>43165</v>
      </c>
      <c r="G139" s="7">
        <v>43197</v>
      </c>
      <c r="H139" s="7">
        <v>43229</v>
      </c>
      <c r="I139" s="7">
        <v>43261</v>
      </c>
      <c r="J139" s="7">
        <v>43293</v>
      </c>
      <c r="K139" s="7">
        <v>43325</v>
      </c>
      <c r="L139" s="7">
        <v>43357</v>
      </c>
      <c r="M139" s="7">
        <v>43389</v>
      </c>
      <c r="N139" s="7">
        <v>43421</v>
      </c>
      <c r="O139" s="7">
        <v>43453</v>
      </c>
      <c r="P139" s="7">
        <v>43485</v>
      </c>
      <c r="Q139" s="7">
        <v>43517</v>
      </c>
      <c r="R139" s="7">
        <v>43549</v>
      </c>
      <c r="S139" s="7">
        <v>43581</v>
      </c>
      <c r="T139" s="7">
        <v>43613</v>
      </c>
      <c r="U139" s="7">
        <v>43645</v>
      </c>
      <c r="V139" s="7">
        <v>43677</v>
      </c>
      <c r="W139" s="7">
        <v>43709</v>
      </c>
      <c r="X139" s="7">
        <v>43741</v>
      </c>
      <c r="Y139" s="7">
        <v>43773</v>
      </c>
      <c r="Z139" s="7">
        <v>43805</v>
      </c>
      <c r="AA139" s="7">
        <v>43806</v>
      </c>
    </row>
    <row r="140" spans="2:32" x14ac:dyDescent="0.3">
      <c r="B140" s="178"/>
      <c r="C140" s="128" t="s">
        <v>4</v>
      </c>
      <c r="D140" s="6">
        <v>744</v>
      </c>
      <c r="E140" s="6">
        <v>696</v>
      </c>
      <c r="F140" s="6">
        <v>744</v>
      </c>
      <c r="G140" s="6">
        <v>720</v>
      </c>
      <c r="H140" s="6">
        <v>744</v>
      </c>
      <c r="I140" s="6">
        <v>720</v>
      </c>
      <c r="J140" s="6">
        <v>744</v>
      </c>
      <c r="K140" s="6">
        <v>744</v>
      </c>
      <c r="L140" s="6">
        <v>720</v>
      </c>
      <c r="M140" s="6">
        <v>744</v>
      </c>
      <c r="N140" s="6">
        <v>720</v>
      </c>
      <c r="O140" s="6">
        <v>744</v>
      </c>
      <c r="P140" s="6">
        <v>744</v>
      </c>
      <c r="Q140" s="6">
        <v>672</v>
      </c>
      <c r="R140" s="6">
        <v>744</v>
      </c>
      <c r="S140" s="6">
        <v>720</v>
      </c>
      <c r="T140" s="6">
        <v>744</v>
      </c>
      <c r="U140" s="6">
        <v>720</v>
      </c>
      <c r="V140" s="6">
        <v>744</v>
      </c>
      <c r="W140" s="6">
        <v>744</v>
      </c>
      <c r="X140" s="6">
        <v>720</v>
      </c>
      <c r="Y140" s="6">
        <v>744</v>
      </c>
      <c r="Z140" s="6">
        <v>720</v>
      </c>
      <c r="AA140" s="6">
        <v>744</v>
      </c>
    </row>
    <row r="141" spans="2:32" x14ac:dyDescent="0.3">
      <c r="B141" s="178"/>
      <c r="C141" s="107"/>
      <c r="D141" s="107"/>
      <c r="E141" s="107"/>
      <c r="F141" s="107"/>
      <c r="G141" s="107"/>
      <c r="H141" s="107"/>
      <c r="I141" s="107"/>
      <c r="J141" s="107"/>
      <c r="K141" s="107"/>
      <c r="L141" s="107"/>
      <c r="M141" s="107"/>
      <c r="N141" s="107"/>
      <c r="O141" s="107"/>
      <c r="P141" s="107"/>
      <c r="Q141" s="107"/>
      <c r="R141" s="107"/>
      <c r="S141" s="107"/>
      <c r="T141" s="107"/>
      <c r="U141" s="107"/>
      <c r="V141" s="107"/>
      <c r="W141" s="107"/>
      <c r="X141" s="107"/>
      <c r="Y141" s="107"/>
      <c r="Z141" s="107"/>
      <c r="AA141" s="8"/>
    </row>
    <row r="142" spans="2:32" x14ac:dyDescent="0.3">
      <c r="B142" s="178"/>
      <c r="C142" s="129" t="s">
        <v>5</v>
      </c>
      <c r="D142" s="43">
        <v>21</v>
      </c>
      <c r="E142" s="43">
        <v>0</v>
      </c>
      <c r="F142" s="43">
        <v>0</v>
      </c>
      <c r="G142" s="43">
        <v>0</v>
      </c>
      <c r="H142" s="43">
        <v>21</v>
      </c>
      <c r="I142" s="43">
        <v>21</v>
      </c>
      <c r="J142" s="43">
        <v>21</v>
      </c>
      <c r="K142" s="43">
        <v>21</v>
      </c>
      <c r="L142" s="43">
        <v>21</v>
      </c>
      <c r="M142" s="43">
        <v>21</v>
      </c>
      <c r="N142" s="43">
        <v>21</v>
      </c>
      <c r="O142" s="43">
        <v>21</v>
      </c>
      <c r="P142" s="110">
        <v>21</v>
      </c>
      <c r="Q142" s="110">
        <v>0</v>
      </c>
      <c r="R142" s="110">
        <v>21</v>
      </c>
      <c r="S142" s="110">
        <v>21</v>
      </c>
      <c r="T142" s="110">
        <v>21</v>
      </c>
      <c r="U142" s="110">
        <v>21</v>
      </c>
      <c r="V142" s="110">
        <v>21</v>
      </c>
      <c r="W142" s="110">
        <v>21</v>
      </c>
      <c r="X142" s="110">
        <v>21</v>
      </c>
      <c r="Y142" s="110">
        <v>21</v>
      </c>
      <c r="Z142" s="110">
        <v>21</v>
      </c>
      <c r="AA142" s="110">
        <v>21</v>
      </c>
      <c r="AB142" s="2"/>
      <c r="AC142" s="94" t="s">
        <v>92</v>
      </c>
      <c r="AD142" s="96" t="s">
        <v>96</v>
      </c>
      <c r="AE142" s="94" t="s">
        <v>97</v>
      </c>
      <c r="AF142" s="104" t="s">
        <v>108</v>
      </c>
    </row>
    <row r="143" spans="2:32" x14ac:dyDescent="0.3">
      <c r="B143" s="178"/>
      <c r="C143" s="129" t="s">
        <v>41</v>
      </c>
      <c r="D143" s="18">
        <v>21</v>
      </c>
      <c r="E143" s="18">
        <v>21</v>
      </c>
      <c r="F143" s="18">
        <v>21</v>
      </c>
      <c r="G143" s="18">
        <v>21</v>
      </c>
      <c r="H143" s="18">
        <v>21</v>
      </c>
      <c r="I143" s="18">
        <v>21</v>
      </c>
      <c r="J143" s="18">
        <v>21</v>
      </c>
      <c r="K143" s="18">
        <v>21</v>
      </c>
      <c r="L143" s="18">
        <v>21</v>
      </c>
      <c r="M143" s="18">
        <v>21</v>
      </c>
      <c r="N143" s="18">
        <v>42</v>
      </c>
      <c r="O143" s="18">
        <v>21</v>
      </c>
      <c r="P143" s="111">
        <v>21</v>
      </c>
      <c r="Q143" s="111">
        <v>21</v>
      </c>
      <c r="R143" s="111">
        <v>21</v>
      </c>
      <c r="S143" s="111">
        <v>21</v>
      </c>
      <c r="T143" s="111">
        <v>21</v>
      </c>
      <c r="U143" s="111">
        <v>21</v>
      </c>
      <c r="V143" s="111">
        <v>21</v>
      </c>
      <c r="W143" s="111">
        <v>21</v>
      </c>
      <c r="X143" s="111">
        <v>21</v>
      </c>
      <c r="Y143" s="111">
        <v>21</v>
      </c>
      <c r="Z143" s="111">
        <v>21</v>
      </c>
      <c r="AA143" s="111">
        <v>21</v>
      </c>
      <c r="AB143" s="2"/>
      <c r="AC143" s="94" t="s">
        <v>93</v>
      </c>
      <c r="AD143" s="95">
        <v>0</v>
      </c>
      <c r="AE143" s="96">
        <v>175</v>
      </c>
      <c r="AF143" s="104">
        <v>13.43</v>
      </c>
    </row>
    <row r="144" spans="2:32" x14ac:dyDescent="0.3">
      <c r="B144" s="178"/>
      <c r="C144" s="129" t="s">
        <v>6</v>
      </c>
      <c r="D144" s="13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3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2"/>
      <c r="AC144" s="94" t="s">
        <v>94</v>
      </c>
      <c r="AD144" s="95">
        <v>0.5</v>
      </c>
      <c r="AE144" s="96">
        <v>220</v>
      </c>
      <c r="AF144" s="104">
        <v>41.69</v>
      </c>
    </row>
    <row r="145" spans="2:32" x14ac:dyDescent="0.3">
      <c r="B145" s="178"/>
      <c r="C145" s="129" t="s">
        <v>7</v>
      </c>
      <c r="D145" s="122">
        <v>250</v>
      </c>
      <c r="E145" s="122">
        <v>250</v>
      </c>
      <c r="F145" s="122">
        <v>250</v>
      </c>
      <c r="G145" s="122">
        <v>250</v>
      </c>
      <c r="H145" s="122">
        <v>250</v>
      </c>
      <c r="I145" s="122">
        <v>250</v>
      </c>
      <c r="J145" s="122">
        <v>250</v>
      </c>
      <c r="K145" s="122">
        <v>250</v>
      </c>
      <c r="L145" s="122">
        <v>250</v>
      </c>
      <c r="M145" s="122">
        <v>250</v>
      </c>
      <c r="N145" s="122">
        <v>250</v>
      </c>
      <c r="O145" s="122">
        <v>250</v>
      </c>
      <c r="P145" s="112">
        <v>250</v>
      </c>
      <c r="Q145" s="112">
        <v>250</v>
      </c>
      <c r="R145" s="112">
        <v>250</v>
      </c>
      <c r="S145" s="112">
        <v>250</v>
      </c>
      <c r="T145" s="112">
        <v>250</v>
      </c>
      <c r="U145" s="112">
        <v>250</v>
      </c>
      <c r="V145" s="112">
        <v>250</v>
      </c>
      <c r="W145" s="112">
        <v>250</v>
      </c>
      <c r="X145" s="112">
        <v>250</v>
      </c>
      <c r="Y145" s="112">
        <v>250</v>
      </c>
      <c r="Z145" s="112">
        <v>250</v>
      </c>
      <c r="AA145" s="112">
        <v>250</v>
      </c>
      <c r="AB145" s="2"/>
      <c r="AC145" s="94" t="s">
        <v>95</v>
      </c>
      <c r="AD145" s="95">
        <v>1</v>
      </c>
      <c r="AE145" s="96">
        <v>310</v>
      </c>
      <c r="AF145" s="104">
        <v>62.43</v>
      </c>
    </row>
    <row r="146" spans="2:32" x14ac:dyDescent="0.3">
      <c r="B146" s="178"/>
      <c r="C146" s="129" t="s">
        <v>8</v>
      </c>
      <c r="D146" s="16">
        <f t="shared" ref="D146:AA146" si="100">IF(D155="Verde",0,IF(D142&gt;D144*1.05,D142-D144,0))</f>
        <v>0</v>
      </c>
      <c r="E146" s="16">
        <f t="shared" si="100"/>
        <v>0</v>
      </c>
      <c r="F146" s="16">
        <f t="shared" si="100"/>
        <v>0</v>
      </c>
      <c r="G146" s="16">
        <f t="shared" si="100"/>
        <v>0</v>
      </c>
      <c r="H146" s="16">
        <f t="shared" si="100"/>
        <v>0</v>
      </c>
      <c r="I146" s="16">
        <f t="shared" si="100"/>
        <v>0</v>
      </c>
      <c r="J146" s="16">
        <f t="shared" si="100"/>
        <v>0</v>
      </c>
      <c r="K146" s="16">
        <f t="shared" si="100"/>
        <v>0</v>
      </c>
      <c r="L146" s="16">
        <f t="shared" si="100"/>
        <v>0</v>
      </c>
      <c r="M146" s="16">
        <f t="shared" si="100"/>
        <v>0</v>
      </c>
      <c r="N146" s="16">
        <f t="shared" si="100"/>
        <v>0</v>
      </c>
      <c r="O146" s="16">
        <f t="shared" si="100"/>
        <v>0</v>
      </c>
      <c r="P146" s="16">
        <f t="shared" si="100"/>
        <v>0</v>
      </c>
      <c r="Q146" s="16">
        <f t="shared" si="100"/>
        <v>0</v>
      </c>
      <c r="R146" s="16">
        <f t="shared" si="100"/>
        <v>0</v>
      </c>
      <c r="S146" s="16">
        <f t="shared" si="100"/>
        <v>0</v>
      </c>
      <c r="T146" s="16">
        <f t="shared" si="100"/>
        <v>0</v>
      </c>
      <c r="U146" s="16">
        <f t="shared" si="100"/>
        <v>0</v>
      </c>
      <c r="V146" s="16">
        <f t="shared" si="100"/>
        <v>0</v>
      </c>
      <c r="W146" s="16">
        <f t="shared" si="100"/>
        <v>0</v>
      </c>
      <c r="X146" s="16">
        <f t="shared" si="100"/>
        <v>0</v>
      </c>
      <c r="Y146" s="16">
        <f t="shared" si="100"/>
        <v>0</v>
      </c>
      <c r="Z146" s="16">
        <f t="shared" si="100"/>
        <v>0</v>
      </c>
      <c r="AA146" s="16">
        <f t="shared" si="100"/>
        <v>0</v>
      </c>
      <c r="AB146" s="2"/>
    </row>
    <row r="147" spans="2:32" x14ac:dyDescent="0.3">
      <c r="B147" s="178"/>
      <c r="C147" s="129" t="s">
        <v>9</v>
      </c>
      <c r="D147" s="18">
        <f t="shared" ref="D147:AA147" si="101">IF(D143&gt;D145*1.05,D143-D145,0)</f>
        <v>0</v>
      </c>
      <c r="E147" s="18">
        <f t="shared" si="101"/>
        <v>0</v>
      </c>
      <c r="F147" s="18">
        <f t="shared" si="101"/>
        <v>0</v>
      </c>
      <c r="G147" s="18">
        <f t="shared" si="101"/>
        <v>0</v>
      </c>
      <c r="H147" s="18">
        <f t="shared" si="101"/>
        <v>0</v>
      </c>
      <c r="I147" s="18">
        <f t="shared" si="101"/>
        <v>0</v>
      </c>
      <c r="J147" s="18">
        <f t="shared" si="101"/>
        <v>0</v>
      </c>
      <c r="K147" s="18">
        <f t="shared" si="101"/>
        <v>0</v>
      </c>
      <c r="L147" s="18">
        <f t="shared" si="101"/>
        <v>0</v>
      </c>
      <c r="M147" s="18">
        <f t="shared" si="101"/>
        <v>0</v>
      </c>
      <c r="N147" s="18">
        <f t="shared" si="101"/>
        <v>0</v>
      </c>
      <c r="O147" s="18">
        <f t="shared" si="101"/>
        <v>0</v>
      </c>
      <c r="P147" s="18">
        <f t="shared" si="101"/>
        <v>0</v>
      </c>
      <c r="Q147" s="18">
        <f t="shared" si="101"/>
        <v>0</v>
      </c>
      <c r="R147" s="18">
        <f t="shared" si="101"/>
        <v>0</v>
      </c>
      <c r="S147" s="18">
        <f t="shared" si="101"/>
        <v>0</v>
      </c>
      <c r="T147" s="18">
        <f t="shared" si="101"/>
        <v>0</v>
      </c>
      <c r="U147" s="18">
        <f t="shared" si="101"/>
        <v>0</v>
      </c>
      <c r="V147" s="18">
        <f t="shared" si="101"/>
        <v>0</v>
      </c>
      <c r="W147" s="18">
        <f t="shared" si="101"/>
        <v>0</v>
      </c>
      <c r="X147" s="18">
        <f t="shared" si="101"/>
        <v>0</v>
      </c>
      <c r="Y147" s="18">
        <f t="shared" si="101"/>
        <v>0</v>
      </c>
      <c r="Z147" s="18">
        <f t="shared" si="101"/>
        <v>0</v>
      </c>
      <c r="AA147" s="18">
        <f t="shared" si="101"/>
        <v>0</v>
      </c>
      <c r="AB147" s="1" t="s">
        <v>43</v>
      </c>
    </row>
    <row r="148" spans="2:32" x14ac:dyDescent="0.3">
      <c r="B148" s="178"/>
      <c r="C148" s="129" t="s">
        <v>10</v>
      </c>
      <c r="D148" s="43">
        <v>0</v>
      </c>
      <c r="E148" s="43">
        <v>0</v>
      </c>
      <c r="F148" s="43">
        <v>2.1</v>
      </c>
      <c r="G148" s="43">
        <v>0</v>
      </c>
      <c r="H148" s="43">
        <v>0</v>
      </c>
      <c r="I148" s="43">
        <v>0</v>
      </c>
      <c r="J148" s="43">
        <v>2.1</v>
      </c>
      <c r="K148" s="43">
        <v>0</v>
      </c>
      <c r="L148" s="43">
        <v>0</v>
      </c>
      <c r="M148" s="43">
        <v>2.1</v>
      </c>
      <c r="N148" s="43">
        <v>0</v>
      </c>
      <c r="O148" s="43">
        <v>0</v>
      </c>
      <c r="P148" s="110">
        <f>2100/1000</f>
        <v>2.1</v>
      </c>
      <c r="Q148" s="113">
        <v>0</v>
      </c>
      <c r="R148" s="113">
        <v>0</v>
      </c>
      <c r="S148" s="113">
        <v>0</v>
      </c>
      <c r="T148" s="110">
        <f>2100/1000</f>
        <v>2.1</v>
      </c>
      <c r="U148" s="113">
        <v>0</v>
      </c>
      <c r="V148" s="110">
        <f>2100/1000</f>
        <v>2.1</v>
      </c>
      <c r="W148" s="113">
        <v>0</v>
      </c>
      <c r="X148" s="113">
        <v>0</v>
      </c>
      <c r="Y148" s="110">
        <f>2100/1000</f>
        <v>2.1</v>
      </c>
      <c r="Z148" s="113">
        <v>0</v>
      </c>
      <c r="AA148" s="113">
        <v>0</v>
      </c>
      <c r="AB148" s="2"/>
    </row>
    <row r="149" spans="2:32" x14ac:dyDescent="0.3">
      <c r="B149" s="178"/>
      <c r="C149" s="129" t="s">
        <v>11</v>
      </c>
      <c r="D149" s="18">
        <v>4.2</v>
      </c>
      <c r="E149" s="18">
        <v>4.2</v>
      </c>
      <c r="F149" s="18">
        <v>6.3</v>
      </c>
      <c r="G149" s="18">
        <v>4.2</v>
      </c>
      <c r="H149" s="18">
        <v>6.3</v>
      </c>
      <c r="I149" s="18">
        <v>6.3</v>
      </c>
      <c r="J149" s="18">
        <v>6.3</v>
      </c>
      <c r="K149" s="18">
        <v>6.3</v>
      </c>
      <c r="L149" s="18">
        <v>8.4</v>
      </c>
      <c r="M149" s="18">
        <v>6.3</v>
      </c>
      <c r="N149" s="18">
        <v>8.4</v>
      </c>
      <c r="O149" s="18">
        <v>8.4</v>
      </c>
      <c r="P149" s="111">
        <f>6300/1000</f>
        <v>6.3</v>
      </c>
      <c r="Q149" s="111">
        <f t="shared" ref="Q149:T149" si="102">6300/1000</f>
        <v>6.3</v>
      </c>
      <c r="R149" s="111">
        <f t="shared" si="102"/>
        <v>6.3</v>
      </c>
      <c r="S149" s="111">
        <f t="shared" si="102"/>
        <v>6.3</v>
      </c>
      <c r="T149" s="111">
        <f t="shared" si="102"/>
        <v>6.3</v>
      </c>
      <c r="U149" s="111">
        <f>8400/1000</f>
        <v>8.4</v>
      </c>
      <c r="V149" s="111">
        <f t="shared" ref="V149:Y149" si="103">8400/1000</f>
        <v>8.4</v>
      </c>
      <c r="W149" s="111">
        <f t="shared" si="103"/>
        <v>8.4</v>
      </c>
      <c r="X149" s="111">
        <f t="shared" ref="X149" si="104">6300/1000</f>
        <v>6.3</v>
      </c>
      <c r="Y149" s="111">
        <f t="shared" si="103"/>
        <v>8.4</v>
      </c>
      <c r="Z149" s="111">
        <f t="shared" ref="Z149" si="105">6300/1000</f>
        <v>6.3</v>
      </c>
      <c r="AA149" s="111">
        <f>6400/1000</f>
        <v>6.4</v>
      </c>
      <c r="AB149" s="2"/>
      <c r="AC149" s="1" t="s">
        <v>45</v>
      </c>
      <c r="AD149" s="1">
        <f>SUM(P148:AA149)/SUM(P140:AA140)</f>
        <v>1.0559360730593607E-2</v>
      </c>
      <c r="AF149" s="1">
        <v>145</v>
      </c>
    </row>
    <row r="150" spans="2:32" x14ac:dyDescent="0.3">
      <c r="B150" s="178"/>
      <c r="C150" s="129" t="s">
        <v>0</v>
      </c>
      <c r="D150" s="19" t="s">
        <v>44</v>
      </c>
      <c r="E150" s="20" t="s">
        <v>44</v>
      </c>
      <c r="F150" s="20" t="s">
        <v>44</v>
      </c>
      <c r="G150" s="20" t="s">
        <v>44</v>
      </c>
      <c r="H150" s="20" t="s">
        <v>44</v>
      </c>
      <c r="I150" s="20" t="s">
        <v>44</v>
      </c>
      <c r="J150" s="19" t="s">
        <v>44</v>
      </c>
      <c r="K150" s="20" t="s">
        <v>44</v>
      </c>
      <c r="L150" s="20" t="s">
        <v>44</v>
      </c>
      <c r="M150" s="20" t="s">
        <v>44</v>
      </c>
      <c r="N150" s="20" t="s">
        <v>44</v>
      </c>
      <c r="O150" s="20" t="s">
        <v>44</v>
      </c>
      <c r="P150" s="20" t="s">
        <v>44</v>
      </c>
      <c r="Q150" s="20" t="s">
        <v>44</v>
      </c>
      <c r="R150" s="20" t="s">
        <v>44</v>
      </c>
      <c r="S150" s="20" t="s">
        <v>44</v>
      </c>
      <c r="T150" s="20" t="s">
        <v>44</v>
      </c>
      <c r="U150" s="20" t="s">
        <v>44</v>
      </c>
      <c r="V150" s="20" t="s">
        <v>44</v>
      </c>
      <c r="W150" s="20" t="s">
        <v>44</v>
      </c>
      <c r="X150" s="20" t="s">
        <v>44</v>
      </c>
      <c r="Y150" s="20" t="s">
        <v>44</v>
      </c>
      <c r="Z150" s="20" t="s">
        <v>44</v>
      </c>
      <c r="AA150" s="20" t="s">
        <v>44</v>
      </c>
      <c r="AB150" s="2"/>
      <c r="AC150" s="1" t="s">
        <v>91</v>
      </c>
      <c r="AD150" s="93">
        <f>SUM(P148:AA148)/SUM(P148:AA149)</f>
        <v>9.0810810810810813E-2</v>
      </c>
      <c r="AF150" s="1">
        <v>17.64</v>
      </c>
    </row>
    <row r="151" spans="2:32" x14ac:dyDescent="0.3">
      <c r="B151" s="178"/>
      <c r="C151" s="107"/>
      <c r="D151" s="107"/>
      <c r="E151" s="107"/>
      <c r="F151" s="107"/>
      <c r="G151" s="107"/>
      <c r="H151" s="107"/>
      <c r="I151" s="107"/>
      <c r="J151" s="107"/>
      <c r="K151" s="107"/>
      <c r="L151" s="107"/>
      <c r="M151" s="107"/>
      <c r="N151" s="107"/>
      <c r="O151" s="107"/>
      <c r="P151" s="107"/>
      <c r="Q151" s="107"/>
      <c r="R151" s="107"/>
      <c r="S151" s="107"/>
      <c r="T151" s="107"/>
      <c r="U151" s="107"/>
      <c r="V151" s="107"/>
      <c r="W151" s="107"/>
      <c r="X151" s="107"/>
      <c r="Y151" s="107"/>
      <c r="Z151" s="107"/>
      <c r="AA151" s="108"/>
      <c r="AD151" s="1">
        <v>0.12392200974878137</v>
      </c>
      <c r="AF151" s="1">
        <f>AF149+AF150</f>
        <v>162.63999999999999</v>
      </c>
    </row>
    <row r="152" spans="2:32" x14ac:dyDescent="0.3">
      <c r="B152" s="178"/>
      <c r="C152" s="129" t="s">
        <v>12</v>
      </c>
      <c r="D152" s="126">
        <f>'SIMULAÇÃO CENÁRIOS'!$D$8</f>
        <v>1</v>
      </c>
      <c r="E152" s="126">
        <f>'SIMULAÇÃO CENÁRIOS'!$D$8</f>
        <v>1</v>
      </c>
      <c r="F152" s="126">
        <f>'SIMULAÇÃO CENÁRIOS'!$D$8</f>
        <v>1</v>
      </c>
      <c r="G152" s="126">
        <f>'SIMULAÇÃO CENÁRIOS'!$D$8</f>
        <v>1</v>
      </c>
      <c r="H152" s="126">
        <f>'SIMULAÇÃO CENÁRIOS'!$D$8</f>
        <v>1</v>
      </c>
      <c r="I152" s="126">
        <f>'SIMULAÇÃO CENÁRIOS'!$D$8</f>
        <v>1</v>
      </c>
      <c r="J152" s="126">
        <f>'SIMULAÇÃO CENÁRIOS'!$D$8</f>
        <v>1</v>
      </c>
      <c r="K152" s="126">
        <f>'SIMULAÇÃO CENÁRIOS'!$D$8</f>
        <v>1</v>
      </c>
      <c r="L152" s="126">
        <f>'SIMULAÇÃO CENÁRIOS'!$D$8</f>
        <v>1</v>
      </c>
      <c r="M152" s="126">
        <f>'SIMULAÇÃO CENÁRIOS'!$D$8</f>
        <v>1</v>
      </c>
      <c r="N152" s="126">
        <f>'SIMULAÇÃO CENÁRIOS'!$D$8</f>
        <v>1</v>
      </c>
      <c r="O152" s="126">
        <f>'SIMULAÇÃO CENÁRIOS'!$D$8</f>
        <v>1</v>
      </c>
      <c r="P152" s="126">
        <f>'SIMULAÇÃO CENÁRIOS'!$D$8</f>
        <v>1</v>
      </c>
      <c r="Q152" s="126">
        <f>'SIMULAÇÃO CENÁRIOS'!$D$8</f>
        <v>1</v>
      </c>
      <c r="R152" s="126">
        <f>'SIMULAÇÃO CENÁRIOS'!$D$8</f>
        <v>1</v>
      </c>
      <c r="S152" s="126">
        <f>'SIMULAÇÃO CENÁRIOS'!$D$8</f>
        <v>1</v>
      </c>
      <c r="T152" s="126">
        <f>'SIMULAÇÃO CENÁRIOS'!$D$8</f>
        <v>1</v>
      </c>
      <c r="U152" s="126">
        <f>'SIMULAÇÃO CENÁRIOS'!$D$8</f>
        <v>1</v>
      </c>
      <c r="V152" s="126">
        <f>'SIMULAÇÃO CENÁRIOS'!$D$8</f>
        <v>1</v>
      </c>
      <c r="W152" s="126">
        <f>'SIMULAÇÃO CENÁRIOS'!$D$8</f>
        <v>1</v>
      </c>
      <c r="X152" s="126">
        <f>'SIMULAÇÃO CENÁRIOS'!$D$8</f>
        <v>1</v>
      </c>
      <c r="Y152" s="126">
        <f>'SIMULAÇÃO CENÁRIOS'!$D$8</f>
        <v>1</v>
      </c>
      <c r="Z152" s="126">
        <f>'SIMULAÇÃO CENÁRIOS'!$D$8</f>
        <v>1</v>
      </c>
      <c r="AA152" s="126">
        <f>'SIMULAÇÃO CENÁRIOS'!$D$8</f>
        <v>1</v>
      </c>
    </row>
    <row r="153" spans="2:32" x14ac:dyDescent="0.3">
      <c r="B153" s="178"/>
      <c r="C153" s="107"/>
      <c r="D153" s="107"/>
      <c r="E153" s="107"/>
      <c r="F153" s="107"/>
      <c r="G153" s="107"/>
      <c r="H153" s="107"/>
      <c r="I153" s="107"/>
      <c r="J153" s="107"/>
      <c r="K153" s="107"/>
      <c r="L153" s="107"/>
      <c r="M153" s="107"/>
      <c r="N153" s="107"/>
      <c r="O153" s="107"/>
      <c r="P153" s="107"/>
      <c r="Q153" s="107"/>
      <c r="R153" s="107"/>
      <c r="S153" s="107"/>
      <c r="T153" s="107"/>
      <c r="U153" s="107"/>
      <c r="V153" s="107"/>
      <c r="W153" s="107"/>
      <c r="X153" s="107"/>
      <c r="Y153" s="107"/>
      <c r="Z153" s="107"/>
      <c r="AA153" s="108"/>
    </row>
    <row r="154" spans="2:32" x14ac:dyDescent="0.3">
      <c r="B154" s="178"/>
      <c r="C154" s="129" t="s">
        <v>13</v>
      </c>
      <c r="D154" s="9" t="s">
        <v>1</v>
      </c>
      <c r="E154" s="10" t="s">
        <v>1</v>
      </c>
      <c r="F154" s="10" t="s">
        <v>1</v>
      </c>
      <c r="G154" s="10" t="s">
        <v>1</v>
      </c>
      <c r="H154" s="10" t="s">
        <v>1</v>
      </c>
      <c r="I154" s="10" t="s">
        <v>1</v>
      </c>
      <c r="J154" s="9" t="s">
        <v>1</v>
      </c>
      <c r="K154" s="10" t="s">
        <v>1</v>
      </c>
      <c r="L154" s="10" t="s">
        <v>1</v>
      </c>
      <c r="M154" s="10" t="s">
        <v>1</v>
      </c>
      <c r="N154" s="10" t="s">
        <v>1</v>
      </c>
      <c r="O154" s="10" t="s">
        <v>1</v>
      </c>
      <c r="P154" s="9" t="s">
        <v>1</v>
      </c>
      <c r="Q154" s="9" t="s">
        <v>1</v>
      </c>
      <c r="R154" s="9" t="s">
        <v>1</v>
      </c>
      <c r="S154" s="9" t="s">
        <v>1</v>
      </c>
      <c r="T154" s="9" t="s">
        <v>1</v>
      </c>
      <c r="U154" s="9" t="s">
        <v>1</v>
      </c>
      <c r="V154" s="9" t="s">
        <v>1</v>
      </c>
      <c r="W154" s="9" t="s">
        <v>1</v>
      </c>
      <c r="X154" s="9" t="s">
        <v>1</v>
      </c>
      <c r="Y154" s="9" t="s">
        <v>1</v>
      </c>
      <c r="Z154" s="9" t="s">
        <v>1</v>
      </c>
      <c r="AA154" s="9" t="s">
        <v>1</v>
      </c>
      <c r="AF154" s="92">
        <f>AF151*1000</f>
        <v>162640</v>
      </c>
    </row>
    <row r="155" spans="2:32" x14ac:dyDescent="0.3">
      <c r="B155" s="178"/>
      <c r="C155" s="129" t="s">
        <v>14</v>
      </c>
      <c r="D155" s="11" t="s">
        <v>42</v>
      </c>
      <c r="E155" s="12" t="s">
        <v>42</v>
      </c>
      <c r="F155" s="12" t="s">
        <v>42</v>
      </c>
      <c r="G155" s="12" t="s">
        <v>42</v>
      </c>
      <c r="H155" s="12" t="s">
        <v>42</v>
      </c>
      <c r="I155" s="12" t="s">
        <v>42</v>
      </c>
      <c r="J155" s="11" t="s">
        <v>42</v>
      </c>
      <c r="K155" s="12" t="s">
        <v>42</v>
      </c>
      <c r="L155" s="12" t="s">
        <v>42</v>
      </c>
      <c r="M155" s="12" t="s">
        <v>42</v>
      </c>
      <c r="N155" s="12" t="s">
        <v>42</v>
      </c>
      <c r="O155" s="12" t="s">
        <v>42</v>
      </c>
      <c r="P155" s="12" t="s">
        <v>42</v>
      </c>
      <c r="Q155" s="12" t="s">
        <v>42</v>
      </c>
      <c r="R155" s="12" t="s">
        <v>42</v>
      </c>
      <c r="S155" s="12" t="s">
        <v>42</v>
      </c>
      <c r="T155" s="12" t="s">
        <v>42</v>
      </c>
      <c r="U155" s="12" t="s">
        <v>42</v>
      </c>
      <c r="V155" s="12" t="s">
        <v>42</v>
      </c>
      <c r="W155" s="12" t="s">
        <v>42</v>
      </c>
      <c r="X155" s="12" t="s">
        <v>42</v>
      </c>
      <c r="Y155" s="12" t="s">
        <v>42</v>
      </c>
      <c r="Z155" s="12" t="s">
        <v>42</v>
      </c>
      <c r="AA155" s="12" t="s">
        <v>42</v>
      </c>
      <c r="AF155" s="92">
        <f>AF154/100</f>
        <v>1626.4</v>
      </c>
    </row>
    <row r="156" spans="2:32" x14ac:dyDescent="0.3">
      <c r="B156" s="178"/>
      <c r="C156" s="129" t="s">
        <v>15</v>
      </c>
      <c r="D156" s="13">
        <v>49.84</v>
      </c>
      <c r="E156" s="14">
        <v>49.84</v>
      </c>
      <c r="F156" s="14">
        <v>49.84</v>
      </c>
      <c r="G156" s="14">
        <v>49.84</v>
      </c>
      <c r="H156" s="14">
        <v>49.84</v>
      </c>
      <c r="I156" s="14">
        <v>49.84</v>
      </c>
      <c r="J156" s="13">
        <v>49.84</v>
      </c>
      <c r="K156" s="14">
        <v>49.84</v>
      </c>
      <c r="L156" s="14">
        <v>49.84</v>
      </c>
      <c r="M156" s="14">
        <v>49.84</v>
      </c>
      <c r="N156" s="14">
        <v>49.84</v>
      </c>
      <c r="O156" s="14">
        <v>49.84</v>
      </c>
      <c r="P156" s="14">
        <v>49.84</v>
      </c>
      <c r="Q156" s="14">
        <v>49.84</v>
      </c>
      <c r="R156" s="14">
        <v>49.84</v>
      </c>
      <c r="S156" s="14">
        <v>49.84</v>
      </c>
      <c r="T156" s="14">
        <v>49.84</v>
      </c>
      <c r="U156" s="14">
        <v>49.84</v>
      </c>
      <c r="V156" s="14">
        <v>49.84</v>
      </c>
      <c r="W156" s="14">
        <v>49.84</v>
      </c>
      <c r="X156" s="14">
        <v>49.84</v>
      </c>
      <c r="Y156" s="14">
        <v>49.84</v>
      </c>
      <c r="Z156" s="14">
        <v>49.84</v>
      </c>
      <c r="AA156" s="14">
        <v>49.84</v>
      </c>
      <c r="AF156" s="1">
        <f>AF155*1.343</f>
        <v>2184.2552000000001</v>
      </c>
    </row>
    <row r="157" spans="2:32" x14ac:dyDescent="0.3">
      <c r="B157" s="178"/>
      <c r="C157" s="129" t="s">
        <v>16</v>
      </c>
      <c r="D157" s="11">
        <v>19.260000000000002</v>
      </c>
      <c r="E157" s="12">
        <v>19.260000000000002</v>
      </c>
      <c r="F157" s="12">
        <v>19.260000000000002</v>
      </c>
      <c r="G157" s="12">
        <v>19.260000000000002</v>
      </c>
      <c r="H157" s="12">
        <v>19.260000000000002</v>
      </c>
      <c r="I157" s="12">
        <v>19.260000000000002</v>
      </c>
      <c r="J157" s="11">
        <v>19.260000000000002</v>
      </c>
      <c r="K157" s="12">
        <v>19.260000000000002</v>
      </c>
      <c r="L157" s="12">
        <v>19.260000000000002</v>
      </c>
      <c r="M157" s="12">
        <v>19.260000000000002</v>
      </c>
      <c r="N157" s="12">
        <v>19.260000000000002</v>
      </c>
      <c r="O157" s="12">
        <v>19.260000000000002</v>
      </c>
      <c r="P157" s="12">
        <v>19.260000000000002</v>
      </c>
      <c r="Q157" s="12">
        <v>19.260000000000002</v>
      </c>
      <c r="R157" s="12">
        <v>19.260000000000002</v>
      </c>
      <c r="S157" s="12">
        <v>19.260000000000002</v>
      </c>
      <c r="T157" s="12">
        <v>19.260000000000002</v>
      </c>
      <c r="U157" s="12">
        <v>19.260000000000002</v>
      </c>
      <c r="V157" s="12">
        <v>19.260000000000002</v>
      </c>
      <c r="W157" s="12">
        <v>19.260000000000002</v>
      </c>
      <c r="X157" s="12">
        <v>19.260000000000002</v>
      </c>
      <c r="Y157" s="12">
        <v>19.260000000000002</v>
      </c>
      <c r="Z157" s="12">
        <v>19.260000000000002</v>
      </c>
      <c r="AA157" s="12">
        <v>19.260000000000002</v>
      </c>
    </row>
    <row r="158" spans="2:32" x14ac:dyDescent="0.3">
      <c r="B158" s="178"/>
      <c r="C158" s="129" t="s">
        <v>17</v>
      </c>
      <c r="D158" s="15">
        <v>1292.96</v>
      </c>
      <c r="E158" s="16">
        <v>1292.96</v>
      </c>
      <c r="F158" s="16">
        <v>1292.96</v>
      </c>
      <c r="G158" s="16">
        <v>1292.96</v>
      </c>
      <c r="H158" s="16">
        <v>1292.96</v>
      </c>
      <c r="I158" s="16">
        <v>1292.96</v>
      </c>
      <c r="J158" s="15">
        <v>1292.96</v>
      </c>
      <c r="K158" s="16">
        <v>1292.96</v>
      </c>
      <c r="L158" s="16">
        <v>1292.96</v>
      </c>
      <c r="M158" s="16">
        <v>1292.96</v>
      </c>
      <c r="N158" s="16">
        <v>1292.96</v>
      </c>
      <c r="O158" s="16">
        <v>1292.96</v>
      </c>
      <c r="P158" s="16">
        <v>1292.96</v>
      </c>
      <c r="Q158" s="16">
        <v>1292.96</v>
      </c>
      <c r="R158" s="16">
        <v>1292.96</v>
      </c>
      <c r="S158" s="16">
        <v>1292.96</v>
      </c>
      <c r="T158" s="16">
        <v>1292.96</v>
      </c>
      <c r="U158" s="16">
        <v>1292.96</v>
      </c>
      <c r="V158" s="16">
        <v>1292.96</v>
      </c>
      <c r="W158" s="16">
        <v>1292.96</v>
      </c>
      <c r="X158" s="16">
        <v>1292.96</v>
      </c>
      <c r="Y158" s="16">
        <v>1292.96</v>
      </c>
      <c r="Z158" s="16">
        <v>1292.96</v>
      </c>
      <c r="AA158" s="16">
        <v>1292.96</v>
      </c>
    </row>
    <row r="159" spans="2:32" x14ac:dyDescent="0.3">
      <c r="B159" s="178"/>
      <c r="C159" s="129" t="s">
        <v>18</v>
      </c>
      <c r="D159" s="17">
        <v>83.39</v>
      </c>
      <c r="E159" s="18">
        <v>83.39</v>
      </c>
      <c r="F159" s="18">
        <v>83.39</v>
      </c>
      <c r="G159" s="18">
        <v>83.39</v>
      </c>
      <c r="H159" s="18">
        <v>83.39</v>
      </c>
      <c r="I159" s="18">
        <v>83.39</v>
      </c>
      <c r="J159" s="17">
        <v>83.39</v>
      </c>
      <c r="K159" s="18">
        <v>83.39</v>
      </c>
      <c r="L159" s="18">
        <v>83.39</v>
      </c>
      <c r="M159" s="18">
        <v>83.39</v>
      </c>
      <c r="N159" s="18">
        <v>83.39</v>
      </c>
      <c r="O159" s="18">
        <v>83.39</v>
      </c>
      <c r="P159" s="18">
        <v>83.39</v>
      </c>
      <c r="Q159" s="18">
        <v>83.39</v>
      </c>
      <c r="R159" s="18">
        <v>83.39</v>
      </c>
      <c r="S159" s="18">
        <v>83.39</v>
      </c>
      <c r="T159" s="18">
        <v>83.39</v>
      </c>
      <c r="U159" s="18">
        <v>83.39</v>
      </c>
      <c r="V159" s="18">
        <v>83.39</v>
      </c>
      <c r="W159" s="18">
        <v>83.39</v>
      </c>
      <c r="X159" s="18">
        <v>83.39</v>
      </c>
      <c r="Y159" s="18">
        <v>83.39</v>
      </c>
      <c r="Z159" s="18">
        <v>83.39</v>
      </c>
      <c r="AA159" s="18">
        <v>83.39</v>
      </c>
    </row>
    <row r="160" spans="2:32" x14ac:dyDescent="0.3">
      <c r="B160" s="178"/>
      <c r="C160" s="129" t="s">
        <v>19</v>
      </c>
      <c r="D160" s="15">
        <v>420.68</v>
      </c>
      <c r="E160" s="16">
        <v>420.68</v>
      </c>
      <c r="F160" s="16">
        <v>420.68</v>
      </c>
      <c r="G160" s="16">
        <v>420.68</v>
      </c>
      <c r="H160" s="16">
        <v>420.68</v>
      </c>
      <c r="I160" s="16">
        <v>420.68</v>
      </c>
      <c r="J160" s="15">
        <v>420.68</v>
      </c>
      <c r="K160" s="16">
        <v>420.68</v>
      </c>
      <c r="L160" s="16">
        <v>420.68</v>
      </c>
      <c r="M160" s="16">
        <v>420.68</v>
      </c>
      <c r="N160" s="16">
        <v>420.68</v>
      </c>
      <c r="O160" s="16">
        <v>420.68</v>
      </c>
      <c r="P160" s="16">
        <v>420.68</v>
      </c>
      <c r="Q160" s="16">
        <v>420.68</v>
      </c>
      <c r="R160" s="16">
        <v>420.68</v>
      </c>
      <c r="S160" s="16">
        <v>420.68</v>
      </c>
      <c r="T160" s="16">
        <v>420.68</v>
      </c>
      <c r="U160" s="16">
        <v>420.68</v>
      </c>
      <c r="V160" s="16">
        <v>420.68</v>
      </c>
      <c r="W160" s="16">
        <v>420.68</v>
      </c>
      <c r="X160" s="16">
        <v>420.68</v>
      </c>
      <c r="Y160" s="16">
        <v>420.68</v>
      </c>
      <c r="Z160" s="16">
        <v>420.68</v>
      </c>
      <c r="AA160" s="16">
        <v>420.68</v>
      </c>
    </row>
    <row r="161" spans="2:27" x14ac:dyDescent="0.3">
      <c r="B161" s="178"/>
      <c r="C161" s="130" t="s">
        <v>20</v>
      </c>
      <c r="D161" s="21">
        <v>251.44</v>
      </c>
      <c r="E161" s="22">
        <v>251.44</v>
      </c>
      <c r="F161" s="22">
        <v>251.44</v>
      </c>
      <c r="G161" s="22">
        <v>251.44</v>
      </c>
      <c r="H161" s="22">
        <v>251.44</v>
      </c>
      <c r="I161" s="22">
        <v>251.44</v>
      </c>
      <c r="J161" s="21">
        <v>251.44</v>
      </c>
      <c r="K161" s="22">
        <v>251.44</v>
      </c>
      <c r="L161" s="22">
        <v>251.44</v>
      </c>
      <c r="M161" s="22">
        <v>251.44</v>
      </c>
      <c r="N161" s="22">
        <v>251.44</v>
      </c>
      <c r="O161" s="22">
        <v>251.44</v>
      </c>
      <c r="P161" s="22">
        <v>251.44</v>
      </c>
      <c r="Q161" s="22">
        <v>251.44</v>
      </c>
      <c r="R161" s="22">
        <v>251.44</v>
      </c>
      <c r="S161" s="22">
        <v>251.44</v>
      </c>
      <c r="T161" s="22">
        <v>251.44</v>
      </c>
      <c r="U161" s="22">
        <v>251.44</v>
      </c>
      <c r="V161" s="22">
        <v>251.44</v>
      </c>
      <c r="W161" s="22">
        <v>251.44</v>
      </c>
      <c r="X161" s="22">
        <v>251.44</v>
      </c>
      <c r="Y161" s="22">
        <v>251.44</v>
      </c>
      <c r="Z161" s="22">
        <v>251.44</v>
      </c>
      <c r="AA161" s="22">
        <v>251.44</v>
      </c>
    </row>
    <row r="162" spans="2:27" x14ac:dyDescent="0.3">
      <c r="B162" s="178"/>
      <c r="C162" s="107"/>
      <c r="D162" s="107"/>
      <c r="E162" s="107"/>
      <c r="F162" s="107"/>
      <c r="G162" s="107"/>
      <c r="H162" s="107"/>
      <c r="I162" s="107"/>
      <c r="J162" s="107"/>
      <c r="K162" s="107"/>
      <c r="L162" s="107"/>
      <c r="M162" s="107"/>
      <c r="N162" s="107"/>
      <c r="O162" s="107"/>
      <c r="P162" s="107"/>
      <c r="Q162" s="107"/>
      <c r="R162" s="107"/>
      <c r="S162" s="107"/>
      <c r="T162" s="107"/>
      <c r="U162" s="107"/>
      <c r="V162" s="107"/>
      <c r="W162" s="107"/>
      <c r="X162" s="107"/>
      <c r="Y162" s="107"/>
      <c r="Z162" s="107"/>
      <c r="AA162" s="23"/>
    </row>
    <row r="163" spans="2:27" x14ac:dyDescent="0.3">
      <c r="B163" s="178"/>
      <c r="C163" s="129" t="s">
        <v>21</v>
      </c>
      <c r="D163" s="24">
        <v>0.27</v>
      </c>
      <c r="E163" s="24">
        <v>0.27</v>
      </c>
      <c r="F163" s="24">
        <v>0.27</v>
      </c>
      <c r="G163" s="24">
        <v>0.27</v>
      </c>
      <c r="H163" s="24">
        <v>0.27</v>
      </c>
      <c r="I163" s="24">
        <v>0.27</v>
      </c>
      <c r="J163" s="24">
        <v>0.27</v>
      </c>
      <c r="K163" s="24">
        <v>0.27</v>
      </c>
      <c r="L163" s="24">
        <v>0.27</v>
      </c>
      <c r="M163" s="24">
        <v>0.27</v>
      </c>
      <c r="N163" s="24">
        <v>0.27</v>
      </c>
      <c r="O163" s="24">
        <v>0.27</v>
      </c>
      <c r="P163" s="24">
        <v>0.27</v>
      </c>
      <c r="Q163" s="24">
        <v>0.27</v>
      </c>
      <c r="R163" s="24">
        <v>0.27</v>
      </c>
      <c r="S163" s="24">
        <v>0.27</v>
      </c>
      <c r="T163" s="24">
        <v>0.27</v>
      </c>
      <c r="U163" s="24">
        <v>0.27</v>
      </c>
      <c r="V163" s="24">
        <v>0.27</v>
      </c>
      <c r="W163" s="24">
        <v>0.27</v>
      </c>
      <c r="X163" s="24">
        <v>0.27</v>
      </c>
      <c r="Y163" s="24">
        <v>0.27</v>
      </c>
      <c r="Z163" s="24">
        <v>0.27</v>
      </c>
      <c r="AA163" s="24">
        <v>0.27</v>
      </c>
    </row>
    <row r="164" spans="2:27" x14ac:dyDescent="0.3">
      <c r="B164" s="178"/>
      <c r="C164" s="129" t="s">
        <v>22</v>
      </c>
      <c r="D164" s="25">
        <v>0.05</v>
      </c>
      <c r="E164" s="26">
        <v>0.05</v>
      </c>
      <c r="F164" s="26">
        <v>0.05</v>
      </c>
      <c r="G164" s="26">
        <v>0.05</v>
      </c>
      <c r="H164" s="26">
        <v>0.05</v>
      </c>
      <c r="I164" s="26">
        <v>0.05</v>
      </c>
      <c r="J164" s="25">
        <v>0.05</v>
      </c>
      <c r="K164" s="26">
        <v>0.05</v>
      </c>
      <c r="L164" s="26">
        <v>0.05</v>
      </c>
      <c r="M164" s="26">
        <v>0.05</v>
      </c>
      <c r="N164" s="26">
        <v>0.05</v>
      </c>
      <c r="O164" s="26">
        <v>0.05</v>
      </c>
      <c r="P164" s="26">
        <v>0.05</v>
      </c>
      <c r="Q164" s="26">
        <v>0.05</v>
      </c>
      <c r="R164" s="26">
        <v>0.05</v>
      </c>
      <c r="S164" s="26">
        <v>0.05</v>
      </c>
      <c r="T164" s="26">
        <v>0.05</v>
      </c>
      <c r="U164" s="26">
        <v>0.05</v>
      </c>
      <c r="V164" s="26">
        <v>0.05</v>
      </c>
      <c r="W164" s="26">
        <v>0.05</v>
      </c>
      <c r="X164" s="26">
        <v>0.05</v>
      </c>
      <c r="Y164" s="26">
        <v>0.05</v>
      </c>
      <c r="Z164" s="26">
        <v>0.05</v>
      </c>
      <c r="AA164" s="26">
        <v>0.05</v>
      </c>
    </row>
    <row r="165" spans="2:27" x14ac:dyDescent="0.3">
      <c r="B165" s="178"/>
      <c r="C165" s="107"/>
      <c r="D165" s="107"/>
      <c r="E165" s="107"/>
      <c r="F165" s="107"/>
      <c r="G165" s="107"/>
      <c r="H165" s="107"/>
      <c r="I165" s="107"/>
      <c r="J165" s="107"/>
      <c r="K165" s="107"/>
      <c r="L165" s="107"/>
      <c r="M165" s="107"/>
      <c r="N165" s="107"/>
      <c r="O165" s="107"/>
      <c r="P165" s="107"/>
      <c r="Q165" s="107"/>
      <c r="R165" s="107"/>
      <c r="S165" s="107"/>
      <c r="T165" s="107"/>
      <c r="U165" s="107"/>
      <c r="V165" s="107"/>
      <c r="W165" s="107"/>
      <c r="X165" s="107"/>
      <c r="Y165" s="107"/>
      <c r="Z165" s="107"/>
      <c r="AA165" s="23"/>
    </row>
    <row r="166" spans="2:27" x14ac:dyDescent="0.3">
      <c r="B166" s="178"/>
      <c r="C166" s="131" t="s">
        <v>23</v>
      </c>
      <c r="D166" s="27">
        <f>IF(D155="Azul",D144*D156*(1-D152),0)</f>
        <v>0</v>
      </c>
      <c r="E166" s="28">
        <f t="shared" ref="E166:O166" si="106">IF(E155="Azul",E144*E156*(1-E152),0)</f>
        <v>0</v>
      </c>
      <c r="F166" s="28">
        <f t="shared" si="106"/>
        <v>0</v>
      </c>
      <c r="G166" s="28">
        <f t="shared" si="106"/>
        <v>0</v>
      </c>
      <c r="H166" s="28">
        <f t="shared" si="106"/>
        <v>0</v>
      </c>
      <c r="I166" s="28">
        <f t="shared" si="106"/>
        <v>0</v>
      </c>
      <c r="J166" s="27">
        <f t="shared" si="106"/>
        <v>0</v>
      </c>
      <c r="K166" s="28">
        <f t="shared" si="106"/>
        <v>0</v>
      </c>
      <c r="L166" s="28">
        <f t="shared" si="106"/>
        <v>0</v>
      </c>
      <c r="M166" s="28">
        <f t="shared" si="106"/>
        <v>0</v>
      </c>
      <c r="N166" s="28">
        <f t="shared" si="106"/>
        <v>0</v>
      </c>
      <c r="O166" s="28">
        <f t="shared" si="106"/>
        <v>0</v>
      </c>
      <c r="P166" s="27">
        <f>IF(P155="Azul",P144*P156*(1-P152),0)</f>
        <v>0</v>
      </c>
      <c r="Q166" s="28">
        <f t="shared" ref="Q166:AA166" si="107">IF(Q155="Azul",Q144*Q156*(1-Q152),0)</f>
        <v>0</v>
      </c>
      <c r="R166" s="28">
        <f t="shared" si="107"/>
        <v>0</v>
      </c>
      <c r="S166" s="28">
        <f t="shared" si="107"/>
        <v>0</v>
      </c>
      <c r="T166" s="28">
        <f t="shared" si="107"/>
        <v>0</v>
      </c>
      <c r="U166" s="28">
        <f t="shared" si="107"/>
        <v>0</v>
      </c>
      <c r="V166" s="28">
        <f t="shared" si="107"/>
        <v>0</v>
      </c>
      <c r="W166" s="28">
        <f t="shared" si="107"/>
        <v>0</v>
      </c>
      <c r="X166" s="28">
        <f t="shared" si="107"/>
        <v>0</v>
      </c>
      <c r="Y166" s="28">
        <f t="shared" si="107"/>
        <v>0</v>
      </c>
      <c r="Z166" s="28">
        <f t="shared" si="107"/>
        <v>0</v>
      </c>
      <c r="AA166" s="28">
        <f t="shared" si="107"/>
        <v>0</v>
      </c>
    </row>
    <row r="167" spans="2:27" x14ac:dyDescent="0.3">
      <c r="B167" s="178"/>
      <c r="C167" s="131" t="s">
        <v>24</v>
      </c>
      <c r="D167" s="29">
        <f>D146*D156*2</f>
        <v>0</v>
      </c>
      <c r="E167" s="30">
        <f t="shared" ref="E167:O167" si="108">E146*E156*2</f>
        <v>0</v>
      </c>
      <c r="F167" s="30">
        <f t="shared" si="108"/>
        <v>0</v>
      </c>
      <c r="G167" s="30">
        <f t="shared" si="108"/>
        <v>0</v>
      </c>
      <c r="H167" s="30">
        <f t="shared" si="108"/>
        <v>0</v>
      </c>
      <c r="I167" s="30">
        <f t="shared" si="108"/>
        <v>0</v>
      </c>
      <c r="J167" s="29">
        <f t="shared" si="108"/>
        <v>0</v>
      </c>
      <c r="K167" s="30">
        <f t="shared" si="108"/>
        <v>0</v>
      </c>
      <c r="L167" s="30">
        <f t="shared" si="108"/>
        <v>0</v>
      </c>
      <c r="M167" s="30">
        <f t="shared" si="108"/>
        <v>0</v>
      </c>
      <c r="N167" s="30">
        <f t="shared" si="108"/>
        <v>0</v>
      </c>
      <c r="O167" s="30">
        <f t="shared" si="108"/>
        <v>0</v>
      </c>
      <c r="P167" s="29">
        <f>P146*P156*2</f>
        <v>0</v>
      </c>
      <c r="Q167" s="30">
        <f t="shared" ref="Q167:AA167" si="109">Q146*Q156*2</f>
        <v>0</v>
      </c>
      <c r="R167" s="30">
        <f t="shared" si="109"/>
        <v>0</v>
      </c>
      <c r="S167" s="30">
        <f t="shared" si="109"/>
        <v>0</v>
      </c>
      <c r="T167" s="30">
        <f t="shared" si="109"/>
        <v>0</v>
      </c>
      <c r="U167" s="30">
        <f t="shared" si="109"/>
        <v>0</v>
      </c>
      <c r="V167" s="30">
        <f t="shared" si="109"/>
        <v>0</v>
      </c>
      <c r="W167" s="30">
        <f t="shared" si="109"/>
        <v>0</v>
      </c>
      <c r="X167" s="30">
        <f t="shared" si="109"/>
        <v>0</v>
      </c>
      <c r="Y167" s="30">
        <f t="shared" si="109"/>
        <v>0</v>
      </c>
      <c r="Z167" s="30">
        <f t="shared" si="109"/>
        <v>0</v>
      </c>
      <c r="AA167" s="30">
        <f t="shared" si="109"/>
        <v>0</v>
      </c>
    </row>
    <row r="168" spans="2:27" x14ac:dyDescent="0.3">
      <c r="B168" s="178"/>
      <c r="C168" s="131" t="s">
        <v>25</v>
      </c>
      <c r="D168" s="31">
        <f>D145*D157*(1-D152)</f>
        <v>0</v>
      </c>
      <c r="E168" s="32">
        <f t="shared" ref="E168:O168" si="110">E145*E157*(1-E152)</f>
        <v>0</v>
      </c>
      <c r="F168" s="32">
        <f t="shared" si="110"/>
        <v>0</v>
      </c>
      <c r="G168" s="32">
        <f t="shared" si="110"/>
        <v>0</v>
      </c>
      <c r="H168" s="32">
        <f t="shared" si="110"/>
        <v>0</v>
      </c>
      <c r="I168" s="32">
        <f t="shared" si="110"/>
        <v>0</v>
      </c>
      <c r="J168" s="31">
        <f t="shared" si="110"/>
        <v>0</v>
      </c>
      <c r="K168" s="32">
        <f t="shared" si="110"/>
        <v>0</v>
      </c>
      <c r="L168" s="32">
        <f t="shared" si="110"/>
        <v>0</v>
      </c>
      <c r="M168" s="32">
        <f t="shared" si="110"/>
        <v>0</v>
      </c>
      <c r="N168" s="32">
        <f t="shared" si="110"/>
        <v>0</v>
      </c>
      <c r="O168" s="32">
        <f t="shared" si="110"/>
        <v>0</v>
      </c>
      <c r="P168" s="31">
        <f>P145*P157*(1-P152)</f>
        <v>0</v>
      </c>
      <c r="Q168" s="32">
        <f t="shared" ref="Q168:AA168" si="111">Q145*Q157*(1-Q152)</f>
        <v>0</v>
      </c>
      <c r="R168" s="32">
        <f t="shared" si="111"/>
        <v>0</v>
      </c>
      <c r="S168" s="32">
        <f t="shared" si="111"/>
        <v>0</v>
      </c>
      <c r="T168" s="32">
        <f t="shared" si="111"/>
        <v>0</v>
      </c>
      <c r="U168" s="32">
        <f t="shared" si="111"/>
        <v>0</v>
      </c>
      <c r="V168" s="32">
        <f t="shared" si="111"/>
        <v>0</v>
      </c>
      <c r="W168" s="32">
        <f t="shared" si="111"/>
        <v>0</v>
      </c>
      <c r="X168" s="32">
        <f t="shared" si="111"/>
        <v>0</v>
      </c>
      <c r="Y168" s="32">
        <f t="shared" si="111"/>
        <v>0</v>
      </c>
      <c r="Z168" s="32">
        <f t="shared" si="111"/>
        <v>0</v>
      </c>
      <c r="AA168" s="32">
        <f t="shared" si="111"/>
        <v>0</v>
      </c>
    </row>
    <row r="169" spans="2:27" x14ac:dyDescent="0.3">
      <c r="B169" s="178"/>
      <c r="C169" s="131" t="s">
        <v>26</v>
      </c>
      <c r="D169" s="29">
        <f>D147*D157*2</f>
        <v>0</v>
      </c>
      <c r="E169" s="30">
        <f t="shared" ref="E169:O169" si="112">E147*E157*2</f>
        <v>0</v>
      </c>
      <c r="F169" s="30">
        <f t="shared" si="112"/>
        <v>0</v>
      </c>
      <c r="G169" s="30">
        <f t="shared" si="112"/>
        <v>0</v>
      </c>
      <c r="H169" s="30">
        <f t="shared" si="112"/>
        <v>0</v>
      </c>
      <c r="I169" s="30">
        <f t="shared" si="112"/>
        <v>0</v>
      </c>
      <c r="J169" s="29">
        <f t="shared" si="112"/>
        <v>0</v>
      </c>
      <c r="K169" s="30">
        <f t="shared" si="112"/>
        <v>0</v>
      </c>
      <c r="L169" s="30">
        <f t="shared" si="112"/>
        <v>0</v>
      </c>
      <c r="M169" s="30">
        <f t="shared" si="112"/>
        <v>0</v>
      </c>
      <c r="N169" s="30">
        <f t="shared" si="112"/>
        <v>0</v>
      </c>
      <c r="O169" s="30">
        <f t="shared" si="112"/>
        <v>0</v>
      </c>
      <c r="P169" s="29">
        <f>P147*P157*2</f>
        <v>0</v>
      </c>
      <c r="Q169" s="30">
        <f t="shared" ref="Q169:AA169" si="113">Q147*Q157*2</f>
        <v>0</v>
      </c>
      <c r="R169" s="30">
        <f t="shared" si="113"/>
        <v>0</v>
      </c>
      <c r="S169" s="30">
        <f t="shared" si="113"/>
        <v>0</v>
      </c>
      <c r="T169" s="30">
        <f t="shared" si="113"/>
        <v>0</v>
      </c>
      <c r="U169" s="30">
        <f t="shared" si="113"/>
        <v>0</v>
      </c>
      <c r="V169" s="30">
        <f t="shared" si="113"/>
        <v>0</v>
      </c>
      <c r="W169" s="30">
        <f t="shared" si="113"/>
        <v>0</v>
      </c>
      <c r="X169" s="30">
        <f t="shared" si="113"/>
        <v>0</v>
      </c>
      <c r="Y169" s="30">
        <f t="shared" si="113"/>
        <v>0</v>
      </c>
      <c r="Z169" s="30">
        <f t="shared" si="113"/>
        <v>0</v>
      </c>
      <c r="AA169" s="30">
        <f t="shared" si="113"/>
        <v>0</v>
      </c>
    </row>
    <row r="170" spans="2:27" x14ac:dyDescent="0.3">
      <c r="B170" s="178"/>
      <c r="C170" s="131" t="s">
        <v>27</v>
      </c>
      <c r="D170" s="31">
        <f>IF(D155="Azul",D148*D159,D148*((D158-D159)*(1-D152)+D159))</f>
        <v>0</v>
      </c>
      <c r="E170" s="32">
        <f t="shared" ref="E170:O170" si="114">IF(E155="Azul",E148*E159,E148*((E158-E159)*(1-E152)+E159))</f>
        <v>0</v>
      </c>
      <c r="F170" s="32">
        <f t="shared" si="114"/>
        <v>175.119</v>
      </c>
      <c r="G170" s="32">
        <f t="shared" si="114"/>
        <v>0</v>
      </c>
      <c r="H170" s="32">
        <f t="shared" si="114"/>
        <v>0</v>
      </c>
      <c r="I170" s="32">
        <f t="shared" si="114"/>
        <v>0</v>
      </c>
      <c r="J170" s="31">
        <f t="shared" si="114"/>
        <v>175.119</v>
      </c>
      <c r="K170" s="32">
        <f t="shared" si="114"/>
        <v>0</v>
      </c>
      <c r="L170" s="32">
        <f t="shared" si="114"/>
        <v>0</v>
      </c>
      <c r="M170" s="32">
        <f t="shared" si="114"/>
        <v>175.119</v>
      </c>
      <c r="N170" s="32">
        <f t="shared" si="114"/>
        <v>0</v>
      </c>
      <c r="O170" s="32">
        <f t="shared" si="114"/>
        <v>0</v>
      </c>
      <c r="P170" s="31">
        <f>IF(P155="Azul",P148*P159,P148*((P158-P159)*(1-P152)+P159))</f>
        <v>175.119</v>
      </c>
      <c r="Q170" s="32">
        <f t="shared" ref="Q170:AA170" si="115">IF(Q155="Azul",Q148*Q159,Q148*((Q158-Q159)*(1-Q152)+Q159))</f>
        <v>0</v>
      </c>
      <c r="R170" s="32">
        <f t="shared" si="115"/>
        <v>0</v>
      </c>
      <c r="S170" s="32">
        <f t="shared" si="115"/>
        <v>0</v>
      </c>
      <c r="T170" s="32">
        <f t="shared" si="115"/>
        <v>175.119</v>
      </c>
      <c r="U170" s="32">
        <f t="shared" si="115"/>
        <v>0</v>
      </c>
      <c r="V170" s="32">
        <f t="shared" si="115"/>
        <v>175.119</v>
      </c>
      <c r="W170" s="32">
        <f t="shared" si="115"/>
        <v>0</v>
      </c>
      <c r="X170" s="32">
        <f t="shared" si="115"/>
        <v>0</v>
      </c>
      <c r="Y170" s="32">
        <f t="shared" si="115"/>
        <v>175.119</v>
      </c>
      <c r="Z170" s="32">
        <f t="shared" si="115"/>
        <v>0</v>
      </c>
      <c r="AA170" s="32">
        <f t="shared" si="115"/>
        <v>0</v>
      </c>
    </row>
    <row r="171" spans="2:27" x14ac:dyDescent="0.3">
      <c r="B171" s="178"/>
      <c r="C171" s="132" t="s">
        <v>28</v>
      </c>
      <c r="D171" s="33">
        <f>D149*D159</f>
        <v>350.238</v>
      </c>
      <c r="E171" s="34">
        <f t="shared" ref="E171:O171" si="116">E149*E159</f>
        <v>350.238</v>
      </c>
      <c r="F171" s="34">
        <f t="shared" si="116"/>
        <v>525.35699999999997</v>
      </c>
      <c r="G171" s="34">
        <f t="shared" si="116"/>
        <v>350.238</v>
      </c>
      <c r="H171" s="34">
        <f t="shared" si="116"/>
        <v>525.35699999999997</v>
      </c>
      <c r="I171" s="34">
        <f t="shared" si="116"/>
        <v>525.35699999999997</v>
      </c>
      <c r="J171" s="33">
        <f t="shared" si="116"/>
        <v>525.35699999999997</v>
      </c>
      <c r="K171" s="34">
        <f t="shared" si="116"/>
        <v>525.35699999999997</v>
      </c>
      <c r="L171" s="34">
        <f t="shared" si="116"/>
        <v>700.476</v>
      </c>
      <c r="M171" s="34">
        <f t="shared" si="116"/>
        <v>525.35699999999997</v>
      </c>
      <c r="N171" s="34">
        <f t="shared" si="116"/>
        <v>700.476</v>
      </c>
      <c r="O171" s="34">
        <f t="shared" si="116"/>
        <v>700.476</v>
      </c>
      <c r="P171" s="33">
        <f>P149*P159</f>
        <v>525.35699999999997</v>
      </c>
      <c r="Q171" s="34">
        <f t="shared" ref="Q171:AA171" si="117">Q149*Q159</f>
        <v>525.35699999999997</v>
      </c>
      <c r="R171" s="34">
        <f t="shared" si="117"/>
        <v>525.35699999999997</v>
      </c>
      <c r="S171" s="34">
        <f t="shared" si="117"/>
        <v>525.35699999999997</v>
      </c>
      <c r="T171" s="34">
        <f t="shared" si="117"/>
        <v>525.35699999999997</v>
      </c>
      <c r="U171" s="34">
        <f t="shared" si="117"/>
        <v>700.476</v>
      </c>
      <c r="V171" s="34">
        <f t="shared" si="117"/>
        <v>700.476</v>
      </c>
      <c r="W171" s="34">
        <f t="shared" si="117"/>
        <v>700.476</v>
      </c>
      <c r="X171" s="34">
        <f t="shared" si="117"/>
        <v>525.35699999999997</v>
      </c>
      <c r="Y171" s="34">
        <f t="shared" si="117"/>
        <v>700.476</v>
      </c>
      <c r="Z171" s="34">
        <f t="shared" si="117"/>
        <v>525.35699999999997</v>
      </c>
      <c r="AA171" s="34">
        <f t="shared" si="117"/>
        <v>533.69600000000003</v>
      </c>
    </row>
    <row r="172" spans="2:27" x14ac:dyDescent="0.3">
      <c r="B172" s="178"/>
      <c r="C172" s="131" t="s">
        <v>29</v>
      </c>
      <c r="D172" s="27">
        <f>SUM(D166:D171)</f>
        <v>350.238</v>
      </c>
      <c r="E172" s="28">
        <f>SUM(E166:E171)</f>
        <v>350.238</v>
      </c>
      <c r="F172" s="28">
        <f>SUM(F166:F171)</f>
        <v>700.476</v>
      </c>
      <c r="G172" s="28">
        <f t="shared" ref="G172:O172" si="118">SUM(G166:G171)</f>
        <v>350.238</v>
      </c>
      <c r="H172" s="28">
        <f t="shared" si="118"/>
        <v>525.35699999999997</v>
      </c>
      <c r="I172" s="28">
        <f t="shared" si="118"/>
        <v>525.35699999999997</v>
      </c>
      <c r="J172" s="27">
        <f t="shared" si="118"/>
        <v>700.476</v>
      </c>
      <c r="K172" s="28">
        <f t="shared" si="118"/>
        <v>525.35699999999997</v>
      </c>
      <c r="L172" s="28">
        <f t="shared" si="118"/>
        <v>700.476</v>
      </c>
      <c r="M172" s="28">
        <f t="shared" si="118"/>
        <v>700.476</v>
      </c>
      <c r="N172" s="28">
        <f t="shared" si="118"/>
        <v>700.476</v>
      </c>
      <c r="O172" s="28">
        <f t="shared" si="118"/>
        <v>700.476</v>
      </c>
      <c r="P172" s="27">
        <f>SUM(P166:P171)</f>
        <v>700.476</v>
      </c>
      <c r="Q172" s="28">
        <f t="shared" ref="Q172:AA172" si="119">SUM(Q166:Q171)</f>
        <v>525.35699999999997</v>
      </c>
      <c r="R172" s="28">
        <f t="shared" si="119"/>
        <v>525.35699999999997</v>
      </c>
      <c r="S172" s="28">
        <f t="shared" si="119"/>
        <v>525.35699999999997</v>
      </c>
      <c r="T172" s="28">
        <f t="shared" si="119"/>
        <v>700.476</v>
      </c>
      <c r="U172" s="28">
        <f t="shared" si="119"/>
        <v>700.476</v>
      </c>
      <c r="V172" s="28">
        <f t="shared" si="119"/>
        <v>875.59500000000003</v>
      </c>
      <c r="W172" s="28">
        <f t="shared" si="119"/>
        <v>700.476</v>
      </c>
      <c r="X172" s="28">
        <f t="shared" si="119"/>
        <v>525.35699999999997</v>
      </c>
      <c r="Y172" s="28">
        <f t="shared" si="119"/>
        <v>875.59500000000003</v>
      </c>
      <c r="Z172" s="28">
        <f t="shared" si="119"/>
        <v>525.35699999999997</v>
      </c>
      <c r="AA172" s="28">
        <f t="shared" si="119"/>
        <v>533.69600000000003</v>
      </c>
    </row>
    <row r="173" spans="2:27" x14ac:dyDescent="0.3">
      <c r="B173" s="178"/>
      <c r="C173" s="131" t="s">
        <v>30</v>
      </c>
      <c r="D173" s="35">
        <f>D172/(1-SUM(D163:D164))*SUM(D163:D164)+((D175+D176+D177)/(1-SUM(D163:D164)))*SUM(D163:D164)</f>
        <v>2430.7002352941181</v>
      </c>
      <c r="E173" s="36">
        <f t="shared" ref="E173:AA173" si="120">E172/(1-SUM(E163:E164))*SUM(E163:E164)+((E175+E176+E177)/(1-SUM(E163:E164)))*SUM(E163:E164)</f>
        <v>2430.7002352941181</v>
      </c>
      <c r="F173" s="36">
        <f t="shared" si="120"/>
        <v>3790.8578823529415</v>
      </c>
      <c r="G173" s="36">
        <f t="shared" si="120"/>
        <v>2430.7002352941181</v>
      </c>
      <c r="H173" s="36">
        <f t="shared" si="120"/>
        <v>2513.1091764705889</v>
      </c>
      <c r="I173" s="36">
        <f t="shared" si="120"/>
        <v>2513.1091764705889</v>
      </c>
      <c r="J173" s="35">
        <f t="shared" si="120"/>
        <v>3790.8578823529415</v>
      </c>
      <c r="K173" s="36">
        <f t="shared" si="120"/>
        <v>2513.1091764705889</v>
      </c>
      <c r="L173" s="36">
        <f t="shared" si="120"/>
        <v>2595.5181176470596</v>
      </c>
      <c r="M173" s="36">
        <f t="shared" si="120"/>
        <v>3790.8578823529415</v>
      </c>
      <c r="N173" s="36">
        <f t="shared" si="120"/>
        <v>2595.5181176470596</v>
      </c>
      <c r="O173" s="36">
        <f t="shared" si="120"/>
        <v>2595.5181176470596</v>
      </c>
      <c r="P173" s="35">
        <f t="shared" si="120"/>
        <v>3790.8578823529415</v>
      </c>
      <c r="Q173" s="36">
        <f t="shared" si="120"/>
        <v>2513.1091764705889</v>
      </c>
      <c r="R173" s="36">
        <f t="shared" si="120"/>
        <v>2513.1091764705889</v>
      </c>
      <c r="S173" s="36">
        <f t="shared" si="120"/>
        <v>2513.1091764705889</v>
      </c>
      <c r="T173" s="36">
        <f t="shared" si="120"/>
        <v>3790.8578823529415</v>
      </c>
      <c r="U173" s="36">
        <f t="shared" si="120"/>
        <v>2595.5181176470596</v>
      </c>
      <c r="V173" s="36">
        <f t="shared" si="120"/>
        <v>3873.2668235294118</v>
      </c>
      <c r="W173" s="36">
        <f t="shared" si="120"/>
        <v>2595.5181176470596</v>
      </c>
      <c r="X173" s="36">
        <f t="shared" si="120"/>
        <v>2513.1091764705889</v>
      </c>
      <c r="Y173" s="36">
        <f t="shared" si="120"/>
        <v>3873.2668235294118</v>
      </c>
      <c r="Z173" s="36">
        <f t="shared" si="120"/>
        <v>2513.1091764705889</v>
      </c>
      <c r="AA173" s="36">
        <f t="shared" si="120"/>
        <v>2517.0334117647067</v>
      </c>
    </row>
    <row r="174" spans="2:27" x14ac:dyDescent="0.3">
      <c r="B174" s="178"/>
      <c r="C174" s="107"/>
      <c r="D174" s="107"/>
      <c r="E174" s="107"/>
      <c r="F174" s="107"/>
      <c r="G174" s="107"/>
      <c r="H174" s="107"/>
      <c r="I174" s="107"/>
      <c r="J174" s="107"/>
      <c r="K174" s="107"/>
      <c r="L174" s="107"/>
      <c r="M174" s="107"/>
      <c r="N174" s="107"/>
      <c r="O174" s="107"/>
      <c r="P174" s="107"/>
      <c r="Q174" s="107"/>
      <c r="R174" s="107"/>
      <c r="S174" s="107"/>
      <c r="T174" s="107"/>
      <c r="U174" s="107"/>
      <c r="V174" s="107"/>
      <c r="W174" s="107"/>
      <c r="X174" s="107"/>
      <c r="Y174" s="107"/>
      <c r="Z174" s="107"/>
      <c r="AA174" s="37"/>
    </row>
    <row r="175" spans="2:27" x14ac:dyDescent="0.3">
      <c r="B175" s="178"/>
      <c r="C175" s="131" t="s">
        <v>31</v>
      </c>
      <c r="D175" s="9">
        <f>IF(D155="Azul",D144*D156*(D152),0)</f>
        <v>0</v>
      </c>
      <c r="E175" s="10">
        <f t="shared" ref="E175:O175" si="121">IF(E155="Azul",E144*E156*(E152),0)</f>
        <v>0</v>
      </c>
      <c r="F175" s="10">
        <f t="shared" si="121"/>
        <v>0</v>
      </c>
      <c r="G175" s="10">
        <f t="shared" si="121"/>
        <v>0</v>
      </c>
      <c r="H175" s="10">
        <f t="shared" si="121"/>
        <v>0</v>
      </c>
      <c r="I175" s="10">
        <f t="shared" si="121"/>
        <v>0</v>
      </c>
      <c r="J175" s="9">
        <f t="shared" si="121"/>
        <v>0</v>
      </c>
      <c r="K175" s="10">
        <f t="shared" si="121"/>
        <v>0</v>
      </c>
      <c r="L175" s="10">
        <f t="shared" si="121"/>
        <v>0</v>
      </c>
      <c r="M175" s="10">
        <f t="shared" si="121"/>
        <v>0</v>
      </c>
      <c r="N175" s="10">
        <f t="shared" si="121"/>
        <v>0</v>
      </c>
      <c r="O175" s="10">
        <f t="shared" si="121"/>
        <v>0</v>
      </c>
      <c r="P175" s="10">
        <f>IF(P155="Azul",P144*P156*(P152),0)</f>
        <v>0</v>
      </c>
      <c r="Q175" s="10">
        <f t="shared" ref="Q175:AA175" si="122">IF(Q155="Azul",Q144*Q156*(Q152),0)</f>
        <v>0</v>
      </c>
      <c r="R175" s="10">
        <f t="shared" si="122"/>
        <v>0</v>
      </c>
      <c r="S175" s="10">
        <f t="shared" si="122"/>
        <v>0</v>
      </c>
      <c r="T175" s="10">
        <f t="shared" si="122"/>
        <v>0</v>
      </c>
      <c r="U175" s="10">
        <f t="shared" si="122"/>
        <v>0</v>
      </c>
      <c r="V175" s="10">
        <f t="shared" si="122"/>
        <v>0</v>
      </c>
      <c r="W175" s="10">
        <f t="shared" si="122"/>
        <v>0</v>
      </c>
      <c r="X175" s="10">
        <f t="shared" si="122"/>
        <v>0</v>
      </c>
      <c r="Y175" s="10">
        <f t="shared" si="122"/>
        <v>0</v>
      </c>
      <c r="Z175" s="10">
        <f t="shared" si="122"/>
        <v>0</v>
      </c>
      <c r="AA175" s="10">
        <f t="shared" si="122"/>
        <v>0</v>
      </c>
    </row>
    <row r="176" spans="2:27" x14ac:dyDescent="0.3">
      <c r="B176" s="178"/>
      <c r="C176" s="131" t="s">
        <v>32</v>
      </c>
      <c r="D176" s="11">
        <f>D145*D157*(D152)</f>
        <v>4815</v>
      </c>
      <c r="E176" s="12">
        <f t="shared" ref="E176:O176" si="123">E145*E157*(E152)</f>
        <v>4815</v>
      </c>
      <c r="F176" s="12">
        <f t="shared" si="123"/>
        <v>4815</v>
      </c>
      <c r="G176" s="12">
        <f t="shared" si="123"/>
        <v>4815</v>
      </c>
      <c r="H176" s="12">
        <f t="shared" si="123"/>
        <v>4815</v>
      </c>
      <c r="I176" s="12">
        <f t="shared" si="123"/>
        <v>4815</v>
      </c>
      <c r="J176" s="11">
        <f t="shared" si="123"/>
        <v>4815</v>
      </c>
      <c r="K176" s="12">
        <f t="shared" si="123"/>
        <v>4815</v>
      </c>
      <c r="L176" s="12">
        <f t="shared" si="123"/>
        <v>4815</v>
      </c>
      <c r="M176" s="12">
        <f t="shared" si="123"/>
        <v>4815</v>
      </c>
      <c r="N176" s="12">
        <f t="shared" si="123"/>
        <v>4815</v>
      </c>
      <c r="O176" s="12">
        <f t="shared" si="123"/>
        <v>4815</v>
      </c>
      <c r="P176" s="12">
        <f>P145*P157*(P152)</f>
        <v>4815</v>
      </c>
      <c r="Q176" s="12">
        <f t="shared" ref="Q176:AA176" si="124">Q145*Q157*(Q152)</f>
        <v>4815</v>
      </c>
      <c r="R176" s="12">
        <f t="shared" si="124"/>
        <v>4815</v>
      </c>
      <c r="S176" s="12">
        <f t="shared" si="124"/>
        <v>4815</v>
      </c>
      <c r="T176" s="12">
        <f t="shared" si="124"/>
        <v>4815</v>
      </c>
      <c r="U176" s="12">
        <f t="shared" si="124"/>
        <v>4815</v>
      </c>
      <c r="V176" s="12">
        <f t="shared" si="124"/>
        <v>4815</v>
      </c>
      <c r="W176" s="12">
        <f t="shared" si="124"/>
        <v>4815</v>
      </c>
      <c r="X176" s="12">
        <f t="shared" si="124"/>
        <v>4815</v>
      </c>
      <c r="Y176" s="12">
        <f t="shared" si="124"/>
        <v>4815</v>
      </c>
      <c r="Z176" s="12">
        <f t="shared" si="124"/>
        <v>4815</v>
      </c>
      <c r="AA176" s="12">
        <f t="shared" si="124"/>
        <v>4815</v>
      </c>
    </row>
    <row r="177" spans="2:29" x14ac:dyDescent="0.3">
      <c r="B177" s="178"/>
      <c r="C177" s="129" t="s">
        <v>33</v>
      </c>
      <c r="D177" s="19">
        <f>IF(D155="Verde",D148*(D158-D159)*(D152),0)</f>
        <v>0</v>
      </c>
      <c r="E177" s="20">
        <f t="shared" ref="E177:AA177" si="125">IF(E155="Verde",E148*(E158-E159)*(E152),0)</f>
        <v>0</v>
      </c>
      <c r="F177" s="20">
        <f t="shared" si="125"/>
        <v>2540.0969999999998</v>
      </c>
      <c r="G177" s="20">
        <f t="shared" si="125"/>
        <v>0</v>
      </c>
      <c r="H177" s="20">
        <f t="shared" si="125"/>
        <v>0</v>
      </c>
      <c r="I177" s="20">
        <f t="shared" si="125"/>
        <v>0</v>
      </c>
      <c r="J177" s="19">
        <f t="shared" si="125"/>
        <v>2540.0969999999998</v>
      </c>
      <c r="K177" s="20">
        <f t="shared" si="125"/>
        <v>0</v>
      </c>
      <c r="L177" s="20">
        <f t="shared" si="125"/>
        <v>0</v>
      </c>
      <c r="M177" s="20">
        <f t="shared" si="125"/>
        <v>2540.0969999999998</v>
      </c>
      <c r="N177" s="20">
        <f t="shared" si="125"/>
        <v>0</v>
      </c>
      <c r="O177" s="20">
        <f t="shared" si="125"/>
        <v>0</v>
      </c>
      <c r="P177" s="20">
        <f t="shared" si="125"/>
        <v>2540.0969999999998</v>
      </c>
      <c r="Q177" s="20">
        <f t="shared" si="125"/>
        <v>0</v>
      </c>
      <c r="R177" s="20">
        <f t="shared" si="125"/>
        <v>0</v>
      </c>
      <c r="S177" s="20">
        <f t="shared" si="125"/>
        <v>0</v>
      </c>
      <c r="T177" s="20">
        <f t="shared" si="125"/>
        <v>2540.0969999999998</v>
      </c>
      <c r="U177" s="20">
        <f t="shared" si="125"/>
        <v>0</v>
      </c>
      <c r="V177" s="20">
        <f t="shared" si="125"/>
        <v>2540.0969999999998</v>
      </c>
      <c r="W177" s="20">
        <f t="shared" si="125"/>
        <v>0</v>
      </c>
      <c r="X177" s="20">
        <f t="shared" si="125"/>
        <v>0</v>
      </c>
      <c r="Y177" s="20">
        <f t="shared" si="125"/>
        <v>2540.0969999999998</v>
      </c>
      <c r="Z177" s="20">
        <f t="shared" si="125"/>
        <v>0</v>
      </c>
      <c r="AA177" s="20">
        <f t="shared" si="125"/>
        <v>0</v>
      </c>
      <c r="AC177" s="92"/>
    </row>
    <row r="178" spans="2:29" x14ac:dyDescent="0.3">
      <c r="B178" s="178"/>
      <c r="C178" s="109"/>
      <c r="D178" s="109"/>
      <c r="E178" s="109"/>
      <c r="F178" s="109"/>
      <c r="G178" s="109"/>
      <c r="H178" s="109"/>
      <c r="I178" s="109"/>
      <c r="J178" s="109"/>
      <c r="K178" s="109"/>
      <c r="L178" s="109"/>
      <c r="M178" s="109"/>
      <c r="N178" s="109"/>
      <c r="O178" s="109"/>
      <c r="P178" s="109"/>
      <c r="Q178" s="109"/>
      <c r="R178" s="109"/>
      <c r="S178" s="109"/>
      <c r="T178" s="109"/>
      <c r="U178" s="109"/>
      <c r="V178" s="109"/>
      <c r="W178" s="109"/>
      <c r="X178" s="109"/>
      <c r="Y178" s="109"/>
      <c r="Z178" s="109"/>
      <c r="AA178" s="38"/>
    </row>
    <row r="179" spans="2:29" x14ac:dyDescent="0.3">
      <c r="B179" s="178"/>
      <c r="C179" s="129" t="s">
        <v>34</v>
      </c>
      <c r="D179" s="98">
        <f>SUM(D148:D149)/D140</f>
        <v>5.6451612903225812E-3</v>
      </c>
      <c r="E179" s="98">
        <f t="shared" ref="E179:O179" si="126">SUM(E148:E149)/E140</f>
        <v>6.0344827586206896E-3</v>
      </c>
      <c r="F179" s="98">
        <f t="shared" si="126"/>
        <v>1.1290322580645162E-2</v>
      </c>
      <c r="G179" s="98">
        <f t="shared" si="126"/>
        <v>5.8333333333333336E-3</v>
      </c>
      <c r="H179" s="98">
        <f t="shared" si="126"/>
        <v>8.46774193548387E-3</v>
      </c>
      <c r="I179" s="98">
        <f t="shared" si="126"/>
        <v>8.7499999999999991E-3</v>
      </c>
      <c r="J179" s="98">
        <f t="shared" si="126"/>
        <v>1.1290322580645162E-2</v>
      </c>
      <c r="K179" s="98">
        <f t="shared" si="126"/>
        <v>8.46774193548387E-3</v>
      </c>
      <c r="L179" s="98">
        <f t="shared" si="126"/>
        <v>1.1666666666666667E-2</v>
      </c>
      <c r="M179" s="98">
        <f t="shared" si="126"/>
        <v>1.1290322580645162E-2</v>
      </c>
      <c r="N179" s="98">
        <f t="shared" si="126"/>
        <v>1.1666666666666667E-2</v>
      </c>
      <c r="O179" s="98">
        <f t="shared" si="126"/>
        <v>1.1290322580645162E-2</v>
      </c>
      <c r="P179" s="98">
        <f>SUM(P148:P149)/P140</f>
        <v>1.1290322580645162E-2</v>
      </c>
      <c r="Q179" s="98">
        <f t="shared" ref="Q179:AA179" si="127">SUM(Q148:Q149)/Q140</f>
        <v>9.3749999999999997E-3</v>
      </c>
      <c r="R179" s="98">
        <f t="shared" si="127"/>
        <v>8.46774193548387E-3</v>
      </c>
      <c r="S179" s="98">
        <f t="shared" si="127"/>
        <v>8.7499999999999991E-3</v>
      </c>
      <c r="T179" s="98">
        <f t="shared" si="127"/>
        <v>1.1290322580645162E-2</v>
      </c>
      <c r="U179" s="98">
        <f t="shared" si="127"/>
        <v>1.1666666666666667E-2</v>
      </c>
      <c r="V179" s="98">
        <f t="shared" si="127"/>
        <v>1.4112903225806451E-2</v>
      </c>
      <c r="W179" s="98">
        <f t="shared" si="127"/>
        <v>1.1290322580645162E-2</v>
      </c>
      <c r="X179" s="98">
        <f t="shared" si="127"/>
        <v>8.7499999999999991E-3</v>
      </c>
      <c r="Y179" s="98">
        <f t="shared" si="127"/>
        <v>1.4112903225806451E-2</v>
      </c>
      <c r="Z179" s="98">
        <f t="shared" si="127"/>
        <v>8.7499999999999991E-3</v>
      </c>
      <c r="AA179" s="98">
        <f t="shared" si="127"/>
        <v>8.6021505376344086E-3</v>
      </c>
    </row>
    <row r="180" spans="2:29" x14ac:dyDescent="0.3">
      <c r="B180" s="178"/>
      <c r="C180" s="133" t="s">
        <v>35</v>
      </c>
      <c r="D180" s="97">
        <f t="shared" ref="D180:T180" si="128">D179*D140</f>
        <v>4.2</v>
      </c>
      <c r="E180" s="97">
        <f t="shared" si="128"/>
        <v>4.2</v>
      </c>
      <c r="F180" s="97">
        <f t="shared" si="128"/>
        <v>8.4</v>
      </c>
      <c r="G180" s="97">
        <f t="shared" si="128"/>
        <v>4.2</v>
      </c>
      <c r="H180" s="97">
        <f t="shared" si="128"/>
        <v>6.2999999999999989</v>
      </c>
      <c r="I180" s="97">
        <f t="shared" si="128"/>
        <v>6.2999999999999989</v>
      </c>
      <c r="J180" s="97">
        <f t="shared" si="128"/>
        <v>8.4</v>
      </c>
      <c r="K180" s="97">
        <f t="shared" si="128"/>
        <v>6.2999999999999989</v>
      </c>
      <c r="L180" s="97">
        <f t="shared" si="128"/>
        <v>8.4</v>
      </c>
      <c r="M180" s="97">
        <f t="shared" si="128"/>
        <v>8.4</v>
      </c>
      <c r="N180" s="97">
        <f t="shared" si="128"/>
        <v>8.4</v>
      </c>
      <c r="O180" s="97">
        <f t="shared" si="128"/>
        <v>8.4</v>
      </c>
      <c r="P180" s="97">
        <f t="shared" si="128"/>
        <v>8.4</v>
      </c>
      <c r="Q180" s="97">
        <f t="shared" si="128"/>
        <v>6.3</v>
      </c>
      <c r="R180" s="97">
        <f t="shared" si="128"/>
        <v>6.2999999999999989</v>
      </c>
      <c r="S180" s="97">
        <f t="shared" si="128"/>
        <v>6.2999999999999989</v>
      </c>
      <c r="T180" s="97">
        <f t="shared" si="128"/>
        <v>8.4</v>
      </c>
      <c r="U180" s="97">
        <f>U179*U140</f>
        <v>8.4</v>
      </c>
      <c r="V180" s="97">
        <f t="shared" ref="V180:AA180" si="129">V179*V140</f>
        <v>10.5</v>
      </c>
      <c r="W180" s="97">
        <f t="shared" si="129"/>
        <v>8.4</v>
      </c>
      <c r="X180" s="97">
        <f t="shared" si="129"/>
        <v>6.2999999999999989</v>
      </c>
      <c r="Y180" s="97">
        <f t="shared" si="129"/>
        <v>10.5</v>
      </c>
      <c r="Z180" s="97">
        <f t="shared" si="129"/>
        <v>6.2999999999999989</v>
      </c>
      <c r="AA180" s="97">
        <f t="shared" si="129"/>
        <v>6.4</v>
      </c>
    </row>
    <row r="181" spans="2:29" x14ac:dyDescent="0.3">
      <c r="B181" s="178"/>
      <c r="C181" s="129" t="s">
        <v>36</v>
      </c>
      <c r="D181" s="39">
        <f t="shared" ref="D181:AA181" si="130">D180*1.1</f>
        <v>4.620000000000001</v>
      </c>
      <c r="E181" s="39">
        <f t="shared" si="130"/>
        <v>4.620000000000001</v>
      </c>
      <c r="F181" s="39">
        <f t="shared" si="130"/>
        <v>9.240000000000002</v>
      </c>
      <c r="G181" s="39">
        <f t="shared" si="130"/>
        <v>4.620000000000001</v>
      </c>
      <c r="H181" s="39">
        <f t="shared" si="130"/>
        <v>6.93</v>
      </c>
      <c r="I181" s="39">
        <f t="shared" si="130"/>
        <v>6.93</v>
      </c>
      <c r="J181" s="39">
        <f t="shared" si="130"/>
        <v>9.240000000000002</v>
      </c>
      <c r="K181" s="39">
        <f t="shared" si="130"/>
        <v>6.93</v>
      </c>
      <c r="L181" s="39">
        <f t="shared" si="130"/>
        <v>9.240000000000002</v>
      </c>
      <c r="M181" s="39">
        <f t="shared" si="130"/>
        <v>9.240000000000002</v>
      </c>
      <c r="N181" s="39">
        <f t="shared" si="130"/>
        <v>9.240000000000002</v>
      </c>
      <c r="O181" s="39">
        <f t="shared" si="130"/>
        <v>9.240000000000002</v>
      </c>
      <c r="P181" s="39">
        <f t="shared" si="130"/>
        <v>9.240000000000002</v>
      </c>
      <c r="Q181" s="39">
        <f t="shared" si="130"/>
        <v>6.9300000000000006</v>
      </c>
      <c r="R181" s="39">
        <f t="shared" si="130"/>
        <v>6.93</v>
      </c>
      <c r="S181" s="39">
        <f t="shared" si="130"/>
        <v>6.93</v>
      </c>
      <c r="T181" s="39">
        <f t="shared" si="130"/>
        <v>9.240000000000002</v>
      </c>
      <c r="U181" s="39">
        <f t="shared" si="130"/>
        <v>9.240000000000002</v>
      </c>
      <c r="V181" s="39">
        <f t="shared" si="130"/>
        <v>11.55</v>
      </c>
      <c r="W181" s="39">
        <f t="shared" si="130"/>
        <v>9.240000000000002</v>
      </c>
      <c r="X181" s="39">
        <f t="shared" si="130"/>
        <v>6.93</v>
      </c>
      <c r="Y181" s="39">
        <f t="shared" si="130"/>
        <v>11.55</v>
      </c>
      <c r="Z181" s="39">
        <f t="shared" si="130"/>
        <v>6.93</v>
      </c>
      <c r="AA181" s="39">
        <f t="shared" si="130"/>
        <v>7.0400000000000009</v>
      </c>
    </row>
    <row r="182" spans="2:29" x14ac:dyDescent="0.3">
      <c r="B182" s="178"/>
      <c r="C182" s="129" t="s">
        <v>37</v>
      </c>
      <c r="D182" s="40">
        <f t="shared" ref="D182:AA182" si="131">D180*0.9</f>
        <v>3.7800000000000002</v>
      </c>
      <c r="E182" s="40">
        <f t="shared" si="131"/>
        <v>3.7800000000000002</v>
      </c>
      <c r="F182" s="40">
        <f t="shared" si="131"/>
        <v>7.5600000000000005</v>
      </c>
      <c r="G182" s="40">
        <f t="shared" si="131"/>
        <v>3.7800000000000002</v>
      </c>
      <c r="H182" s="40">
        <f t="shared" si="131"/>
        <v>5.669999999999999</v>
      </c>
      <c r="I182" s="40">
        <f t="shared" si="131"/>
        <v>5.669999999999999</v>
      </c>
      <c r="J182" s="40">
        <f t="shared" si="131"/>
        <v>7.5600000000000005</v>
      </c>
      <c r="K182" s="40">
        <f t="shared" si="131"/>
        <v>5.669999999999999</v>
      </c>
      <c r="L182" s="40">
        <f t="shared" si="131"/>
        <v>7.5600000000000005</v>
      </c>
      <c r="M182" s="40">
        <f t="shared" si="131"/>
        <v>7.5600000000000005</v>
      </c>
      <c r="N182" s="40">
        <f t="shared" si="131"/>
        <v>7.5600000000000005</v>
      </c>
      <c r="O182" s="40">
        <f t="shared" si="131"/>
        <v>7.5600000000000005</v>
      </c>
      <c r="P182" s="40">
        <f t="shared" si="131"/>
        <v>7.5600000000000005</v>
      </c>
      <c r="Q182" s="40">
        <f t="shared" si="131"/>
        <v>5.67</v>
      </c>
      <c r="R182" s="40">
        <f t="shared" si="131"/>
        <v>5.669999999999999</v>
      </c>
      <c r="S182" s="40">
        <f t="shared" si="131"/>
        <v>5.669999999999999</v>
      </c>
      <c r="T182" s="40">
        <f t="shared" si="131"/>
        <v>7.5600000000000005</v>
      </c>
      <c r="U182" s="40">
        <f t="shared" si="131"/>
        <v>7.5600000000000005</v>
      </c>
      <c r="V182" s="40">
        <f t="shared" si="131"/>
        <v>9.4500000000000011</v>
      </c>
      <c r="W182" s="40">
        <f t="shared" si="131"/>
        <v>7.5600000000000005</v>
      </c>
      <c r="X182" s="40">
        <f t="shared" si="131"/>
        <v>5.669999999999999</v>
      </c>
      <c r="Y182" s="40">
        <f t="shared" si="131"/>
        <v>9.4500000000000011</v>
      </c>
      <c r="Z182" s="40">
        <f t="shared" si="131"/>
        <v>5.669999999999999</v>
      </c>
      <c r="AA182" s="40">
        <f t="shared" si="131"/>
        <v>5.7600000000000007</v>
      </c>
    </row>
    <row r="183" spans="2:29" x14ac:dyDescent="0.3">
      <c r="B183" s="178"/>
      <c r="C183" s="101"/>
      <c r="D183" s="101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1"/>
      <c r="AA183" s="41"/>
    </row>
    <row r="184" spans="2:29" x14ac:dyDescent="0.3">
      <c r="B184" s="178"/>
      <c r="C184" s="129" t="s">
        <v>38</v>
      </c>
      <c r="D184" s="43">
        <f t="shared" ref="D184:O184" si="132">D180</f>
        <v>4.2</v>
      </c>
      <c r="E184" s="43">
        <f t="shared" si="132"/>
        <v>4.2</v>
      </c>
      <c r="F184" s="43">
        <f t="shared" si="132"/>
        <v>8.4</v>
      </c>
      <c r="G184" s="43">
        <f t="shared" si="132"/>
        <v>4.2</v>
      </c>
      <c r="H184" s="43">
        <f t="shared" si="132"/>
        <v>6.2999999999999989</v>
      </c>
      <c r="I184" s="43">
        <f t="shared" si="132"/>
        <v>6.2999999999999989</v>
      </c>
      <c r="J184" s="43">
        <f t="shared" si="132"/>
        <v>8.4</v>
      </c>
      <c r="K184" s="43">
        <f t="shared" si="132"/>
        <v>6.2999999999999989</v>
      </c>
      <c r="L184" s="43">
        <f t="shared" si="132"/>
        <v>8.4</v>
      </c>
      <c r="M184" s="43">
        <f t="shared" si="132"/>
        <v>8.4</v>
      </c>
      <c r="N184" s="43">
        <f t="shared" si="132"/>
        <v>8.4</v>
      </c>
      <c r="O184" s="43">
        <f t="shared" si="132"/>
        <v>8.4</v>
      </c>
      <c r="P184" s="43">
        <f>P180</f>
        <v>8.4</v>
      </c>
      <c r="Q184" s="43">
        <f t="shared" ref="Q184:AA184" si="133">Q180</f>
        <v>6.3</v>
      </c>
      <c r="R184" s="43">
        <f t="shared" si="133"/>
        <v>6.2999999999999989</v>
      </c>
      <c r="S184" s="43">
        <f t="shared" si="133"/>
        <v>6.2999999999999989</v>
      </c>
      <c r="T184" s="43">
        <f t="shared" si="133"/>
        <v>8.4</v>
      </c>
      <c r="U184" s="43">
        <f t="shared" si="133"/>
        <v>8.4</v>
      </c>
      <c r="V184" s="43">
        <f t="shared" si="133"/>
        <v>10.5</v>
      </c>
      <c r="W184" s="43">
        <f t="shared" si="133"/>
        <v>8.4</v>
      </c>
      <c r="X184" s="43">
        <f t="shared" si="133"/>
        <v>6.2999999999999989</v>
      </c>
      <c r="Y184" s="43">
        <f t="shared" si="133"/>
        <v>10.5</v>
      </c>
      <c r="Z184" s="43">
        <f t="shared" si="133"/>
        <v>6.2999999999999989</v>
      </c>
      <c r="AA184" s="43">
        <f t="shared" si="133"/>
        <v>6.4</v>
      </c>
    </row>
    <row r="185" spans="2:29" x14ac:dyDescent="0.3">
      <c r="B185" s="178"/>
      <c r="C185" s="129" t="s">
        <v>39</v>
      </c>
      <c r="D185" s="127">
        <f>'SIMULAÇÃO CENÁRIOS'!$E$8</f>
        <v>310</v>
      </c>
      <c r="E185" s="127">
        <f>'SIMULAÇÃO CENÁRIOS'!$E$8</f>
        <v>310</v>
      </c>
      <c r="F185" s="127">
        <f>'SIMULAÇÃO CENÁRIOS'!$E$8</f>
        <v>310</v>
      </c>
      <c r="G185" s="127">
        <f>'SIMULAÇÃO CENÁRIOS'!$E$8</f>
        <v>310</v>
      </c>
      <c r="H185" s="127">
        <f>'SIMULAÇÃO CENÁRIOS'!$E$8</f>
        <v>310</v>
      </c>
      <c r="I185" s="127">
        <f>'SIMULAÇÃO CENÁRIOS'!$E$8</f>
        <v>310</v>
      </c>
      <c r="J185" s="127">
        <f>'SIMULAÇÃO CENÁRIOS'!$E$8</f>
        <v>310</v>
      </c>
      <c r="K185" s="127">
        <f>'SIMULAÇÃO CENÁRIOS'!$E$8</f>
        <v>310</v>
      </c>
      <c r="L185" s="127">
        <f>'SIMULAÇÃO CENÁRIOS'!$E$8</f>
        <v>310</v>
      </c>
      <c r="M185" s="127">
        <f>'SIMULAÇÃO CENÁRIOS'!$E$8</f>
        <v>310</v>
      </c>
      <c r="N185" s="127">
        <f>'SIMULAÇÃO CENÁRIOS'!$E$8</f>
        <v>310</v>
      </c>
      <c r="O185" s="127">
        <f>'SIMULAÇÃO CENÁRIOS'!$E$8</f>
        <v>310</v>
      </c>
      <c r="P185" s="127">
        <f>'SIMULAÇÃO CENÁRIOS'!$E$8</f>
        <v>310</v>
      </c>
      <c r="Q185" s="127">
        <f>'SIMULAÇÃO CENÁRIOS'!$E$8</f>
        <v>310</v>
      </c>
      <c r="R185" s="127">
        <f>'SIMULAÇÃO CENÁRIOS'!$E$8</f>
        <v>310</v>
      </c>
      <c r="S185" s="127">
        <f>'SIMULAÇÃO CENÁRIOS'!$E$8</f>
        <v>310</v>
      </c>
      <c r="T185" s="127">
        <f>'SIMULAÇÃO CENÁRIOS'!$E$8</f>
        <v>310</v>
      </c>
      <c r="U185" s="127">
        <f>'SIMULAÇÃO CENÁRIOS'!$E$8</f>
        <v>310</v>
      </c>
      <c r="V185" s="127">
        <f>'SIMULAÇÃO CENÁRIOS'!$E$8</f>
        <v>310</v>
      </c>
      <c r="W185" s="127">
        <f>'SIMULAÇÃO CENÁRIOS'!$E$8</f>
        <v>310</v>
      </c>
      <c r="X185" s="127">
        <f>'SIMULAÇÃO CENÁRIOS'!$E$8</f>
        <v>310</v>
      </c>
      <c r="Y185" s="127">
        <f>'SIMULAÇÃO CENÁRIOS'!$E$8</f>
        <v>310</v>
      </c>
      <c r="Z185" s="127">
        <f>'SIMULAÇÃO CENÁRIOS'!$E$8</f>
        <v>310</v>
      </c>
      <c r="AA185" s="127">
        <f>'SIMULAÇÃO CENÁRIOS'!$E$8</f>
        <v>310</v>
      </c>
    </row>
    <row r="186" spans="2:29" x14ac:dyDescent="0.3">
      <c r="B186" s="178"/>
      <c r="C186" s="129" t="s">
        <v>40</v>
      </c>
      <c r="D186" s="44">
        <f t="shared" ref="D186:O186" si="134">D184*D185/(1-$P$27)</f>
        <v>1783.5616438356165</v>
      </c>
      <c r="E186" s="44">
        <f t="shared" si="134"/>
        <v>1783.5616438356165</v>
      </c>
      <c r="F186" s="44">
        <f t="shared" si="134"/>
        <v>3567.1232876712329</v>
      </c>
      <c r="G186" s="44">
        <f t="shared" si="134"/>
        <v>1783.5616438356165</v>
      </c>
      <c r="H186" s="44">
        <f t="shared" si="134"/>
        <v>2675.3424657534242</v>
      </c>
      <c r="I186" s="44">
        <f t="shared" si="134"/>
        <v>2675.3424657534242</v>
      </c>
      <c r="J186" s="44">
        <f t="shared" si="134"/>
        <v>3567.1232876712329</v>
      </c>
      <c r="K186" s="44">
        <f t="shared" si="134"/>
        <v>2675.3424657534242</v>
      </c>
      <c r="L186" s="44">
        <f t="shared" si="134"/>
        <v>3567.1232876712329</v>
      </c>
      <c r="M186" s="44">
        <f t="shared" si="134"/>
        <v>3567.1232876712329</v>
      </c>
      <c r="N186" s="44">
        <f t="shared" si="134"/>
        <v>3567.1232876712329</v>
      </c>
      <c r="O186" s="44">
        <f t="shared" si="134"/>
        <v>3567.1232876712329</v>
      </c>
      <c r="P186" s="44">
        <f>P184*P185/(1-$P$27)</f>
        <v>3567.1232876712329</v>
      </c>
      <c r="Q186" s="44">
        <f t="shared" ref="Q186:AA186" si="135">Q184*Q185/(1-$P$27)</f>
        <v>2675.3424657534247</v>
      </c>
      <c r="R186" s="44">
        <f t="shared" si="135"/>
        <v>2675.3424657534242</v>
      </c>
      <c r="S186" s="44">
        <f t="shared" si="135"/>
        <v>2675.3424657534242</v>
      </c>
      <c r="T186" s="44">
        <f t="shared" si="135"/>
        <v>3567.1232876712329</v>
      </c>
      <c r="U186" s="44">
        <f t="shared" si="135"/>
        <v>3567.1232876712329</v>
      </c>
      <c r="V186" s="44">
        <f t="shared" si="135"/>
        <v>4458.9041095890416</v>
      </c>
      <c r="W186" s="44">
        <f t="shared" si="135"/>
        <v>3567.1232876712329</v>
      </c>
      <c r="X186" s="44">
        <f t="shared" si="135"/>
        <v>2675.3424657534242</v>
      </c>
      <c r="Y186" s="44">
        <f t="shared" si="135"/>
        <v>4458.9041095890416</v>
      </c>
      <c r="Z186" s="44">
        <f t="shared" si="135"/>
        <v>2675.3424657534242</v>
      </c>
      <c r="AA186" s="44">
        <f t="shared" si="135"/>
        <v>2717.8082191780823</v>
      </c>
    </row>
    <row r="187" spans="2:29" ht="17.25" thickBot="1" x14ac:dyDescent="0.35">
      <c r="B187" s="178"/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1"/>
      <c r="AA187" s="45"/>
    </row>
    <row r="188" spans="2:29" ht="17.25" thickBot="1" x14ac:dyDescent="0.35">
      <c r="B188" s="178"/>
      <c r="C188" s="134" t="s">
        <v>98</v>
      </c>
      <c r="D188" s="46">
        <f t="shared" ref="D188:O188" si="136">+D186+D173+D172</f>
        <v>4564.4998791297348</v>
      </c>
      <c r="E188" s="46">
        <f t="shared" si="136"/>
        <v>4564.4998791297348</v>
      </c>
      <c r="F188" s="46">
        <f t="shared" si="136"/>
        <v>8058.457170024174</v>
      </c>
      <c r="G188" s="46">
        <f t="shared" si="136"/>
        <v>4564.4998791297348</v>
      </c>
      <c r="H188" s="46">
        <f t="shared" si="136"/>
        <v>5713.8086422240131</v>
      </c>
      <c r="I188" s="46">
        <f t="shared" si="136"/>
        <v>5713.8086422240131</v>
      </c>
      <c r="J188" s="46">
        <f t="shared" si="136"/>
        <v>8058.457170024174</v>
      </c>
      <c r="K188" s="46">
        <f t="shared" si="136"/>
        <v>5713.8086422240131</v>
      </c>
      <c r="L188" s="46">
        <f t="shared" si="136"/>
        <v>6863.1174053182922</v>
      </c>
      <c r="M188" s="46">
        <f t="shared" si="136"/>
        <v>8058.457170024174</v>
      </c>
      <c r="N188" s="46">
        <f t="shared" si="136"/>
        <v>6863.1174053182922</v>
      </c>
      <c r="O188" s="46">
        <f t="shared" si="136"/>
        <v>6863.1174053182922</v>
      </c>
      <c r="P188" s="46">
        <f>+P186+P173+P172</f>
        <v>8058.457170024174</v>
      </c>
      <c r="Q188" s="46">
        <f t="shared" ref="Q188:AA188" si="137">+Q186+Q173+Q172</f>
        <v>5713.808642224014</v>
      </c>
      <c r="R188" s="46">
        <f t="shared" si="137"/>
        <v>5713.8086422240131</v>
      </c>
      <c r="S188" s="46">
        <f t="shared" si="137"/>
        <v>5713.8086422240131</v>
      </c>
      <c r="T188" s="46">
        <f t="shared" si="137"/>
        <v>8058.457170024174</v>
      </c>
      <c r="U188" s="46">
        <f t="shared" si="137"/>
        <v>6863.1174053182922</v>
      </c>
      <c r="V188" s="46">
        <f t="shared" si="137"/>
        <v>9207.7659331184532</v>
      </c>
      <c r="W188" s="46">
        <f t="shared" si="137"/>
        <v>6863.1174053182922</v>
      </c>
      <c r="X188" s="46">
        <f t="shared" si="137"/>
        <v>5713.8086422240131</v>
      </c>
      <c r="Y188" s="46">
        <f t="shared" si="137"/>
        <v>9207.7659331184532</v>
      </c>
      <c r="Z188" s="46">
        <f t="shared" si="137"/>
        <v>5713.8086422240131</v>
      </c>
      <c r="AA188" s="46">
        <f t="shared" si="137"/>
        <v>5768.5376309427884</v>
      </c>
      <c r="AC188" s="47">
        <f>SUM(D188:AA188)</f>
        <v>158195.91114907333</v>
      </c>
    </row>
    <row r="189" spans="2:29" x14ac:dyDescent="0.3">
      <c r="B189" s="178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100"/>
    </row>
    <row r="190" spans="2:29" ht="45.75" x14ac:dyDescent="0.3">
      <c r="B190" s="178"/>
      <c r="C190" s="172" t="s">
        <v>99</v>
      </c>
      <c r="D190" s="172"/>
      <c r="E190" s="172"/>
      <c r="F190" s="172"/>
      <c r="G190" s="172"/>
      <c r="H190" s="172"/>
      <c r="I190" s="172"/>
      <c r="J190" s="172"/>
      <c r="K190" s="172"/>
      <c r="L190" s="172"/>
      <c r="M190" s="172"/>
      <c r="N190" s="172"/>
      <c r="O190" s="172"/>
      <c r="P190" s="172"/>
      <c r="Q190" s="172"/>
      <c r="R190" s="172"/>
      <c r="S190" s="172"/>
      <c r="T190" s="172"/>
      <c r="U190" s="172"/>
      <c r="V190" s="172"/>
      <c r="W190" s="172"/>
      <c r="X190" s="172"/>
      <c r="Y190" s="172"/>
      <c r="Z190" s="172"/>
      <c r="AA190" s="173"/>
    </row>
    <row r="191" spans="2:29" x14ac:dyDescent="0.3">
      <c r="B191" s="178"/>
      <c r="C191" s="129" t="s">
        <v>101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3">
        <v>0</v>
      </c>
      <c r="R191" s="43">
        <v>0</v>
      </c>
      <c r="S191" s="43">
        <v>0</v>
      </c>
      <c r="T191" s="43">
        <v>0</v>
      </c>
      <c r="U191" s="43">
        <v>0</v>
      </c>
      <c r="V191" s="43">
        <v>0</v>
      </c>
      <c r="W191" s="43">
        <v>0</v>
      </c>
      <c r="X191" s="43">
        <v>0</v>
      </c>
      <c r="Y191" s="43">
        <v>0</v>
      </c>
      <c r="Z191" s="43">
        <v>0</v>
      </c>
      <c r="AA191" s="43">
        <v>0</v>
      </c>
    </row>
    <row r="192" spans="2:29" x14ac:dyDescent="0.3">
      <c r="B192" s="178"/>
      <c r="C192" s="129" t="s">
        <v>102</v>
      </c>
      <c r="D192" s="17">
        <f t="shared" ref="D192:O192" si="138">D145*D157+D147*D157*2</f>
        <v>4815</v>
      </c>
      <c r="E192" s="17">
        <f t="shared" si="138"/>
        <v>4815</v>
      </c>
      <c r="F192" s="17">
        <f t="shared" si="138"/>
        <v>4815</v>
      </c>
      <c r="G192" s="17">
        <f t="shared" si="138"/>
        <v>4815</v>
      </c>
      <c r="H192" s="17">
        <f t="shared" si="138"/>
        <v>4815</v>
      </c>
      <c r="I192" s="17">
        <f t="shared" si="138"/>
        <v>4815</v>
      </c>
      <c r="J192" s="17">
        <f t="shared" si="138"/>
        <v>4815</v>
      </c>
      <c r="K192" s="17">
        <f t="shared" si="138"/>
        <v>4815</v>
      </c>
      <c r="L192" s="17">
        <f t="shared" si="138"/>
        <v>4815</v>
      </c>
      <c r="M192" s="17">
        <f t="shared" si="138"/>
        <v>4815</v>
      </c>
      <c r="N192" s="17">
        <f t="shared" si="138"/>
        <v>4815</v>
      </c>
      <c r="O192" s="17">
        <f t="shared" si="138"/>
        <v>4815</v>
      </c>
      <c r="P192" s="17">
        <f>P145*P157+P147*P157*2</f>
        <v>4815</v>
      </c>
      <c r="Q192" s="18">
        <f t="shared" ref="Q192:AA192" si="139">Q145*Q157+Q147*Q157*2</f>
        <v>4815</v>
      </c>
      <c r="R192" s="18">
        <f t="shared" si="139"/>
        <v>4815</v>
      </c>
      <c r="S192" s="18">
        <f t="shared" si="139"/>
        <v>4815</v>
      </c>
      <c r="T192" s="18">
        <f t="shared" si="139"/>
        <v>4815</v>
      </c>
      <c r="U192" s="18">
        <f t="shared" si="139"/>
        <v>4815</v>
      </c>
      <c r="V192" s="18">
        <f t="shared" si="139"/>
        <v>4815</v>
      </c>
      <c r="W192" s="18">
        <f t="shared" si="139"/>
        <v>4815</v>
      </c>
      <c r="X192" s="18">
        <f t="shared" si="139"/>
        <v>4815</v>
      </c>
      <c r="Y192" s="18">
        <f t="shared" si="139"/>
        <v>4815</v>
      </c>
      <c r="Z192" s="18">
        <f t="shared" si="139"/>
        <v>4815</v>
      </c>
      <c r="AA192" s="18">
        <f t="shared" si="139"/>
        <v>4815</v>
      </c>
    </row>
    <row r="193" spans="2:29" x14ac:dyDescent="0.3">
      <c r="B193" s="178"/>
      <c r="C193" s="129" t="s">
        <v>103</v>
      </c>
      <c r="D193" s="102">
        <f t="shared" ref="D193:O193" si="140">D148*D158</f>
        <v>0</v>
      </c>
      <c r="E193" s="102">
        <f t="shared" si="140"/>
        <v>0</v>
      </c>
      <c r="F193" s="102">
        <f t="shared" si="140"/>
        <v>2715.2160000000003</v>
      </c>
      <c r="G193" s="102">
        <f t="shared" si="140"/>
        <v>0</v>
      </c>
      <c r="H193" s="102">
        <f t="shared" si="140"/>
        <v>0</v>
      </c>
      <c r="I193" s="102">
        <f t="shared" si="140"/>
        <v>0</v>
      </c>
      <c r="J193" s="102">
        <f t="shared" si="140"/>
        <v>2715.2160000000003</v>
      </c>
      <c r="K193" s="102">
        <f t="shared" si="140"/>
        <v>0</v>
      </c>
      <c r="L193" s="102">
        <f t="shared" si="140"/>
        <v>0</v>
      </c>
      <c r="M193" s="102">
        <f t="shared" si="140"/>
        <v>2715.2160000000003</v>
      </c>
      <c r="N193" s="102">
        <f t="shared" si="140"/>
        <v>0</v>
      </c>
      <c r="O193" s="102">
        <f t="shared" si="140"/>
        <v>0</v>
      </c>
      <c r="P193" s="102">
        <f>P148*P158</f>
        <v>2715.2160000000003</v>
      </c>
      <c r="Q193" s="103">
        <f t="shared" ref="Q193:AA193" si="141">Q148*Q158</f>
        <v>0</v>
      </c>
      <c r="R193" s="103">
        <f t="shared" si="141"/>
        <v>0</v>
      </c>
      <c r="S193" s="103">
        <f t="shared" si="141"/>
        <v>0</v>
      </c>
      <c r="T193" s="103">
        <f t="shared" si="141"/>
        <v>2715.2160000000003</v>
      </c>
      <c r="U193" s="103">
        <f t="shared" si="141"/>
        <v>0</v>
      </c>
      <c r="V193" s="103">
        <f t="shared" si="141"/>
        <v>2715.2160000000003</v>
      </c>
      <c r="W193" s="103">
        <f t="shared" si="141"/>
        <v>0</v>
      </c>
      <c r="X193" s="103">
        <f t="shared" si="141"/>
        <v>0</v>
      </c>
      <c r="Y193" s="103">
        <f t="shared" si="141"/>
        <v>2715.2160000000003</v>
      </c>
      <c r="Z193" s="103">
        <f t="shared" si="141"/>
        <v>0</v>
      </c>
      <c r="AA193" s="103">
        <f t="shared" si="141"/>
        <v>0</v>
      </c>
    </row>
    <row r="194" spans="2:29" x14ac:dyDescent="0.3">
      <c r="B194" s="178"/>
      <c r="C194" s="129" t="s">
        <v>104</v>
      </c>
      <c r="D194" s="17">
        <f t="shared" ref="D194:O194" si="142">D149*D159</f>
        <v>350.238</v>
      </c>
      <c r="E194" s="17">
        <f t="shared" si="142"/>
        <v>350.238</v>
      </c>
      <c r="F194" s="17">
        <f t="shared" si="142"/>
        <v>525.35699999999997</v>
      </c>
      <c r="G194" s="17">
        <f t="shared" si="142"/>
        <v>350.238</v>
      </c>
      <c r="H194" s="17">
        <f t="shared" si="142"/>
        <v>525.35699999999997</v>
      </c>
      <c r="I194" s="17">
        <f t="shared" si="142"/>
        <v>525.35699999999997</v>
      </c>
      <c r="J194" s="17">
        <f t="shared" si="142"/>
        <v>525.35699999999997</v>
      </c>
      <c r="K194" s="17">
        <f t="shared" si="142"/>
        <v>525.35699999999997</v>
      </c>
      <c r="L194" s="17">
        <f t="shared" si="142"/>
        <v>700.476</v>
      </c>
      <c r="M194" s="17">
        <f t="shared" si="142"/>
        <v>525.35699999999997</v>
      </c>
      <c r="N194" s="17">
        <f t="shared" si="142"/>
        <v>700.476</v>
      </c>
      <c r="O194" s="17">
        <f t="shared" si="142"/>
        <v>700.476</v>
      </c>
      <c r="P194" s="17">
        <f>P149*P159</f>
        <v>525.35699999999997</v>
      </c>
      <c r="Q194" s="18">
        <f t="shared" ref="Q194:AA194" si="143">Q149*Q159</f>
        <v>525.35699999999997</v>
      </c>
      <c r="R194" s="18">
        <f t="shared" si="143"/>
        <v>525.35699999999997</v>
      </c>
      <c r="S194" s="18">
        <f t="shared" si="143"/>
        <v>525.35699999999997</v>
      </c>
      <c r="T194" s="18">
        <f t="shared" si="143"/>
        <v>525.35699999999997</v>
      </c>
      <c r="U194" s="18">
        <f t="shared" si="143"/>
        <v>700.476</v>
      </c>
      <c r="V194" s="18">
        <f t="shared" si="143"/>
        <v>700.476</v>
      </c>
      <c r="W194" s="18">
        <f t="shared" si="143"/>
        <v>700.476</v>
      </c>
      <c r="X194" s="18">
        <f t="shared" si="143"/>
        <v>525.35699999999997</v>
      </c>
      <c r="Y194" s="18">
        <f t="shared" si="143"/>
        <v>700.476</v>
      </c>
      <c r="Z194" s="18">
        <f t="shared" si="143"/>
        <v>525.35699999999997</v>
      </c>
      <c r="AA194" s="18">
        <f t="shared" si="143"/>
        <v>533.69600000000003</v>
      </c>
    </row>
    <row r="195" spans="2:29" x14ac:dyDescent="0.3">
      <c r="B195" s="178"/>
      <c r="C195" s="129" t="s">
        <v>105</v>
      </c>
      <c r="D195" s="102">
        <f t="shared" ref="D195:O195" si="144">D148*D160</f>
        <v>0</v>
      </c>
      <c r="E195" s="102">
        <f t="shared" si="144"/>
        <v>0</v>
      </c>
      <c r="F195" s="102">
        <f t="shared" si="144"/>
        <v>883.428</v>
      </c>
      <c r="G195" s="102">
        <f t="shared" si="144"/>
        <v>0</v>
      </c>
      <c r="H195" s="102">
        <f t="shared" si="144"/>
        <v>0</v>
      </c>
      <c r="I195" s="102">
        <f t="shared" si="144"/>
        <v>0</v>
      </c>
      <c r="J195" s="102">
        <f t="shared" si="144"/>
        <v>883.428</v>
      </c>
      <c r="K195" s="102">
        <f t="shared" si="144"/>
        <v>0</v>
      </c>
      <c r="L195" s="102">
        <f t="shared" si="144"/>
        <v>0</v>
      </c>
      <c r="M195" s="102">
        <f t="shared" si="144"/>
        <v>883.428</v>
      </c>
      <c r="N195" s="102">
        <f t="shared" si="144"/>
        <v>0</v>
      </c>
      <c r="O195" s="102">
        <f t="shared" si="144"/>
        <v>0</v>
      </c>
      <c r="P195" s="102">
        <f>P148*P160</f>
        <v>883.428</v>
      </c>
      <c r="Q195" s="103">
        <f t="shared" ref="Q195:AA195" si="145">Q148*Q160</f>
        <v>0</v>
      </c>
      <c r="R195" s="103">
        <f t="shared" si="145"/>
        <v>0</v>
      </c>
      <c r="S195" s="103">
        <f t="shared" si="145"/>
        <v>0</v>
      </c>
      <c r="T195" s="103">
        <f t="shared" si="145"/>
        <v>883.428</v>
      </c>
      <c r="U195" s="103">
        <f t="shared" si="145"/>
        <v>0</v>
      </c>
      <c r="V195" s="103">
        <f t="shared" si="145"/>
        <v>883.428</v>
      </c>
      <c r="W195" s="103">
        <f t="shared" si="145"/>
        <v>0</v>
      </c>
      <c r="X195" s="103">
        <f t="shared" si="145"/>
        <v>0</v>
      </c>
      <c r="Y195" s="103">
        <f t="shared" si="145"/>
        <v>883.428</v>
      </c>
      <c r="Z195" s="103">
        <f t="shared" si="145"/>
        <v>0</v>
      </c>
      <c r="AA195" s="103">
        <f t="shared" si="145"/>
        <v>0</v>
      </c>
    </row>
    <row r="196" spans="2:29" x14ac:dyDescent="0.3">
      <c r="B196" s="178"/>
      <c r="C196" s="129" t="s">
        <v>106</v>
      </c>
      <c r="D196" s="17">
        <f t="shared" ref="D196:O196" si="146">D149*D161</f>
        <v>1056.048</v>
      </c>
      <c r="E196" s="17">
        <f t="shared" si="146"/>
        <v>1056.048</v>
      </c>
      <c r="F196" s="17">
        <f t="shared" si="146"/>
        <v>1584.0719999999999</v>
      </c>
      <c r="G196" s="17">
        <f t="shared" si="146"/>
        <v>1056.048</v>
      </c>
      <c r="H196" s="17">
        <f t="shared" si="146"/>
        <v>1584.0719999999999</v>
      </c>
      <c r="I196" s="17">
        <f t="shared" si="146"/>
        <v>1584.0719999999999</v>
      </c>
      <c r="J196" s="17">
        <f t="shared" si="146"/>
        <v>1584.0719999999999</v>
      </c>
      <c r="K196" s="17">
        <f t="shared" si="146"/>
        <v>1584.0719999999999</v>
      </c>
      <c r="L196" s="17">
        <f t="shared" si="146"/>
        <v>2112.096</v>
      </c>
      <c r="M196" s="17">
        <f t="shared" si="146"/>
        <v>1584.0719999999999</v>
      </c>
      <c r="N196" s="17">
        <f t="shared" si="146"/>
        <v>2112.096</v>
      </c>
      <c r="O196" s="17">
        <f t="shared" si="146"/>
        <v>2112.096</v>
      </c>
      <c r="P196" s="17">
        <f>P149*P161</f>
        <v>1584.0719999999999</v>
      </c>
      <c r="Q196" s="18">
        <f t="shared" ref="Q196:AA196" si="147">Q149*Q161</f>
        <v>1584.0719999999999</v>
      </c>
      <c r="R196" s="18">
        <f t="shared" si="147"/>
        <v>1584.0719999999999</v>
      </c>
      <c r="S196" s="18">
        <f t="shared" si="147"/>
        <v>1584.0719999999999</v>
      </c>
      <c r="T196" s="18">
        <f t="shared" si="147"/>
        <v>1584.0719999999999</v>
      </c>
      <c r="U196" s="18">
        <f t="shared" si="147"/>
        <v>2112.096</v>
      </c>
      <c r="V196" s="18">
        <f t="shared" si="147"/>
        <v>2112.096</v>
      </c>
      <c r="W196" s="18">
        <f t="shared" si="147"/>
        <v>2112.096</v>
      </c>
      <c r="X196" s="18">
        <f t="shared" si="147"/>
        <v>1584.0719999999999</v>
      </c>
      <c r="Y196" s="18">
        <f t="shared" si="147"/>
        <v>2112.096</v>
      </c>
      <c r="Z196" s="18">
        <f t="shared" si="147"/>
        <v>1584.0719999999999</v>
      </c>
      <c r="AA196" s="18">
        <f t="shared" si="147"/>
        <v>1609.2160000000001</v>
      </c>
    </row>
    <row r="197" spans="2:29" x14ac:dyDescent="0.3">
      <c r="B197" s="178"/>
      <c r="C197" s="130" t="s">
        <v>107</v>
      </c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3"/>
      <c r="R197" s="103"/>
      <c r="S197" s="103"/>
      <c r="T197" s="103"/>
      <c r="U197" s="103"/>
      <c r="V197" s="103"/>
      <c r="W197" s="103"/>
      <c r="X197" s="103"/>
      <c r="Y197" s="103"/>
      <c r="Z197" s="103"/>
      <c r="AA197" s="103"/>
    </row>
    <row r="198" spans="2:29" x14ac:dyDescent="0.3">
      <c r="B198" s="178"/>
      <c r="C198" s="130" t="s">
        <v>110</v>
      </c>
      <c r="D198" s="21">
        <f t="shared" ref="D198:O198" si="148">SUM(D191:D197)/(1-SUM(D163:D164))*SUM(D163:D164)</f>
        <v>2927.6640000000002</v>
      </c>
      <c r="E198" s="21">
        <f t="shared" si="148"/>
        <v>2927.6640000000002</v>
      </c>
      <c r="F198" s="21">
        <f t="shared" si="148"/>
        <v>4952.0343529411775</v>
      </c>
      <c r="G198" s="21">
        <f t="shared" si="148"/>
        <v>2927.6640000000002</v>
      </c>
      <c r="H198" s="21">
        <f t="shared" si="148"/>
        <v>3258.5548235294123</v>
      </c>
      <c r="I198" s="21">
        <f t="shared" si="148"/>
        <v>3258.5548235294123</v>
      </c>
      <c r="J198" s="21">
        <f t="shared" si="148"/>
        <v>4952.0343529411775</v>
      </c>
      <c r="K198" s="21">
        <f t="shared" si="148"/>
        <v>3258.5548235294123</v>
      </c>
      <c r="L198" s="21">
        <f t="shared" si="148"/>
        <v>3589.4456470588239</v>
      </c>
      <c r="M198" s="21">
        <f t="shared" si="148"/>
        <v>4952.0343529411775</v>
      </c>
      <c r="N198" s="21">
        <f t="shared" si="148"/>
        <v>3589.4456470588239</v>
      </c>
      <c r="O198" s="21">
        <f t="shared" si="148"/>
        <v>3589.4456470588239</v>
      </c>
      <c r="P198" s="21">
        <f>SUM(P191:P197)/(1-SUM(P163:P164))*SUM(P163:P164)</f>
        <v>4952.0343529411775</v>
      </c>
      <c r="Q198" s="22">
        <f t="shared" ref="Q198:AA198" si="149">SUM(Q191:Q197)/(1-SUM(Q163:Q164))*SUM(Q163:Q164)</f>
        <v>3258.5548235294123</v>
      </c>
      <c r="R198" s="22">
        <f t="shared" si="149"/>
        <v>3258.5548235294123</v>
      </c>
      <c r="S198" s="22">
        <f t="shared" si="149"/>
        <v>3258.5548235294123</v>
      </c>
      <c r="T198" s="22">
        <f t="shared" si="149"/>
        <v>4952.0343529411775</v>
      </c>
      <c r="U198" s="22">
        <f t="shared" si="149"/>
        <v>3589.4456470588239</v>
      </c>
      <c r="V198" s="22">
        <f t="shared" si="149"/>
        <v>5282.9251764705896</v>
      </c>
      <c r="W198" s="22">
        <f t="shared" si="149"/>
        <v>3589.4456470588239</v>
      </c>
      <c r="X198" s="22">
        <f t="shared" si="149"/>
        <v>3258.5548235294123</v>
      </c>
      <c r="Y198" s="22">
        <f t="shared" si="149"/>
        <v>5282.9251764705896</v>
      </c>
      <c r="Z198" s="22">
        <f t="shared" si="149"/>
        <v>3258.5548235294123</v>
      </c>
      <c r="AA198" s="22">
        <f t="shared" si="149"/>
        <v>3274.3115294117652</v>
      </c>
    </row>
    <row r="199" spans="2:29" ht="17.25" thickBot="1" x14ac:dyDescent="0.35">
      <c r="B199" s="178"/>
      <c r="C199" s="101"/>
      <c r="D199" s="101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  <c r="Z199" s="101"/>
      <c r="AA199" s="45"/>
    </row>
    <row r="200" spans="2:29" ht="17.25" thickBot="1" x14ac:dyDescent="0.35">
      <c r="B200" s="178"/>
      <c r="C200" s="134" t="s">
        <v>109</v>
      </c>
      <c r="D200" s="46">
        <f t="shared" ref="D200:O200" si="150">+SUM(D191:D198)</f>
        <v>9148.9500000000007</v>
      </c>
      <c r="E200" s="46">
        <f t="shared" si="150"/>
        <v>9148.9500000000007</v>
      </c>
      <c r="F200" s="46">
        <f t="shared" si="150"/>
        <v>15475.107352941177</v>
      </c>
      <c r="G200" s="46">
        <f t="shared" si="150"/>
        <v>9148.9500000000007</v>
      </c>
      <c r="H200" s="46">
        <f t="shared" si="150"/>
        <v>10182.983823529412</v>
      </c>
      <c r="I200" s="46">
        <f t="shared" si="150"/>
        <v>10182.983823529412</v>
      </c>
      <c r="J200" s="46">
        <f t="shared" si="150"/>
        <v>15475.107352941177</v>
      </c>
      <c r="K200" s="46">
        <f t="shared" si="150"/>
        <v>10182.983823529412</v>
      </c>
      <c r="L200" s="46">
        <f t="shared" si="150"/>
        <v>11217.017647058823</v>
      </c>
      <c r="M200" s="46">
        <f t="shared" si="150"/>
        <v>15475.107352941177</v>
      </c>
      <c r="N200" s="46">
        <f t="shared" si="150"/>
        <v>11217.017647058823</v>
      </c>
      <c r="O200" s="46">
        <f t="shared" si="150"/>
        <v>11217.017647058823</v>
      </c>
      <c r="P200" s="46">
        <f>+SUM(P191:P198)</f>
        <v>15475.107352941177</v>
      </c>
      <c r="Q200" s="46">
        <f t="shared" ref="Q200:AA200" si="151">+SUM(Q191:Q198)</f>
        <v>10182.983823529412</v>
      </c>
      <c r="R200" s="46">
        <f t="shared" si="151"/>
        <v>10182.983823529412</v>
      </c>
      <c r="S200" s="46">
        <f t="shared" si="151"/>
        <v>10182.983823529412</v>
      </c>
      <c r="T200" s="46">
        <f t="shared" si="151"/>
        <v>15475.107352941177</v>
      </c>
      <c r="U200" s="46">
        <f t="shared" si="151"/>
        <v>11217.017647058823</v>
      </c>
      <c r="V200" s="46">
        <f t="shared" si="151"/>
        <v>16509.141176470592</v>
      </c>
      <c r="W200" s="46">
        <f t="shared" si="151"/>
        <v>11217.017647058823</v>
      </c>
      <c r="X200" s="46">
        <f t="shared" si="151"/>
        <v>10182.983823529412</v>
      </c>
      <c r="Y200" s="46">
        <f t="shared" si="151"/>
        <v>16509.141176470592</v>
      </c>
      <c r="Z200" s="46">
        <f t="shared" si="151"/>
        <v>10182.983823529412</v>
      </c>
      <c r="AA200" s="46">
        <f t="shared" si="151"/>
        <v>10232.223529411765</v>
      </c>
      <c r="AC200" s="47">
        <f>SUM(D200:AA200)</f>
        <v>285621.85147058824</v>
      </c>
    </row>
    <row r="201" spans="2:29" ht="17.25" thickBot="1" x14ac:dyDescent="0.35">
      <c r="B201" s="178"/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101"/>
      <c r="AA201" s="41"/>
    </row>
    <row r="202" spans="2:29" ht="17.25" thickBot="1" x14ac:dyDescent="0.35">
      <c r="B202" s="178"/>
      <c r="C202" s="134" t="s">
        <v>111</v>
      </c>
      <c r="D202" s="46">
        <f t="shared" ref="D202:O202" si="152">D200-D188</f>
        <v>4584.4501208702659</v>
      </c>
      <c r="E202" s="46">
        <f t="shared" si="152"/>
        <v>4584.4501208702659</v>
      </c>
      <c r="F202" s="46">
        <f t="shared" si="152"/>
        <v>7416.6501829170029</v>
      </c>
      <c r="G202" s="46">
        <f t="shared" si="152"/>
        <v>4584.4501208702659</v>
      </c>
      <c r="H202" s="46">
        <f t="shared" si="152"/>
        <v>4469.1751813053988</v>
      </c>
      <c r="I202" s="46">
        <f t="shared" si="152"/>
        <v>4469.1751813053988</v>
      </c>
      <c r="J202" s="46">
        <f t="shared" si="152"/>
        <v>7416.6501829170029</v>
      </c>
      <c r="K202" s="46">
        <f t="shared" si="152"/>
        <v>4469.1751813053988</v>
      </c>
      <c r="L202" s="46">
        <f t="shared" si="152"/>
        <v>4353.9002417405309</v>
      </c>
      <c r="M202" s="46">
        <f t="shared" si="152"/>
        <v>7416.6501829170029</v>
      </c>
      <c r="N202" s="46">
        <f t="shared" si="152"/>
        <v>4353.9002417405309</v>
      </c>
      <c r="O202" s="46">
        <f t="shared" si="152"/>
        <v>4353.9002417405309</v>
      </c>
      <c r="P202" s="46">
        <f>P200-P188</f>
        <v>7416.6501829170029</v>
      </c>
      <c r="Q202" s="46">
        <f t="shared" ref="Q202:AA202" si="153">Q200-Q188</f>
        <v>4469.1751813053979</v>
      </c>
      <c r="R202" s="46">
        <f t="shared" si="153"/>
        <v>4469.1751813053988</v>
      </c>
      <c r="S202" s="46">
        <f t="shared" si="153"/>
        <v>4469.1751813053988</v>
      </c>
      <c r="T202" s="46">
        <f t="shared" si="153"/>
        <v>7416.6501829170029</v>
      </c>
      <c r="U202" s="46">
        <f t="shared" si="153"/>
        <v>4353.9002417405309</v>
      </c>
      <c r="V202" s="46">
        <f t="shared" si="153"/>
        <v>7301.3752433521386</v>
      </c>
      <c r="W202" s="46">
        <f t="shared" si="153"/>
        <v>4353.9002417405309</v>
      </c>
      <c r="X202" s="46">
        <f t="shared" si="153"/>
        <v>4469.1751813053988</v>
      </c>
      <c r="Y202" s="46">
        <f t="shared" si="153"/>
        <v>7301.3752433521386</v>
      </c>
      <c r="Z202" s="46">
        <f t="shared" si="153"/>
        <v>4469.1751813053988</v>
      </c>
      <c r="AA202" s="46">
        <f t="shared" si="153"/>
        <v>4463.685898468977</v>
      </c>
      <c r="AC202" s="47">
        <f>AC200-AC188</f>
        <v>127425.94032151491</v>
      </c>
    </row>
    <row r="203" spans="2:29" ht="17.25" thickBot="1" x14ac:dyDescent="0.35">
      <c r="B203" s="179"/>
      <c r="C203" s="134" t="s">
        <v>112</v>
      </c>
      <c r="D203" s="105">
        <f t="shared" ref="D203:O203" si="154">D202/D200</f>
        <v>0.5010903022609442</v>
      </c>
      <c r="E203" s="105">
        <f t="shared" si="154"/>
        <v>0.5010903022609442</v>
      </c>
      <c r="F203" s="105">
        <f t="shared" si="154"/>
        <v>0.47926324604833226</v>
      </c>
      <c r="G203" s="105">
        <f t="shared" si="154"/>
        <v>0.5010903022609442</v>
      </c>
      <c r="H203" s="105">
        <f t="shared" si="154"/>
        <v>0.43888660325460355</v>
      </c>
      <c r="I203" s="105">
        <f t="shared" si="154"/>
        <v>0.43888660325460355</v>
      </c>
      <c r="J203" s="105">
        <f t="shared" si="154"/>
        <v>0.47926324604833226</v>
      </c>
      <c r="K203" s="105">
        <f t="shared" si="154"/>
        <v>0.43888660325460355</v>
      </c>
      <c r="L203" s="105">
        <f t="shared" si="154"/>
        <v>0.38815132317119538</v>
      </c>
      <c r="M203" s="105">
        <f t="shared" si="154"/>
        <v>0.47926324604833226</v>
      </c>
      <c r="N203" s="105">
        <f t="shared" si="154"/>
        <v>0.38815132317119538</v>
      </c>
      <c r="O203" s="105">
        <f t="shared" si="154"/>
        <v>0.38815132317119538</v>
      </c>
      <c r="P203" s="105">
        <f>P202/P200</f>
        <v>0.47926324604833226</v>
      </c>
      <c r="Q203" s="105">
        <f>Q202/Q200</f>
        <v>0.43888660325460344</v>
      </c>
      <c r="R203" s="105">
        <f t="shared" ref="R203:AA203" si="155">R202/R200</f>
        <v>0.43888660325460355</v>
      </c>
      <c r="S203" s="105">
        <f t="shared" si="155"/>
        <v>0.43888660325460355</v>
      </c>
      <c r="T203" s="105">
        <f t="shared" si="155"/>
        <v>0.47926324604833226</v>
      </c>
      <c r="U203" s="105">
        <f t="shared" si="155"/>
        <v>0.38815132317119538</v>
      </c>
      <c r="V203" s="105">
        <f t="shared" si="155"/>
        <v>0.44226257231104882</v>
      </c>
      <c r="W203" s="105">
        <f t="shared" si="155"/>
        <v>0.38815132317119538</v>
      </c>
      <c r="X203" s="105">
        <f t="shared" si="155"/>
        <v>0.43888660325460355</v>
      </c>
      <c r="Y203" s="105">
        <f t="shared" si="155"/>
        <v>0.44226257231104882</v>
      </c>
      <c r="Z203" s="105">
        <f t="shared" si="155"/>
        <v>0.43888660325460355</v>
      </c>
      <c r="AA203" s="105">
        <f t="shared" si="155"/>
        <v>0.436238114388182</v>
      </c>
      <c r="AC203" s="106">
        <f>AC202/AC200</f>
        <v>0.44613512469523547</v>
      </c>
    </row>
    <row r="204" spans="2:29" x14ac:dyDescent="0.3"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"/>
    </row>
    <row r="205" spans="2:29" x14ac:dyDescent="0.3"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"/>
    </row>
    <row r="206" spans="2:29" x14ac:dyDescent="0.3"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"/>
    </row>
    <row r="207" spans="2:29" x14ac:dyDescent="0.3"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"/>
    </row>
    <row r="208" spans="2:29" x14ac:dyDescent="0.3"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"/>
    </row>
    <row r="209" spans="2:27" x14ac:dyDescent="0.3"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"/>
    </row>
    <row r="210" spans="2:27" x14ac:dyDescent="0.3"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"/>
    </row>
    <row r="211" spans="2:27" x14ac:dyDescent="0.3"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"/>
    </row>
    <row r="212" spans="2:27" x14ac:dyDescent="0.3"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"/>
    </row>
    <row r="213" spans="2:27" x14ac:dyDescent="0.3"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"/>
    </row>
    <row r="214" spans="2:27" x14ac:dyDescent="0.3"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"/>
    </row>
    <row r="215" spans="2:27" x14ac:dyDescent="0.3"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"/>
    </row>
    <row r="216" spans="2:27" x14ac:dyDescent="0.3"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"/>
    </row>
    <row r="217" spans="2:27" x14ac:dyDescent="0.3"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"/>
    </row>
    <row r="218" spans="2:27" x14ac:dyDescent="0.3"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"/>
    </row>
    <row r="219" spans="2:27" x14ac:dyDescent="0.3"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"/>
    </row>
    <row r="220" spans="2:27" x14ac:dyDescent="0.3"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"/>
    </row>
    <row r="221" spans="2:27" x14ac:dyDescent="0.3"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"/>
    </row>
    <row r="222" spans="2:27" x14ac:dyDescent="0.3"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"/>
    </row>
    <row r="223" spans="2:27" x14ac:dyDescent="0.3"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"/>
    </row>
    <row r="224" spans="2:27" x14ac:dyDescent="0.3"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"/>
    </row>
    <row r="225" spans="2:27" x14ac:dyDescent="0.3"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"/>
    </row>
    <row r="226" spans="2:27" x14ac:dyDescent="0.3"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"/>
    </row>
    <row r="227" spans="2:27" x14ac:dyDescent="0.3"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"/>
    </row>
    <row r="228" spans="2:27" x14ac:dyDescent="0.3"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"/>
    </row>
    <row r="229" spans="2:27" x14ac:dyDescent="0.3"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"/>
    </row>
    <row r="230" spans="2:27" x14ac:dyDescent="0.3"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"/>
    </row>
    <row r="231" spans="2:27" x14ac:dyDescent="0.3"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"/>
    </row>
    <row r="232" spans="2:27" x14ac:dyDescent="0.3"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"/>
    </row>
    <row r="233" spans="2:27" x14ac:dyDescent="0.3"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"/>
    </row>
    <row r="234" spans="2:27" x14ac:dyDescent="0.3"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"/>
    </row>
    <row r="235" spans="2:27" x14ac:dyDescent="0.3"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"/>
    </row>
    <row r="236" spans="2:27" x14ac:dyDescent="0.3"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"/>
    </row>
    <row r="237" spans="2:27" x14ac:dyDescent="0.3"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"/>
    </row>
    <row r="238" spans="2:27" x14ac:dyDescent="0.3"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"/>
    </row>
    <row r="239" spans="2:27" x14ac:dyDescent="0.3"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"/>
    </row>
    <row r="240" spans="2:27" x14ac:dyDescent="0.3"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"/>
    </row>
    <row r="241" spans="2:27" x14ac:dyDescent="0.3"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"/>
    </row>
    <row r="242" spans="2:27" x14ac:dyDescent="0.3"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"/>
    </row>
    <row r="243" spans="2:27" x14ac:dyDescent="0.3"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"/>
    </row>
    <row r="244" spans="2:27" x14ac:dyDescent="0.3"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"/>
    </row>
    <row r="245" spans="2:27" x14ac:dyDescent="0.3"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"/>
    </row>
    <row r="246" spans="2:27" x14ac:dyDescent="0.3"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"/>
    </row>
    <row r="247" spans="2:27" x14ac:dyDescent="0.3"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"/>
    </row>
    <row r="248" spans="2:27" x14ac:dyDescent="0.3"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"/>
    </row>
    <row r="249" spans="2:27" x14ac:dyDescent="0.3"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"/>
    </row>
    <row r="250" spans="2:27" x14ac:dyDescent="0.3"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"/>
    </row>
    <row r="251" spans="2:27" x14ac:dyDescent="0.3"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"/>
    </row>
    <row r="252" spans="2:27" x14ac:dyDescent="0.3"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"/>
    </row>
    <row r="253" spans="2:27" x14ac:dyDescent="0.3"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"/>
    </row>
    <row r="254" spans="2:27" x14ac:dyDescent="0.3"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"/>
    </row>
    <row r="255" spans="2:27" x14ac:dyDescent="0.3"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"/>
    </row>
    <row r="256" spans="2:27" x14ac:dyDescent="0.3"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"/>
    </row>
    <row r="257" spans="2:27" x14ac:dyDescent="0.3"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"/>
    </row>
    <row r="258" spans="2:27" x14ac:dyDescent="0.3"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"/>
    </row>
    <row r="259" spans="2:27" x14ac:dyDescent="0.3"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"/>
    </row>
    <row r="260" spans="2:27" x14ac:dyDescent="0.3"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"/>
    </row>
    <row r="261" spans="2:27" x14ac:dyDescent="0.3"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"/>
    </row>
    <row r="262" spans="2:27" x14ac:dyDescent="0.3"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"/>
    </row>
    <row r="263" spans="2:27" x14ac:dyDescent="0.3"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"/>
    </row>
    <row r="264" spans="2:27" x14ac:dyDescent="0.3"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"/>
    </row>
    <row r="265" spans="2:27" x14ac:dyDescent="0.3"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"/>
    </row>
    <row r="266" spans="2:27" x14ac:dyDescent="0.3"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"/>
    </row>
    <row r="267" spans="2:27" x14ac:dyDescent="0.3"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"/>
    </row>
    <row r="268" spans="2:27" x14ac:dyDescent="0.3"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"/>
    </row>
    <row r="269" spans="2:27" x14ac:dyDescent="0.3"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"/>
    </row>
    <row r="270" spans="2:27" x14ac:dyDescent="0.3"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"/>
    </row>
    <row r="271" spans="2:27" x14ac:dyDescent="0.3"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"/>
    </row>
    <row r="272" spans="2:27" x14ac:dyDescent="0.3"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"/>
    </row>
    <row r="273" spans="2:27" x14ac:dyDescent="0.3"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"/>
    </row>
    <row r="274" spans="2:27" x14ac:dyDescent="0.3"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"/>
    </row>
    <row r="275" spans="2:27" x14ac:dyDescent="0.3"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"/>
    </row>
    <row r="276" spans="2:27" x14ac:dyDescent="0.3"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"/>
    </row>
    <row r="277" spans="2:27" x14ac:dyDescent="0.3"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"/>
    </row>
    <row r="278" spans="2:27" x14ac:dyDescent="0.3"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"/>
    </row>
    <row r="279" spans="2:27" x14ac:dyDescent="0.3"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"/>
    </row>
    <row r="280" spans="2:27" x14ac:dyDescent="0.3"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"/>
    </row>
    <row r="281" spans="2:27" x14ac:dyDescent="0.3"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"/>
    </row>
    <row r="282" spans="2:27" x14ac:dyDescent="0.3"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"/>
    </row>
    <row r="283" spans="2:27" x14ac:dyDescent="0.3"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"/>
    </row>
    <row r="284" spans="2:27" x14ac:dyDescent="0.3"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"/>
    </row>
    <row r="285" spans="2:27" x14ac:dyDescent="0.3"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"/>
    </row>
    <row r="286" spans="2:27" x14ac:dyDescent="0.3"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"/>
    </row>
    <row r="287" spans="2:27" x14ac:dyDescent="0.3"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"/>
    </row>
    <row r="288" spans="2:27" x14ac:dyDescent="0.3"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"/>
    </row>
    <row r="289" spans="2:27" x14ac:dyDescent="0.3"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"/>
    </row>
    <row r="290" spans="2:27" x14ac:dyDescent="0.3"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"/>
    </row>
    <row r="291" spans="2:27" x14ac:dyDescent="0.3"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"/>
    </row>
    <row r="292" spans="2:27" x14ac:dyDescent="0.3"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"/>
    </row>
    <row r="293" spans="2:27" x14ac:dyDescent="0.3"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"/>
    </row>
    <row r="294" spans="2:27" x14ac:dyDescent="0.3"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"/>
    </row>
    <row r="295" spans="2:27" x14ac:dyDescent="0.3"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"/>
    </row>
    <row r="296" spans="2:27" x14ac:dyDescent="0.3"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"/>
    </row>
    <row r="297" spans="2:27" x14ac:dyDescent="0.3"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"/>
    </row>
    <row r="298" spans="2:27" x14ac:dyDescent="0.3"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"/>
    </row>
    <row r="299" spans="2:27" x14ac:dyDescent="0.3"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"/>
    </row>
    <row r="300" spans="2:27" x14ac:dyDescent="0.3"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"/>
    </row>
    <row r="301" spans="2:27" x14ac:dyDescent="0.3"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"/>
    </row>
    <row r="302" spans="2:27" x14ac:dyDescent="0.3"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"/>
    </row>
    <row r="303" spans="2:27" x14ac:dyDescent="0.3"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"/>
    </row>
    <row r="304" spans="2:27" x14ac:dyDescent="0.3"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"/>
    </row>
    <row r="305" spans="2:27" x14ac:dyDescent="0.3"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"/>
    </row>
    <row r="306" spans="2:27" x14ac:dyDescent="0.3"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"/>
    </row>
    <row r="307" spans="2:27" x14ac:dyDescent="0.3"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"/>
    </row>
    <row r="308" spans="2:27" x14ac:dyDescent="0.3"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"/>
    </row>
    <row r="309" spans="2:27" x14ac:dyDescent="0.3"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"/>
    </row>
    <row r="310" spans="2:27" x14ac:dyDescent="0.3"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"/>
    </row>
    <row r="311" spans="2:27" x14ac:dyDescent="0.3"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"/>
    </row>
    <row r="312" spans="2:27" x14ac:dyDescent="0.3"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"/>
    </row>
    <row r="313" spans="2:27" x14ac:dyDescent="0.3"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"/>
    </row>
    <row r="314" spans="2:27" x14ac:dyDescent="0.3"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"/>
    </row>
    <row r="315" spans="2:27" x14ac:dyDescent="0.3"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"/>
    </row>
    <row r="316" spans="2:27" x14ac:dyDescent="0.3"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"/>
    </row>
    <row r="317" spans="2:27" x14ac:dyDescent="0.3"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"/>
    </row>
    <row r="318" spans="2:27" x14ac:dyDescent="0.3"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"/>
    </row>
    <row r="319" spans="2:27" x14ac:dyDescent="0.3"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"/>
    </row>
    <row r="320" spans="2:27" x14ac:dyDescent="0.3"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"/>
    </row>
    <row r="321" spans="2:27" x14ac:dyDescent="0.3"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"/>
    </row>
    <row r="322" spans="2:27" x14ac:dyDescent="0.3"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"/>
    </row>
    <row r="323" spans="2:27" x14ac:dyDescent="0.3"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"/>
    </row>
    <row r="324" spans="2:27" x14ac:dyDescent="0.3"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"/>
    </row>
    <row r="325" spans="2:27" x14ac:dyDescent="0.3"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"/>
    </row>
    <row r="326" spans="2:27" x14ac:dyDescent="0.3"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"/>
    </row>
    <row r="327" spans="2:27" x14ac:dyDescent="0.3"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"/>
    </row>
    <row r="328" spans="2:27" x14ac:dyDescent="0.3"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"/>
    </row>
    <row r="329" spans="2:27" x14ac:dyDescent="0.3"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"/>
    </row>
    <row r="330" spans="2:27" x14ac:dyDescent="0.3"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"/>
    </row>
    <row r="331" spans="2:27" x14ac:dyDescent="0.3"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"/>
    </row>
    <row r="332" spans="2:27" x14ac:dyDescent="0.3"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"/>
    </row>
    <row r="333" spans="2:27" x14ac:dyDescent="0.3"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"/>
    </row>
    <row r="334" spans="2:27" x14ac:dyDescent="0.3"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"/>
    </row>
    <row r="335" spans="2:27" x14ac:dyDescent="0.3"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"/>
    </row>
    <row r="336" spans="2:27" x14ac:dyDescent="0.3"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"/>
    </row>
    <row r="337" spans="2:27" x14ac:dyDescent="0.3"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"/>
    </row>
    <row r="338" spans="2:27" x14ac:dyDescent="0.3"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"/>
    </row>
    <row r="339" spans="2:27" x14ac:dyDescent="0.3"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"/>
    </row>
    <row r="340" spans="2:27" x14ac:dyDescent="0.3"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"/>
    </row>
    <row r="341" spans="2:27" x14ac:dyDescent="0.3"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"/>
    </row>
    <row r="342" spans="2:27" x14ac:dyDescent="0.3"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"/>
    </row>
    <row r="343" spans="2:27" x14ac:dyDescent="0.3"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"/>
    </row>
    <row r="344" spans="2:27" x14ac:dyDescent="0.3"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"/>
    </row>
    <row r="345" spans="2:27" x14ac:dyDescent="0.3"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"/>
    </row>
    <row r="346" spans="2:27" x14ac:dyDescent="0.3"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"/>
    </row>
    <row r="347" spans="2:27" x14ac:dyDescent="0.3"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"/>
    </row>
    <row r="348" spans="2:27" x14ac:dyDescent="0.3"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"/>
    </row>
    <row r="349" spans="2:27" x14ac:dyDescent="0.3"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"/>
    </row>
    <row r="350" spans="2:27" x14ac:dyDescent="0.3"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"/>
    </row>
    <row r="351" spans="2:27" x14ac:dyDescent="0.3"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"/>
    </row>
    <row r="352" spans="2:27" x14ac:dyDescent="0.3"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"/>
    </row>
    <row r="353" spans="2:27" x14ac:dyDescent="0.3"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"/>
    </row>
    <row r="354" spans="2:27" x14ac:dyDescent="0.3"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"/>
    </row>
    <row r="355" spans="2:27" x14ac:dyDescent="0.3"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"/>
    </row>
    <row r="356" spans="2:27" x14ac:dyDescent="0.3"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"/>
    </row>
    <row r="357" spans="2:27" x14ac:dyDescent="0.3"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"/>
    </row>
    <row r="358" spans="2:27" x14ac:dyDescent="0.3"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"/>
    </row>
    <row r="359" spans="2:27" x14ac:dyDescent="0.3"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"/>
    </row>
    <row r="360" spans="2:27" x14ac:dyDescent="0.3"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"/>
    </row>
    <row r="361" spans="2:27" x14ac:dyDescent="0.3"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"/>
    </row>
    <row r="362" spans="2:27" x14ac:dyDescent="0.3"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"/>
    </row>
    <row r="363" spans="2:27" x14ac:dyDescent="0.3"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"/>
    </row>
    <row r="364" spans="2:27" x14ac:dyDescent="0.3"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"/>
    </row>
    <row r="365" spans="2:27" x14ac:dyDescent="0.3"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"/>
    </row>
    <row r="366" spans="2:27" x14ac:dyDescent="0.3"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"/>
    </row>
    <row r="367" spans="2:27" x14ac:dyDescent="0.3"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"/>
    </row>
    <row r="368" spans="2:27" x14ac:dyDescent="0.3"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"/>
    </row>
    <row r="369" spans="2:27" x14ac:dyDescent="0.3"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"/>
    </row>
    <row r="370" spans="2:27" x14ac:dyDescent="0.3"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"/>
    </row>
    <row r="371" spans="2:27" x14ac:dyDescent="0.3"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"/>
    </row>
    <row r="372" spans="2:27" x14ac:dyDescent="0.3"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"/>
    </row>
    <row r="373" spans="2:27" x14ac:dyDescent="0.3"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"/>
    </row>
    <row r="374" spans="2:27" x14ac:dyDescent="0.3"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"/>
    </row>
    <row r="375" spans="2:27" x14ac:dyDescent="0.3"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"/>
    </row>
    <row r="376" spans="2:27" x14ac:dyDescent="0.3"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"/>
    </row>
    <row r="377" spans="2:27" x14ac:dyDescent="0.3"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"/>
    </row>
    <row r="378" spans="2:27" x14ac:dyDescent="0.3"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"/>
    </row>
    <row r="379" spans="2:27" x14ac:dyDescent="0.3"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"/>
    </row>
    <row r="380" spans="2:27" x14ac:dyDescent="0.3"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"/>
    </row>
    <row r="381" spans="2:27" x14ac:dyDescent="0.3"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"/>
    </row>
    <row r="382" spans="2:27" x14ac:dyDescent="0.3"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"/>
    </row>
    <row r="383" spans="2:27" x14ac:dyDescent="0.3"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"/>
    </row>
    <row r="384" spans="2:27" x14ac:dyDescent="0.3"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"/>
    </row>
    <row r="385" spans="2:27" x14ac:dyDescent="0.3"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"/>
    </row>
    <row r="386" spans="2:27" x14ac:dyDescent="0.3"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"/>
    </row>
    <row r="387" spans="2:27" x14ac:dyDescent="0.3"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"/>
    </row>
    <row r="388" spans="2:27" x14ac:dyDescent="0.3"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"/>
    </row>
    <row r="389" spans="2:27" x14ac:dyDescent="0.3"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"/>
    </row>
    <row r="390" spans="2:27" x14ac:dyDescent="0.3"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"/>
    </row>
    <row r="391" spans="2:27" x14ac:dyDescent="0.3"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"/>
    </row>
    <row r="392" spans="2:27" x14ac:dyDescent="0.3"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"/>
    </row>
    <row r="393" spans="2:27" x14ac:dyDescent="0.3"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"/>
    </row>
    <row r="394" spans="2:27" x14ac:dyDescent="0.3"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"/>
    </row>
    <row r="395" spans="2:27" x14ac:dyDescent="0.3"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"/>
    </row>
    <row r="396" spans="2:27" x14ac:dyDescent="0.3"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"/>
    </row>
    <row r="397" spans="2:27" x14ac:dyDescent="0.3"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"/>
    </row>
    <row r="398" spans="2:27" x14ac:dyDescent="0.3"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"/>
    </row>
    <row r="399" spans="2:27" x14ac:dyDescent="0.3"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"/>
    </row>
    <row r="400" spans="2:27" x14ac:dyDescent="0.3"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"/>
    </row>
    <row r="401" spans="2:27" x14ac:dyDescent="0.3"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"/>
    </row>
    <row r="402" spans="2:27" x14ac:dyDescent="0.3"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"/>
    </row>
    <row r="403" spans="2:27" x14ac:dyDescent="0.3"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"/>
    </row>
    <row r="404" spans="2:27" x14ac:dyDescent="0.3"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"/>
    </row>
    <row r="405" spans="2:27" x14ac:dyDescent="0.3"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"/>
    </row>
    <row r="406" spans="2:27" x14ac:dyDescent="0.3"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"/>
    </row>
    <row r="407" spans="2:27" x14ac:dyDescent="0.3"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"/>
    </row>
    <row r="408" spans="2:27" x14ac:dyDescent="0.3"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"/>
    </row>
    <row r="409" spans="2:27" x14ac:dyDescent="0.3"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"/>
    </row>
    <row r="410" spans="2:27" x14ac:dyDescent="0.3"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"/>
    </row>
    <row r="411" spans="2:27" x14ac:dyDescent="0.3"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"/>
    </row>
    <row r="412" spans="2:27" x14ac:dyDescent="0.3"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"/>
    </row>
    <row r="413" spans="2:27" x14ac:dyDescent="0.3"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"/>
    </row>
    <row r="414" spans="2:27" x14ac:dyDescent="0.3"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"/>
    </row>
    <row r="415" spans="2:27" x14ac:dyDescent="0.3"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"/>
    </row>
    <row r="416" spans="2:27" x14ac:dyDescent="0.3"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"/>
    </row>
    <row r="417" spans="2:27" x14ac:dyDescent="0.3"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"/>
    </row>
    <row r="418" spans="2:27" x14ac:dyDescent="0.3"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"/>
    </row>
    <row r="419" spans="2:27" x14ac:dyDescent="0.3"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"/>
    </row>
    <row r="420" spans="2:27" x14ac:dyDescent="0.3"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"/>
    </row>
    <row r="421" spans="2:27" x14ac:dyDescent="0.3"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"/>
    </row>
    <row r="422" spans="2:27" x14ac:dyDescent="0.3"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"/>
    </row>
    <row r="423" spans="2:27" x14ac:dyDescent="0.3"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"/>
    </row>
    <row r="424" spans="2:27" x14ac:dyDescent="0.3"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"/>
    </row>
    <row r="425" spans="2:27" x14ac:dyDescent="0.3"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"/>
    </row>
    <row r="426" spans="2:27" x14ac:dyDescent="0.3"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"/>
    </row>
    <row r="427" spans="2:27" x14ac:dyDescent="0.3"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"/>
    </row>
    <row r="428" spans="2:27" x14ac:dyDescent="0.3"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"/>
    </row>
    <row r="429" spans="2:27" x14ac:dyDescent="0.3"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"/>
    </row>
    <row r="430" spans="2:27" x14ac:dyDescent="0.3"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"/>
    </row>
    <row r="431" spans="2:27" x14ac:dyDescent="0.3"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"/>
    </row>
    <row r="432" spans="2:27" x14ac:dyDescent="0.3"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"/>
    </row>
    <row r="433" spans="2:27" x14ac:dyDescent="0.3"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"/>
    </row>
    <row r="434" spans="2:27" x14ac:dyDescent="0.3"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"/>
    </row>
    <row r="435" spans="2:27" x14ac:dyDescent="0.3"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"/>
    </row>
    <row r="436" spans="2:27" x14ac:dyDescent="0.3"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"/>
    </row>
    <row r="437" spans="2:27" x14ac:dyDescent="0.3"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"/>
    </row>
    <row r="438" spans="2:27" x14ac:dyDescent="0.3"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"/>
    </row>
    <row r="439" spans="2:27" x14ac:dyDescent="0.3"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"/>
    </row>
    <row r="440" spans="2:27" x14ac:dyDescent="0.3"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"/>
    </row>
    <row r="441" spans="2:27" x14ac:dyDescent="0.3"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"/>
    </row>
    <row r="442" spans="2:27" x14ac:dyDescent="0.3"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"/>
    </row>
    <row r="443" spans="2:27" x14ac:dyDescent="0.3"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"/>
    </row>
    <row r="444" spans="2:27" x14ac:dyDescent="0.3"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"/>
    </row>
    <row r="445" spans="2:27" x14ac:dyDescent="0.3"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"/>
    </row>
    <row r="446" spans="2:27" x14ac:dyDescent="0.3"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"/>
    </row>
    <row r="447" spans="2:27" x14ac:dyDescent="0.3"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"/>
    </row>
    <row r="448" spans="2:27" x14ac:dyDescent="0.3"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"/>
    </row>
    <row r="449" spans="2:27" x14ac:dyDescent="0.3"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"/>
    </row>
    <row r="450" spans="2:27" x14ac:dyDescent="0.3"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"/>
    </row>
    <row r="451" spans="2:27" x14ac:dyDescent="0.3"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"/>
    </row>
    <row r="452" spans="2:27" x14ac:dyDescent="0.3"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"/>
    </row>
    <row r="453" spans="2:27" x14ac:dyDescent="0.3"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"/>
    </row>
    <row r="454" spans="2:27" x14ac:dyDescent="0.3"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"/>
    </row>
    <row r="455" spans="2:27" x14ac:dyDescent="0.3"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"/>
    </row>
    <row r="456" spans="2:27" x14ac:dyDescent="0.3"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"/>
    </row>
    <row r="457" spans="2:27" x14ac:dyDescent="0.3"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"/>
    </row>
    <row r="458" spans="2:27" x14ac:dyDescent="0.3"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"/>
    </row>
    <row r="459" spans="2:27" x14ac:dyDescent="0.3"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"/>
    </row>
    <row r="460" spans="2:27" x14ac:dyDescent="0.3"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"/>
    </row>
    <row r="461" spans="2:27" x14ac:dyDescent="0.3"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"/>
    </row>
    <row r="462" spans="2:27" x14ac:dyDescent="0.3"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"/>
    </row>
    <row r="463" spans="2:27" x14ac:dyDescent="0.3"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"/>
    </row>
    <row r="464" spans="2:27" x14ac:dyDescent="0.3"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"/>
    </row>
    <row r="465" spans="2:27" x14ac:dyDescent="0.3"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"/>
    </row>
    <row r="466" spans="2:27" x14ac:dyDescent="0.3"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"/>
    </row>
    <row r="467" spans="2:27" x14ac:dyDescent="0.3"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"/>
    </row>
    <row r="468" spans="2:27" x14ac:dyDescent="0.3"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"/>
    </row>
    <row r="469" spans="2:27" x14ac:dyDescent="0.3"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"/>
    </row>
    <row r="470" spans="2:27" x14ac:dyDescent="0.3"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"/>
    </row>
    <row r="471" spans="2:27" x14ac:dyDescent="0.3"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"/>
    </row>
    <row r="472" spans="2:27" x14ac:dyDescent="0.3"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"/>
    </row>
    <row r="473" spans="2:27" x14ac:dyDescent="0.3"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"/>
    </row>
    <row r="474" spans="2:27" x14ac:dyDescent="0.3"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"/>
    </row>
    <row r="475" spans="2:27" x14ac:dyDescent="0.3"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"/>
    </row>
    <row r="476" spans="2:27" x14ac:dyDescent="0.3"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"/>
    </row>
    <row r="477" spans="2:27" x14ac:dyDescent="0.3"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"/>
    </row>
    <row r="478" spans="2:27" x14ac:dyDescent="0.3"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"/>
    </row>
    <row r="479" spans="2:27" x14ac:dyDescent="0.3"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"/>
    </row>
    <row r="480" spans="2:27" x14ac:dyDescent="0.3"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"/>
    </row>
    <row r="481" spans="2:27" x14ac:dyDescent="0.3"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"/>
    </row>
    <row r="482" spans="2:27" x14ac:dyDescent="0.3"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"/>
    </row>
    <row r="483" spans="2:27" x14ac:dyDescent="0.3"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"/>
    </row>
    <row r="484" spans="2:27" x14ac:dyDescent="0.3"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"/>
    </row>
    <row r="485" spans="2:27" x14ac:dyDescent="0.3"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"/>
    </row>
    <row r="486" spans="2:27" x14ac:dyDescent="0.3"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"/>
    </row>
    <row r="487" spans="2:27" x14ac:dyDescent="0.3"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"/>
    </row>
    <row r="488" spans="2:27" x14ac:dyDescent="0.3"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"/>
    </row>
    <row r="489" spans="2:27" x14ac:dyDescent="0.3"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"/>
    </row>
    <row r="490" spans="2:27" x14ac:dyDescent="0.3"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"/>
    </row>
    <row r="491" spans="2:27" x14ac:dyDescent="0.3"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"/>
    </row>
    <row r="492" spans="2:27" x14ac:dyDescent="0.3"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"/>
    </row>
    <row r="493" spans="2:27" x14ac:dyDescent="0.3"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"/>
    </row>
    <row r="494" spans="2:27" x14ac:dyDescent="0.3"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"/>
    </row>
    <row r="495" spans="2:27" x14ac:dyDescent="0.3"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"/>
    </row>
    <row r="496" spans="2:27" x14ac:dyDescent="0.3"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"/>
    </row>
    <row r="497" spans="2:27" x14ac:dyDescent="0.3"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"/>
    </row>
    <row r="498" spans="2:27" x14ac:dyDescent="0.3"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"/>
    </row>
    <row r="499" spans="2:27" x14ac:dyDescent="0.3"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"/>
    </row>
    <row r="500" spans="2:27" x14ac:dyDescent="0.3"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"/>
    </row>
    <row r="501" spans="2:27" x14ac:dyDescent="0.3"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"/>
    </row>
    <row r="502" spans="2:27" x14ac:dyDescent="0.3"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"/>
    </row>
    <row r="503" spans="2:27" x14ac:dyDescent="0.3"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"/>
    </row>
    <row r="504" spans="2:27" x14ac:dyDescent="0.3"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"/>
    </row>
    <row r="505" spans="2:27" x14ac:dyDescent="0.3"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"/>
    </row>
    <row r="506" spans="2:27" x14ac:dyDescent="0.3"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"/>
    </row>
    <row r="507" spans="2:27" x14ac:dyDescent="0.3"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"/>
    </row>
    <row r="508" spans="2:27" x14ac:dyDescent="0.3"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"/>
    </row>
    <row r="509" spans="2:27" x14ac:dyDescent="0.3"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"/>
    </row>
    <row r="510" spans="2:27" x14ac:dyDescent="0.3"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"/>
    </row>
    <row r="511" spans="2:27" x14ac:dyDescent="0.3"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"/>
    </row>
    <row r="512" spans="2:27" x14ac:dyDescent="0.3"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"/>
    </row>
    <row r="513" spans="2:27" x14ac:dyDescent="0.3"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"/>
    </row>
    <row r="514" spans="2:27" x14ac:dyDescent="0.3"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"/>
    </row>
    <row r="515" spans="2:27" x14ac:dyDescent="0.3"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"/>
    </row>
    <row r="516" spans="2:27" x14ac:dyDescent="0.3"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"/>
    </row>
    <row r="517" spans="2:27" x14ac:dyDescent="0.3"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"/>
    </row>
    <row r="518" spans="2:27" x14ac:dyDescent="0.3"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"/>
    </row>
    <row r="519" spans="2:27" x14ac:dyDescent="0.3"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"/>
    </row>
    <row r="520" spans="2:27" x14ac:dyDescent="0.3"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"/>
    </row>
    <row r="521" spans="2:27" x14ac:dyDescent="0.3"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"/>
    </row>
    <row r="522" spans="2:27" x14ac:dyDescent="0.3"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"/>
    </row>
    <row r="523" spans="2:27" x14ac:dyDescent="0.3"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"/>
    </row>
    <row r="524" spans="2:27" x14ac:dyDescent="0.3"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"/>
    </row>
    <row r="525" spans="2:27" x14ac:dyDescent="0.3"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"/>
    </row>
    <row r="526" spans="2:27" x14ac:dyDescent="0.3"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"/>
    </row>
    <row r="527" spans="2:27" x14ac:dyDescent="0.3"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"/>
    </row>
    <row r="528" spans="2:27" x14ac:dyDescent="0.3"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"/>
    </row>
    <row r="529" spans="2:27" x14ac:dyDescent="0.3"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"/>
    </row>
    <row r="530" spans="2:27" x14ac:dyDescent="0.3"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"/>
    </row>
    <row r="531" spans="2:27" x14ac:dyDescent="0.3"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"/>
    </row>
    <row r="532" spans="2:27" x14ac:dyDescent="0.3"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"/>
    </row>
    <row r="533" spans="2:27" x14ac:dyDescent="0.3"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"/>
    </row>
    <row r="534" spans="2:27" x14ac:dyDescent="0.3"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"/>
    </row>
    <row r="535" spans="2:27" x14ac:dyDescent="0.3"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"/>
    </row>
    <row r="536" spans="2:27" x14ac:dyDescent="0.3"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"/>
    </row>
    <row r="537" spans="2:27" x14ac:dyDescent="0.3"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"/>
    </row>
    <row r="538" spans="2:27" x14ac:dyDescent="0.3"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"/>
    </row>
    <row r="539" spans="2:27" x14ac:dyDescent="0.3"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"/>
    </row>
    <row r="540" spans="2:27" x14ac:dyDescent="0.3"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"/>
    </row>
    <row r="541" spans="2:27" x14ac:dyDescent="0.3"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"/>
    </row>
    <row r="542" spans="2:27" x14ac:dyDescent="0.3"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"/>
    </row>
    <row r="543" spans="2:27" x14ac:dyDescent="0.3"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"/>
    </row>
    <row r="544" spans="2:27" x14ac:dyDescent="0.3"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"/>
    </row>
    <row r="545" spans="2:27" x14ac:dyDescent="0.3"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"/>
    </row>
    <row r="546" spans="2:27" x14ac:dyDescent="0.3"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"/>
    </row>
    <row r="547" spans="2:27" x14ac:dyDescent="0.3"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"/>
    </row>
    <row r="548" spans="2:27" x14ac:dyDescent="0.3"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"/>
    </row>
    <row r="549" spans="2:27" x14ac:dyDescent="0.3"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"/>
    </row>
    <row r="550" spans="2:27" x14ac:dyDescent="0.3"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"/>
    </row>
    <row r="551" spans="2:27" x14ac:dyDescent="0.3"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"/>
    </row>
    <row r="552" spans="2:27" x14ac:dyDescent="0.3"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"/>
    </row>
    <row r="553" spans="2:27" x14ac:dyDescent="0.3"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"/>
    </row>
    <row r="554" spans="2:27" x14ac:dyDescent="0.3"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"/>
    </row>
    <row r="555" spans="2:27" x14ac:dyDescent="0.3"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"/>
    </row>
    <row r="556" spans="2:27" x14ac:dyDescent="0.3"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"/>
    </row>
    <row r="557" spans="2:27" x14ac:dyDescent="0.3"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"/>
    </row>
    <row r="558" spans="2:27" x14ac:dyDescent="0.3"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"/>
    </row>
    <row r="559" spans="2:27" x14ac:dyDescent="0.3"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"/>
    </row>
    <row r="560" spans="2:27" x14ac:dyDescent="0.3"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"/>
    </row>
    <row r="561" spans="2:27" x14ac:dyDescent="0.3"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"/>
    </row>
    <row r="562" spans="2:27" x14ac:dyDescent="0.3"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"/>
    </row>
    <row r="563" spans="2:27" x14ac:dyDescent="0.3"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"/>
    </row>
    <row r="564" spans="2:27" x14ac:dyDescent="0.3"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"/>
    </row>
    <row r="565" spans="2:27" x14ac:dyDescent="0.3"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"/>
    </row>
    <row r="566" spans="2:27" x14ac:dyDescent="0.3"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"/>
    </row>
    <row r="567" spans="2:27" x14ac:dyDescent="0.3"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"/>
    </row>
    <row r="568" spans="2:27" x14ac:dyDescent="0.3"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"/>
    </row>
    <row r="569" spans="2:27" x14ac:dyDescent="0.3"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"/>
    </row>
    <row r="570" spans="2:27" x14ac:dyDescent="0.3"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"/>
    </row>
    <row r="571" spans="2:27" x14ac:dyDescent="0.3"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"/>
    </row>
    <row r="671" spans="2:27" x14ac:dyDescent="0.3"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"/>
    </row>
    <row r="672" spans="2:27" x14ac:dyDescent="0.3"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"/>
    </row>
    <row r="673" spans="2:27" x14ac:dyDescent="0.3"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"/>
    </row>
    <row r="674" spans="2:27" x14ac:dyDescent="0.3"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"/>
    </row>
    <row r="675" spans="2:27" x14ac:dyDescent="0.3"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"/>
    </row>
    <row r="676" spans="2:27" x14ac:dyDescent="0.3"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"/>
    </row>
    <row r="677" spans="2:27" x14ac:dyDescent="0.3"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"/>
    </row>
    <row r="678" spans="2:27" x14ac:dyDescent="0.3"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"/>
    </row>
    <row r="679" spans="2:27" x14ac:dyDescent="0.3"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"/>
    </row>
    <row r="680" spans="2:27" x14ac:dyDescent="0.3"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"/>
    </row>
    <row r="681" spans="2:27" x14ac:dyDescent="0.3"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"/>
    </row>
    <row r="682" spans="2:27" x14ac:dyDescent="0.3"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"/>
    </row>
    <row r="683" spans="2:27" x14ac:dyDescent="0.3"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"/>
    </row>
    <row r="684" spans="2:27" x14ac:dyDescent="0.3"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"/>
    </row>
    <row r="685" spans="2:27" x14ac:dyDescent="0.3"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"/>
    </row>
    <row r="686" spans="2:27" x14ac:dyDescent="0.3"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"/>
    </row>
    <row r="687" spans="2:27" x14ac:dyDescent="0.3"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"/>
    </row>
    <row r="688" spans="2:27" x14ac:dyDescent="0.3"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"/>
    </row>
    <row r="689" spans="2:27" x14ac:dyDescent="0.3"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"/>
    </row>
    <row r="690" spans="2:27" x14ac:dyDescent="0.3"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"/>
    </row>
    <row r="691" spans="2:27" x14ac:dyDescent="0.3"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"/>
    </row>
    <row r="692" spans="2:27" x14ac:dyDescent="0.3"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"/>
    </row>
    <row r="693" spans="2:27" x14ac:dyDescent="0.3"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"/>
    </row>
    <row r="694" spans="2:27" x14ac:dyDescent="0.3"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"/>
    </row>
    <row r="695" spans="2:27" x14ac:dyDescent="0.3"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"/>
    </row>
    <row r="696" spans="2:27" x14ac:dyDescent="0.3"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"/>
    </row>
    <row r="697" spans="2:27" x14ac:dyDescent="0.3"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"/>
    </row>
    <row r="698" spans="2:27" x14ac:dyDescent="0.3"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"/>
    </row>
    <row r="699" spans="2:27" x14ac:dyDescent="0.3"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"/>
    </row>
    <row r="700" spans="2:27" x14ac:dyDescent="0.3"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"/>
    </row>
    <row r="701" spans="2:27" x14ac:dyDescent="0.3"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"/>
    </row>
    <row r="702" spans="2:27" x14ac:dyDescent="0.3"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"/>
    </row>
    <row r="703" spans="2:27" x14ac:dyDescent="0.3"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"/>
    </row>
    <row r="704" spans="2:27" x14ac:dyDescent="0.3"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"/>
    </row>
    <row r="705" spans="2:27" x14ac:dyDescent="0.3"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"/>
    </row>
    <row r="706" spans="2:27" x14ac:dyDescent="0.3"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"/>
    </row>
    <row r="707" spans="2:27" x14ac:dyDescent="0.3"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"/>
    </row>
    <row r="708" spans="2:27" x14ac:dyDescent="0.3"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"/>
    </row>
    <row r="709" spans="2:27" x14ac:dyDescent="0.3"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"/>
    </row>
    <row r="710" spans="2:27" x14ac:dyDescent="0.3"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"/>
    </row>
    <row r="711" spans="2:27" x14ac:dyDescent="0.3"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"/>
    </row>
    <row r="712" spans="2:27" x14ac:dyDescent="0.3"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"/>
    </row>
    <row r="713" spans="2:27" x14ac:dyDescent="0.3"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"/>
    </row>
    <row r="714" spans="2:27" x14ac:dyDescent="0.3"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"/>
    </row>
    <row r="715" spans="2:27" x14ac:dyDescent="0.3"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"/>
    </row>
    <row r="716" spans="2:27" x14ac:dyDescent="0.3"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"/>
    </row>
    <row r="717" spans="2:27" x14ac:dyDescent="0.3"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"/>
    </row>
    <row r="718" spans="2:27" x14ac:dyDescent="0.3"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"/>
    </row>
    <row r="719" spans="2:27" x14ac:dyDescent="0.3"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"/>
    </row>
    <row r="720" spans="2:27" x14ac:dyDescent="0.3"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"/>
    </row>
    <row r="721" spans="2:27" x14ac:dyDescent="0.3"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"/>
    </row>
    <row r="722" spans="2:27" x14ac:dyDescent="0.3"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"/>
    </row>
    <row r="723" spans="2:27" x14ac:dyDescent="0.3"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"/>
    </row>
    <row r="724" spans="2:27" x14ac:dyDescent="0.3"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"/>
    </row>
    <row r="725" spans="2:27" x14ac:dyDescent="0.3"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"/>
    </row>
    <row r="726" spans="2:27" x14ac:dyDescent="0.3"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"/>
    </row>
    <row r="727" spans="2:27" x14ac:dyDescent="0.3"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"/>
    </row>
    <row r="728" spans="2:27" x14ac:dyDescent="0.3"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"/>
    </row>
    <row r="729" spans="2:27" x14ac:dyDescent="0.3"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"/>
    </row>
    <row r="730" spans="2:27" x14ac:dyDescent="0.3"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"/>
    </row>
    <row r="731" spans="2:27" x14ac:dyDescent="0.3"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"/>
    </row>
    <row r="732" spans="2:27" x14ac:dyDescent="0.3"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"/>
    </row>
    <row r="733" spans="2:27" x14ac:dyDescent="0.3"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"/>
    </row>
    <row r="734" spans="2:27" x14ac:dyDescent="0.3"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"/>
    </row>
    <row r="735" spans="2:27" x14ac:dyDescent="0.3"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"/>
    </row>
    <row r="736" spans="2:27" x14ac:dyDescent="0.3"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"/>
    </row>
    <row r="737" spans="2:27" x14ac:dyDescent="0.3"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"/>
    </row>
    <row r="738" spans="2:27" x14ac:dyDescent="0.3"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"/>
    </row>
    <row r="739" spans="2:27" x14ac:dyDescent="0.3"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"/>
    </row>
    <row r="740" spans="2:27" x14ac:dyDescent="0.3"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"/>
    </row>
    <row r="741" spans="2:27" x14ac:dyDescent="0.3">
      <c r="AA741" s="4"/>
    </row>
    <row r="742" spans="2:27" x14ac:dyDescent="0.3">
      <c r="AA742" s="4"/>
    </row>
    <row r="743" spans="2:27" x14ac:dyDescent="0.3">
      <c r="AA743" s="4"/>
    </row>
    <row r="744" spans="2:27" x14ac:dyDescent="0.3">
      <c r="AA744" s="4"/>
    </row>
    <row r="745" spans="2:27" x14ac:dyDescent="0.3">
      <c r="AA745" s="4"/>
    </row>
    <row r="746" spans="2:27" x14ac:dyDescent="0.3">
      <c r="AA746" s="4"/>
    </row>
    <row r="747" spans="2:27" x14ac:dyDescent="0.3">
      <c r="AA747" s="4"/>
    </row>
    <row r="748" spans="2:27" x14ac:dyDescent="0.3">
      <c r="AA748" s="4"/>
    </row>
    <row r="749" spans="2:27" x14ac:dyDescent="0.3">
      <c r="AA749" s="4"/>
    </row>
    <row r="750" spans="2:27" x14ac:dyDescent="0.3">
      <c r="AA750" s="4"/>
    </row>
    <row r="751" spans="2:27" x14ac:dyDescent="0.3">
      <c r="AA751" s="4"/>
    </row>
    <row r="752" spans="2:27" x14ac:dyDescent="0.3">
      <c r="AA752" s="4"/>
    </row>
    <row r="753" spans="27:27" x14ac:dyDescent="0.3">
      <c r="AA753" s="4"/>
    </row>
    <row r="754" spans="27:27" x14ac:dyDescent="0.3">
      <c r="AA754" s="4"/>
    </row>
    <row r="755" spans="27:27" x14ac:dyDescent="0.3">
      <c r="AA755" s="4"/>
    </row>
    <row r="756" spans="27:27" x14ac:dyDescent="0.3">
      <c r="AA756" s="4"/>
    </row>
    <row r="757" spans="27:27" x14ac:dyDescent="0.3">
      <c r="AA757" s="4"/>
    </row>
    <row r="758" spans="27:27" x14ac:dyDescent="0.3">
      <c r="AA758" s="4"/>
    </row>
    <row r="759" spans="27:27" x14ac:dyDescent="0.3">
      <c r="AA759" s="4"/>
    </row>
    <row r="760" spans="27:27" x14ac:dyDescent="0.3">
      <c r="AA760" s="4"/>
    </row>
    <row r="761" spans="27:27" x14ac:dyDescent="0.3">
      <c r="AA761" s="4"/>
    </row>
    <row r="762" spans="27:27" x14ac:dyDescent="0.3">
      <c r="AA762" s="4"/>
    </row>
    <row r="763" spans="27:27" x14ac:dyDescent="0.3">
      <c r="AA763" s="4"/>
    </row>
    <row r="764" spans="27:27" x14ac:dyDescent="0.3">
      <c r="AA764" s="4"/>
    </row>
    <row r="765" spans="27:27" x14ac:dyDescent="0.3">
      <c r="AA765" s="4"/>
    </row>
    <row r="766" spans="27:27" x14ac:dyDescent="0.3">
      <c r="AA766" s="4"/>
    </row>
    <row r="767" spans="27:27" x14ac:dyDescent="0.3">
      <c r="AA767" s="4"/>
    </row>
    <row r="768" spans="27:27" x14ac:dyDescent="0.3">
      <c r="AA768" s="4"/>
    </row>
    <row r="769" spans="27:27" x14ac:dyDescent="0.3">
      <c r="AA769" s="4"/>
    </row>
    <row r="770" spans="27:27" x14ac:dyDescent="0.3">
      <c r="AA770" s="4"/>
    </row>
    <row r="771" spans="27:27" x14ac:dyDescent="0.3">
      <c r="AA771" s="4"/>
    </row>
    <row r="772" spans="27:27" x14ac:dyDescent="0.3">
      <c r="AA772" s="4"/>
    </row>
    <row r="773" spans="27:27" x14ac:dyDescent="0.3">
      <c r="AA773" s="4"/>
    </row>
    <row r="774" spans="27:27" x14ac:dyDescent="0.3">
      <c r="AA774" s="4"/>
    </row>
    <row r="775" spans="27:27" x14ac:dyDescent="0.3">
      <c r="AA775" s="4"/>
    </row>
    <row r="776" spans="27:27" x14ac:dyDescent="0.3">
      <c r="AA776" s="4"/>
    </row>
    <row r="777" spans="27:27" x14ac:dyDescent="0.3">
      <c r="AA777" s="4"/>
    </row>
    <row r="778" spans="27:27" x14ac:dyDescent="0.3">
      <c r="AA778" s="4"/>
    </row>
    <row r="779" spans="27:27" x14ac:dyDescent="0.3">
      <c r="AA779" s="4"/>
    </row>
    <row r="780" spans="27:27" x14ac:dyDescent="0.3">
      <c r="AA780" s="4"/>
    </row>
    <row r="781" spans="27:27" x14ac:dyDescent="0.3">
      <c r="AA781" s="4"/>
    </row>
    <row r="782" spans="27:27" x14ac:dyDescent="0.3">
      <c r="AA782" s="4"/>
    </row>
    <row r="783" spans="27:27" x14ac:dyDescent="0.3">
      <c r="AA783" s="4"/>
    </row>
    <row r="784" spans="27:27" x14ac:dyDescent="0.3">
      <c r="AA784" s="4"/>
    </row>
    <row r="785" spans="27:27" x14ac:dyDescent="0.3">
      <c r="AA785" s="4"/>
    </row>
    <row r="786" spans="27:27" x14ac:dyDescent="0.3">
      <c r="AA786" s="4"/>
    </row>
    <row r="787" spans="27:27" x14ac:dyDescent="0.3">
      <c r="AA787" s="4"/>
    </row>
    <row r="788" spans="27:27" x14ac:dyDescent="0.3">
      <c r="AA788" s="4"/>
    </row>
    <row r="789" spans="27:27" x14ac:dyDescent="0.3">
      <c r="AA789" s="4"/>
    </row>
    <row r="790" spans="27:27" x14ac:dyDescent="0.3">
      <c r="AA790" s="4"/>
    </row>
    <row r="791" spans="27:27" x14ac:dyDescent="0.3">
      <c r="AA791" s="4"/>
    </row>
    <row r="792" spans="27:27" x14ac:dyDescent="0.3">
      <c r="AA792" s="4"/>
    </row>
    <row r="793" spans="27:27" x14ac:dyDescent="0.3">
      <c r="AA793" s="4"/>
    </row>
    <row r="794" spans="27:27" x14ac:dyDescent="0.3">
      <c r="AA794" s="4"/>
    </row>
    <row r="795" spans="27:27" x14ac:dyDescent="0.3">
      <c r="AA795" s="4"/>
    </row>
    <row r="796" spans="27:27" x14ac:dyDescent="0.3">
      <c r="AA796" s="4"/>
    </row>
    <row r="797" spans="27:27" x14ac:dyDescent="0.3">
      <c r="AA797" s="4"/>
    </row>
    <row r="798" spans="27:27" x14ac:dyDescent="0.3">
      <c r="AA798" s="4"/>
    </row>
    <row r="799" spans="27:27" x14ac:dyDescent="0.3">
      <c r="AA799" s="4"/>
    </row>
    <row r="800" spans="27:27" x14ac:dyDescent="0.3">
      <c r="AA800" s="4"/>
    </row>
    <row r="801" spans="27:27" x14ac:dyDescent="0.3">
      <c r="AA801" s="4"/>
    </row>
    <row r="802" spans="27:27" x14ac:dyDescent="0.3">
      <c r="AA802" s="4"/>
    </row>
    <row r="803" spans="27:27" x14ac:dyDescent="0.3">
      <c r="AA803" s="4"/>
    </row>
    <row r="804" spans="27:27" x14ac:dyDescent="0.3">
      <c r="AA804" s="4"/>
    </row>
    <row r="805" spans="27:27" x14ac:dyDescent="0.3">
      <c r="AA805" s="4"/>
    </row>
    <row r="806" spans="27:27" x14ac:dyDescent="0.3">
      <c r="AA806" s="4"/>
    </row>
    <row r="807" spans="27:27" x14ac:dyDescent="0.3">
      <c r="AA807" s="4"/>
    </row>
    <row r="808" spans="27:27" x14ac:dyDescent="0.3">
      <c r="AA808" s="4"/>
    </row>
    <row r="809" spans="27:27" x14ac:dyDescent="0.3">
      <c r="AA809" s="4"/>
    </row>
    <row r="810" spans="27:27" x14ac:dyDescent="0.3">
      <c r="AA810" s="4"/>
    </row>
    <row r="811" spans="27:27" x14ac:dyDescent="0.3">
      <c r="AA811" s="4"/>
    </row>
    <row r="812" spans="27:27" x14ac:dyDescent="0.3">
      <c r="AA812" s="4"/>
    </row>
    <row r="813" spans="27:27" x14ac:dyDescent="0.3">
      <c r="AA813" s="4"/>
    </row>
    <row r="814" spans="27:27" x14ac:dyDescent="0.3">
      <c r="AA814" s="4"/>
    </row>
    <row r="815" spans="27:27" x14ac:dyDescent="0.3">
      <c r="AA815" s="4"/>
    </row>
    <row r="816" spans="27:27" x14ac:dyDescent="0.3">
      <c r="AA816" s="4"/>
    </row>
    <row r="817" spans="27:27" x14ac:dyDescent="0.3">
      <c r="AA817" s="4"/>
    </row>
    <row r="818" spans="27:27" x14ac:dyDescent="0.3">
      <c r="AA818" s="4"/>
    </row>
    <row r="819" spans="27:27" x14ac:dyDescent="0.3">
      <c r="AA819" s="4"/>
    </row>
    <row r="820" spans="27:27" x14ac:dyDescent="0.3">
      <c r="AA820" s="4"/>
    </row>
    <row r="821" spans="27:27" x14ac:dyDescent="0.3">
      <c r="AA821" s="4"/>
    </row>
    <row r="822" spans="27:27" x14ac:dyDescent="0.3">
      <c r="AA822" s="4"/>
    </row>
    <row r="823" spans="27:27" x14ac:dyDescent="0.3">
      <c r="AA823" s="4"/>
    </row>
    <row r="824" spans="27:27" x14ac:dyDescent="0.3">
      <c r="AA824" s="4"/>
    </row>
    <row r="825" spans="27:27" x14ac:dyDescent="0.3">
      <c r="AA825" s="4"/>
    </row>
    <row r="826" spans="27:27" x14ac:dyDescent="0.3">
      <c r="AA826" s="4"/>
    </row>
    <row r="827" spans="27:27" x14ac:dyDescent="0.3">
      <c r="AA827" s="4"/>
    </row>
    <row r="828" spans="27:27" x14ac:dyDescent="0.3">
      <c r="AA828" s="4"/>
    </row>
    <row r="829" spans="27:27" x14ac:dyDescent="0.3">
      <c r="AA829" s="4"/>
    </row>
    <row r="830" spans="27:27" x14ac:dyDescent="0.3">
      <c r="AA830" s="4"/>
    </row>
    <row r="831" spans="27:27" x14ac:dyDescent="0.3">
      <c r="AA831" s="4"/>
    </row>
    <row r="832" spans="27:27" x14ac:dyDescent="0.3">
      <c r="AA832" s="4"/>
    </row>
    <row r="833" spans="27:27" x14ac:dyDescent="0.3">
      <c r="AA833" s="4"/>
    </row>
    <row r="834" spans="27:27" x14ac:dyDescent="0.3">
      <c r="AA834" s="4"/>
    </row>
    <row r="835" spans="27:27" x14ac:dyDescent="0.3">
      <c r="AA835" s="4"/>
    </row>
    <row r="836" spans="27:27" x14ac:dyDescent="0.3">
      <c r="AA836" s="4"/>
    </row>
    <row r="837" spans="27:27" x14ac:dyDescent="0.3">
      <c r="AA837" s="4"/>
    </row>
    <row r="838" spans="27:27" x14ac:dyDescent="0.3">
      <c r="AA838" s="4"/>
    </row>
    <row r="839" spans="27:27" x14ac:dyDescent="0.3">
      <c r="AA839" s="4"/>
    </row>
    <row r="840" spans="27:27" x14ac:dyDescent="0.3">
      <c r="AA840" s="4"/>
    </row>
    <row r="841" spans="27:27" x14ac:dyDescent="0.3">
      <c r="AA841" s="4"/>
    </row>
    <row r="842" spans="27:27" x14ac:dyDescent="0.3">
      <c r="AA842" s="4"/>
    </row>
    <row r="843" spans="27:27" x14ac:dyDescent="0.3">
      <c r="AA843" s="4"/>
    </row>
    <row r="844" spans="27:27" x14ac:dyDescent="0.3">
      <c r="AA844" s="4"/>
    </row>
    <row r="845" spans="27:27" x14ac:dyDescent="0.3">
      <c r="AA845" s="4"/>
    </row>
    <row r="846" spans="27:27" x14ac:dyDescent="0.3">
      <c r="AA846" s="4"/>
    </row>
    <row r="847" spans="27:27" x14ac:dyDescent="0.3">
      <c r="AA847" s="4"/>
    </row>
    <row r="848" spans="27:27" x14ac:dyDescent="0.3">
      <c r="AA848" s="4"/>
    </row>
    <row r="849" spans="27:27" x14ac:dyDescent="0.3">
      <c r="AA849" s="4"/>
    </row>
    <row r="850" spans="27:27" x14ac:dyDescent="0.3">
      <c r="AA850" s="4"/>
    </row>
    <row r="851" spans="27:27" x14ac:dyDescent="0.3">
      <c r="AA851" s="4"/>
    </row>
    <row r="852" spans="27:27" x14ac:dyDescent="0.3">
      <c r="AA852" s="4"/>
    </row>
    <row r="853" spans="27:27" x14ac:dyDescent="0.3">
      <c r="AA853" s="4"/>
    </row>
    <row r="854" spans="27:27" x14ac:dyDescent="0.3">
      <c r="AA854" s="4"/>
    </row>
    <row r="855" spans="27:27" x14ac:dyDescent="0.3">
      <c r="AA855" s="4"/>
    </row>
    <row r="856" spans="27:27" x14ac:dyDescent="0.3">
      <c r="AA856" s="4"/>
    </row>
    <row r="857" spans="27:27" x14ac:dyDescent="0.3">
      <c r="AA857" s="4"/>
    </row>
    <row r="858" spans="27:27" x14ac:dyDescent="0.3">
      <c r="AA858" s="4"/>
    </row>
    <row r="859" spans="27:27" x14ac:dyDescent="0.3">
      <c r="AA859" s="4"/>
    </row>
    <row r="860" spans="27:27" x14ac:dyDescent="0.3">
      <c r="AA860" s="4"/>
    </row>
    <row r="861" spans="27:27" x14ac:dyDescent="0.3">
      <c r="AA861" s="4"/>
    </row>
    <row r="862" spans="27:27" x14ac:dyDescent="0.3">
      <c r="AA862" s="4"/>
    </row>
    <row r="863" spans="27:27" x14ac:dyDescent="0.3">
      <c r="AA863" s="4"/>
    </row>
    <row r="864" spans="27:27" x14ac:dyDescent="0.3">
      <c r="AA864" s="4"/>
    </row>
    <row r="865" spans="27:27" x14ac:dyDescent="0.3">
      <c r="AA865" s="4"/>
    </row>
    <row r="866" spans="27:27" x14ac:dyDescent="0.3">
      <c r="AA866" s="4"/>
    </row>
    <row r="867" spans="27:27" x14ac:dyDescent="0.3">
      <c r="AA867" s="4"/>
    </row>
    <row r="868" spans="27:27" x14ac:dyDescent="0.3">
      <c r="AA868" s="4"/>
    </row>
    <row r="869" spans="27:27" x14ac:dyDescent="0.3">
      <c r="AA869" s="4"/>
    </row>
    <row r="870" spans="27:27" x14ac:dyDescent="0.3">
      <c r="AA870" s="4"/>
    </row>
    <row r="871" spans="27:27" x14ac:dyDescent="0.3">
      <c r="AA871" s="4"/>
    </row>
    <row r="872" spans="27:27" x14ac:dyDescent="0.3">
      <c r="AA872" s="4"/>
    </row>
    <row r="873" spans="27:27" x14ac:dyDescent="0.3">
      <c r="AA873" s="4"/>
    </row>
    <row r="874" spans="27:27" x14ac:dyDescent="0.3">
      <c r="AA874" s="4"/>
    </row>
    <row r="875" spans="27:27" x14ac:dyDescent="0.3">
      <c r="AA875" s="4"/>
    </row>
    <row r="876" spans="27:27" x14ac:dyDescent="0.3">
      <c r="AA876" s="4"/>
    </row>
    <row r="877" spans="27:27" x14ac:dyDescent="0.3">
      <c r="AA877" s="4"/>
    </row>
    <row r="878" spans="27:27" x14ac:dyDescent="0.3">
      <c r="AA878" s="4"/>
    </row>
    <row r="879" spans="27:27" x14ac:dyDescent="0.3">
      <c r="AA879" s="4"/>
    </row>
    <row r="880" spans="27:27" x14ac:dyDescent="0.3">
      <c r="AA880" s="4"/>
    </row>
    <row r="881" spans="27:27" x14ac:dyDescent="0.3">
      <c r="AA881" s="4"/>
    </row>
    <row r="882" spans="27:27" x14ac:dyDescent="0.3">
      <c r="AA882" s="4"/>
    </row>
    <row r="883" spans="27:27" x14ac:dyDescent="0.3">
      <c r="AA883" s="4"/>
    </row>
    <row r="884" spans="27:27" x14ac:dyDescent="0.3">
      <c r="AA884" s="4"/>
    </row>
    <row r="885" spans="27:27" x14ac:dyDescent="0.3">
      <c r="AA885" s="4"/>
    </row>
    <row r="886" spans="27:27" x14ac:dyDescent="0.3">
      <c r="AA886" s="4"/>
    </row>
    <row r="887" spans="27:27" x14ac:dyDescent="0.3">
      <c r="AA887" s="4"/>
    </row>
    <row r="888" spans="27:27" x14ac:dyDescent="0.3">
      <c r="AA888" s="4"/>
    </row>
    <row r="889" spans="27:27" x14ac:dyDescent="0.3">
      <c r="AA889" s="4"/>
    </row>
    <row r="890" spans="27:27" x14ac:dyDescent="0.3">
      <c r="AA890" s="4"/>
    </row>
    <row r="891" spans="27:27" x14ac:dyDescent="0.3">
      <c r="AA891" s="4"/>
    </row>
    <row r="892" spans="27:27" x14ac:dyDescent="0.3">
      <c r="AA892" s="4"/>
    </row>
    <row r="893" spans="27:27" x14ac:dyDescent="0.3">
      <c r="AA893" s="4"/>
    </row>
    <row r="894" spans="27:27" x14ac:dyDescent="0.3">
      <c r="AA894" s="4"/>
    </row>
    <row r="895" spans="27:27" x14ac:dyDescent="0.3">
      <c r="AA895" s="4"/>
    </row>
    <row r="896" spans="27:27" x14ac:dyDescent="0.3">
      <c r="AA896" s="4"/>
    </row>
    <row r="897" spans="27:27" x14ac:dyDescent="0.3">
      <c r="AA897" s="4"/>
    </row>
    <row r="898" spans="27:27" x14ac:dyDescent="0.3">
      <c r="AA898" s="4"/>
    </row>
    <row r="899" spans="27:27" x14ac:dyDescent="0.3">
      <c r="AA899" s="4"/>
    </row>
    <row r="900" spans="27:27" x14ac:dyDescent="0.3">
      <c r="AA900" s="4"/>
    </row>
    <row r="901" spans="27:27" x14ac:dyDescent="0.3">
      <c r="AA901" s="4"/>
    </row>
    <row r="902" spans="27:27" x14ac:dyDescent="0.3">
      <c r="AA902" s="4"/>
    </row>
    <row r="903" spans="27:27" x14ac:dyDescent="0.3">
      <c r="AA903" s="4"/>
    </row>
    <row r="904" spans="27:27" x14ac:dyDescent="0.3">
      <c r="AA904" s="4"/>
    </row>
    <row r="905" spans="27:27" x14ac:dyDescent="0.3">
      <c r="AA905" s="4"/>
    </row>
    <row r="906" spans="27:27" x14ac:dyDescent="0.3">
      <c r="AA906" s="4"/>
    </row>
    <row r="907" spans="27:27" x14ac:dyDescent="0.3">
      <c r="AA907" s="4"/>
    </row>
    <row r="908" spans="27:27" x14ac:dyDescent="0.3">
      <c r="AA908" s="4"/>
    </row>
    <row r="909" spans="27:27" x14ac:dyDescent="0.3">
      <c r="AA909" s="4"/>
    </row>
    <row r="910" spans="27:27" x14ac:dyDescent="0.3">
      <c r="AA910" s="4"/>
    </row>
    <row r="911" spans="27:27" x14ac:dyDescent="0.3">
      <c r="AA911" s="4"/>
    </row>
    <row r="912" spans="27:27" x14ac:dyDescent="0.3">
      <c r="AA912" s="4"/>
    </row>
    <row r="913" spans="27:27" x14ac:dyDescent="0.3">
      <c r="AA913" s="4"/>
    </row>
    <row r="914" spans="27:27" x14ac:dyDescent="0.3">
      <c r="AA914" s="4"/>
    </row>
    <row r="915" spans="27:27" x14ac:dyDescent="0.3">
      <c r="AA915" s="4"/>
    </row>
    <row r="916" spans="27:27" x14ac:dyDescent="0.3">
      <c r="AA916" s="4"/>
    </row>
    <row r="917" spans="27:27" x14ac:dyDescent="0.3">
      <c r="AA917" s="4"/>
    </row>
    <row r="918" spans="27:27" x14ac:dyDescent="0.3">
      <c r="AA918" s="4"/>
    </row>
    <row r="919" spans="27:27" x14ac:dyDescent="0.3">
      <c r="AA919" s="4"/>
    </row>
    <row r="920" spans="27:27" x14ac:dyDescent="0.3">
      <c r="AA920" s="4"/>
    </row>
    <row r="921" spans="27:27" x14ac:dyDescent="0.3">
      <c r="AA921" s="4"/>
    </row>
    <row r="922" spans="27:27" x14ac:dyDescent="0.3">
      <c r="AA922" s="4"/>
    </row>
    <row r="923" spans="27:27" x14ac:dyDescent="0.3">
      <c r="AA923" s="4"/>
    </row>
    <row r="924" spans="27:27" x14ac:dyDescent="0.3">
      <c r="AA924" s="4"/>
    </row>
    <row r="925" spans="27:27" x14ac:dyDescent="0.3">
      <c r="AA925" s="4"/>
    </row>
    <row r="926" spans="27:27" x14ac:dyDescent="0.3">
      <c r="AA926" s="4"/>
    </row>
    <row r="927" spans="27:27" x14ac:dyDescent="0.3">
      <c r="AA927" s="4"/>
    </row>
    <row r="928" spans="27:27" x14ac:dyDescent="0.3">
      <c r="AA928" s="4"/>
    </row>
    <row r="929" spans="27:27" x14ac:dyDescent="0.3">
      <c r="AA929" s="4"/>
    </row>
    <row r="930" spans="27:27" x14ac:dyDescent="0.3">
      <c r="AA930" s="4"/>
    </row>
    <row r="931" spans="27:27" x14ac:dyDescent="0.3">
      <c r="AA931" s="4"/>
    </row>
    <row r="932" spans="27:27" x14ac:dyDescent="0.3">
      <c r="AA932" s="4"/>
    </row>
    <row r="933" spans="27:27" x14ac:dyDescent="0.3">
      <c r="AA933" s="4"/>
    </row>
    <row r="934" spans="27:27" x14ac:dyDescent="0.3">
      <c r="AA934" s="4"/>
    </row>
    <row r="935" spans="27:27" x14ac:dyDescent="0.3">
      <c r="AA935" s="4"/>
    </row>
    <row r="936" spans="27:27" x14ac:dyDescent="0.3">
      <c r="AA936" s="4"/>
    </row>
    <row r="937" spans="27:27" x14ac:dyDescent="0.3">
      <c r="AA937" s="4"/>
    </row>
    <row r="938" spans="27:27" x14ac:dyDescent="0.3">
      <c r="AA938" s="4"/>
    </row>
    <row r="939" spans="27:27" x14ac:dyDescent="0.3">
      <c r="AA939" s="4"/>
    </row>
    <row r="940" spans="27:27" x14ac:dyDescent="0.3">
      <c r="AA940" s="4"/>
    </row>
    <row r="941" spans="27:27" x14ac:dyDescent="0.3">
      <c r="AA941" s="4"/>
    </row>
    <row r="942" spans="27:27" x14ac:dyDescent="0.3">
      <c r="AA942" s="4"/>
    </row>
    <row r="943" spans="27:27" x14ac:dyDescent="0.3">
      <c r="AA943" s="4"/>
    </row>
    <row r="944" spans="27:27" x14ac:dyDescent="0.3">
      <c r="AA944" s="4"/>
    </row>
    <row r="945" spans="27:27" x14ac:dyDescent="0.3">
      <c r="AA945" s="4"/>
    </row>
    <row r="946" spans="27:27" x14ac:dyDescent="0.3">
      <c r="AA946" s="4"/>
    </row>
    <row r="947" spans="27:27" x14ac:dyDescent="0.3">
      <c r="AA947" s="4"/>
    </row>
    <row r="948" spans="27:27" x14ac:dyDescent="0.3">
      <c r="AA948" s="4"/>
    </row>
    <row r="949" spans="27:27" x14ac:dyDescent="0.3">
      <c r="AA949" s="4"/>
    </row>
    <row r="950" spans="27:27" x14ac:dyDescent="0.3">
      <c r="AA950" s="4"/>
    </row>
    <row r="951" spans="27:27" x14ac:dyDescent="0.3">
      <c r="AA951" s="4"/>
    </row>
    <row r="952" spans="27:27" x14ac:dyDescent="0.3">
      <c r="AA952" s="4"/>
    </row>
    <row r="953" spans="27:27" x14ac:dyDescent="0.3">
      <c r="AA953" s="4"/>
    </row>
    <row r="954" spans="27:27" x14ac:dyDescent="0.3">
      <c r="AA954" s="4"/>
    </row>
    <row r="955" spans="27:27" x14ac:dyDescent="0.3">
      <c r="AA955" s="4"/>
    </row>
    <row r="956" spans="27:27" x14ac:dyDescent="0.3">
      <c r="AA956" s="4"/>
    </row>
    <row r="957" spans="27:27" x14ac:dyDescent="0.3">
      <c r="AA957" s="4"/>
    </row>
    <row r="958" spans="27:27" x14ac:dyDescent="0.3">
      <c r="AA958" s="4"/>
    </row>
    <row r="959" spans="27:27" x14ac:dyDescent="0.3">
      <c r="AA959" s="4"/>
    </row>
    <row r="960" spans="27:27" x14ac:dyDescent="0.3">
      <c r="AA960" s="4"/>
    </row>
    <row r="961" spans="27:27" x14ac:dyDescent="0.3">
      <c r="AA961" s="4"/>
    </row>
    <row r="962" spans="27:27" x14ac:dyDescent="0.3">
      <c r="AA962" s="4"/>
    </row>
    <row r="963" spans="27:27" x14ac:dyDescent="0.3">
      <c r="AA963" s="4"/>
    </row>
    <row r="964" spans="27:27" x14ac:dyDescent="0.3">
      <c r="AA964" s="4"/>
    </row>
    <row r="965" spans="27:27" x14ac:dyDescent="0.3">
      <c r="AA965" s="4"/>
    </row>
    <row r="966" spans="27:27" x14ac:dyDescent="0.3">
      <c r="AA966" s="4"/>
    </row>
    <row r="967" spans="27:27" x14ac:dyDescent="0.3">
      <c r="AA967" s="4"/>
    </row>
    <row r="968" spans="27:27" x14ac:dyDescent="0.3">
      <c r="AA968" s="4"/>
    </row>
    <row r="969" spans="27:27" x14ac:dyDescent="0.3">
      <c r="AA969" s="4"/>
    </row>
    <row r="970" spans="27:27" x14ac:dyDescent="0.3">
      <c r="AA970" s="4"/>
    </row>
    <row r="971" spans="27:27" x14ac:dyDescent="0.3">
      <c r="AA971" s="4"/>
    </row>
    <row r="972" spans="27:27" x14ac:dyDescent="0.3">
      <c r="AA972" s="4"/>
    </row>
    <row r="973" spans="27:27" x14ac:dyDescent="0.3">
      <c r="AA973" s="4"/>
    </row>
    <row r="974" spans="27:27" x14ac:dyDescent="0.3">
      <c r="AA974" s="4"/>
    </row>
    <row r="975" spans="27:27" x14ac:dyDescent="0.3">
      <c r="AA975" s="4"/>
    </row>
    <row r="976" spans="27:27" x14ac:dyDescent="0.3">
      <c r="AA976" s="4"/>
    </row>
    <row r="977" spans="27:27" x14ac:dyDescent="0.3">
      <c r="AA977" s="4"/>
    </row>
    <row r="978" spans="27:27" x14ac:dyDescent="0.3">
      <c r="AA978" s="4"/>
    </row>
    <row r="979" spans="27:27" x14ac:dyDescent="0.3">
      <c r="AA979" s="4"/>
    </row>
    <row r="980" spans="27:27" x14ac:dyDescent="0.3">
      <c r="AA980" s="4"/>
    </row>
    <row r="981" spans="27:27" x14ac:dyDescent="0.3">
      <c r="AA981" s="4"/>
    </row>
    <row r="982" spans="27:27" x14ac:dyDescent="0.3">
      <c r="AA982" s="4"/>
    </row>
    <row r="983" spans="27:27" x14ac:dyDescent="0.3">
      <c r="AA983" s="4"/>
    </row>
    <row r="984" spans="27:27" x14ac:dyDescent="0.3">
      <c r="AA984" s="4"/>
    </row>
    <row r="985" spans="27:27" x14ac:dyDescent="0.3">
      <c r="AA985" s="4"/>
    </row>
    <row r="986" spans="27:27" x14ac:dyDescent="0.3">
      <c r="AA986" s="4"/>
    </row>
    <row r="987" spans="27:27" x14ac:dyDescent="0.3">
      <c r="AA987" s="4"/>
    </row>
    <row r="988" spans="27:27" x14ac:dyDescent="0.3">
      <c r="AA988" s="4"/>
    </row>
    <row r="989" spans="27:27" x14ac:dyDescent="0.3">
      <c r="AA989" s="4"/>
    </row>
    <row r="990" spans="27:27" x14ac:dyDescent="0.3">
      <c r="AA990" s="4"/>
    </row>
    <row r="991" spans="27:27" x14ac:dyDescent="0.3">
      <c r="AA991" s="4"/>
    </row>
    <row r="992" spans="27:27" x14ac:dyDescent="0.3">
      <c r="AA992" s="4"/>
    </row>
    <row r="993" spans="27:27" x14ac:dyDescent="0.3">
      <c r="AA993" s="4"/>
    </row>
    <row r="994" spans="27:27" x14ac:dyDescent="0.3">
      <c r="AA994" s="4"/>
    </row>
    <row r="995" spans="27:27" x14ac:dyDescent="0.3">
      <c r="AA995" s="4"/>
    </row>
    <row r="996" spans="27:27" x14ac:dyDescent="0.3">
      <c r="AA996" s="4"/>
    </row>
    <row r="997" spans="27:27" x14ac:dyDescent="0.3">
      <c r="AA997" s="4"/>
    </row>
    <row r="998" spans="27:27" x14ac:dyDescent="0.3">
      <c r="AA998" s="4"/>
    </row>
    <row r="999" spans="27:27" x14ac:dyDescent="0.3">
      <c r="AA999" s="4"/>
    </row>
    <row r="1000" spans="27:27" x14ac:dyDescent="0.3">
      <c r="AA1000" s="4"/>
    </row>
    <row r="1001" spans="27:27" x14ac:dyDescent="0.3">
      <c r="AA1001" s="4"/>
    </row>
    <row r="1002" spans="27:27" x14ac:dyDescent="0.3">
      <c r="AA1002" s="4"/>
    </row>
    <row r="1003" spans="27:27" x14ac:dyDescent="0.3">
      <c r="AA1003" s="4"/>
    </row>
    <row r="1004" spans="27:27" x14ac:dyDescent="0.3">
      <c r="AA1004" s="4"/>
    </row>
    <row r="1005" spans="27:27" x14ac:dyDescent="0.3">
      <c r="AA1005" s="4"/>
    </row>
    <row r="1006" spans="27:27" x14ac:dyDescent="0.3">
      <c r="AA1006" s="4"/>
    </row>
    <row r="1007" spans="27:27" x14ac:dyDescent="0.3">
      <c r="AA1007" s="4"/>
    </row>
    <row r="1008" spans="27:27" x14ac:dyDescent="0.3">
      <c r="AA1008" s="4"/>
    </row>
    <row r="1009" spans="27:27" x14ac:dyDescent="0.3">
      <c r="AA1009" s="4"/>
    </row>
    <row r="1010" spans="27:27" x14ac:dyDescent="0.3">
      <c r="AA1010" s="4"/>
    </row>
  </sheetData>
  <mergeCells count="9">
    <mergeCell ref="B138:B203"/>
    <mergeCell ref="C138:AA138"/>
    <mergeCell ref="C190:AA190"/>
    <mergeCell ref="C2:AA2"/>
    <mergeCell ref="C54:AA54"/>
    <mergeCell ref="B2:B67"/>
    <mergeCell ref="B70:B135"/>
    <mergeCell ref="C70:AA70"/>
    <mergeCell ref="C122:AA122"/>
  </mergeCells>
  <pageMargins left="0.51181102362204722" right="0.51181102362204722" top="0.78740157480314965" bottom="0.78740157480314965" header="0.31496062992125984" footer="0.31496062992125984"/>
  <pageSetup paperSize="9" scale="23" orientation="landscape" horizontalDpi="4294967295" verticalDpi="4294967295" r:id="rId1"/>
  <colBreaks count="5" manualBreakCount="5">
    <brk id="28" max="47" man="1"/>
    <brk id="34" max="47" man="1"/>
    <brk id="51" max="47" man="1"/>
    <brk id="103" max="47" man="1"/>
    <brk id="144" max="47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  <pageSetUpPr fitToPage="1"/>
  </sheetPr>
  <dimension ref="B1:XCN1009"/>
  <sheetViews>
    <sheetView showGridLines="0" topLeftCell="F4" zoomScale="70" zoomScaleNormal="70" zoomScaleSheetLayoutView="85" workbookViewId="0">
      <selection activeCell="AD15" sqref="AD15"/>
    </sheetView>
  </sheetViews>
  <sheetFormatPr defaultRowHeight="16.5" outlineLevelRow="1" x14ac:dyDescent="0.3"/>
  <cols>
    <col min="1" max="1" width="9" style="1"/>
    <col min="2" max="2" width="12.375" style="1" customWidth="1"/>
    <col min="3" max="3" width="39.25" style="1" bestFit="1" customWidth="1"/>
    <col min="4" max="27" width="13.25" style="1" customWidth="1"/>
    <col min="28" max="28" width="6.625" style="1" customWidth="1"/>
    <col min="29" max="29" width="18.75" style="1" bestFit="1" customWidth="1"/>
    <col min="30" max="31" width="11.25" style="1" customWidth="1"/>
    <col min="32" max="32" width="25.375" style="1" bestFit="1" customWidth="1"/>
    <col min="33" max="34" width="9" style="1"/>
    <col min="35" max="35" width="43.25" style="1" bestFit="1" customWidth="1"/>
    <col min="36" max="36" width="12.875" style="1" customWidth="1"/>
    <col min="37" max="16384" width="9" style="1"/>
  </cols>
  <sheetData>
    <row r="1" spans="2:36 16314:16316" ht="21" customHeight="1" thickBot="1" x14ac:dyDescent="0.35">
      <c r="D1" s="2" t="str">
        <f>$D$2&amp;D3</f>
        <v>43101</v>
      </c>
      <c r="E1" s="2" t="str">
        <f t="shared" ref="E1:I1" si="0">$D$2&amp;E3</f>
        <v>43133</v>
      </c>
      <c r="F1" s="2" t="str">
        <f t="shared" si="0"/>
        <v>43165</v>
      </c>
      <c r="G1" s="2" t="str">
        <f t="shared" si="0"/>
        <v>43197</v>
      </c>
      <c r="H1" s="2" t="str">
        <f t="shared" si="0"/>
        <v>43229</v>
      </c>
      <c r="I1" s="2" t="str">
        <f t="shared" si="0"/>
        <v>43261</v>
      </c>
      <c r="AA1" s="3">
        <v>4</v>
      </c>
      <c r="AE1" s="4">
        <f>IF(SUM(D12:D13)&gt;D45,D45,IF(SUM(D12:D13)&lt;D46,D46,SUM(D12:D13)))</f>
        <v>20.790000000000003</v>
      </c>
      <c r="AF1" s="1" t="s">
        <v>2</v>
      </c>
    </row>
    <row r="2" spans="2:36 16314:16316" ht="62.25" customHeight="1" x14ac:dyDescent="0.3">
      <c r="B2" s="180" t="s">
        <v>130</v>
      </c>
      <c r="C2" s="170" t="s">
        <v>100</v>
      </c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1"/>
      <c r="AC2" s="5"/>
    </row>
    <row r="3" spans="2:36 16314:16316" ht="25.5" customHeight="1" x14ac:dyDescent="0.3">
      <c r="B3" s="181"/>
      <c r="C3" s="128" t="s">
        <v>3</v>
      </c>
      <c r="D3" s="7">
        <v>43101</v>
      </c>
      <c r="E3" s="7">
        <v>43133</v>
      </c>
      <c r="F3" s="7">
        <v>43165</v>
      </c>
      <c r="G3" s="7">
        <v>43197</v>
      </c>
      <c r="H3" s="7">
        <v>43229</v>
      </c>
      <c r="I3" s="7">
        <v>43261</v>
      </c>
      <c r="J3" s="7">
        <v>43293</v>
      </c>
      <c r="K3" s="7">
        <v>43325</v>
      </c>
      <c r="L3" s="7">
        <v>43357</v>
      </c>
      <c r="M3" s="7">
        <v>43389</v>
      </c>
      <c r="N3" s="7">
        <v>43421</v>
      </c>
      <c r="O3" s="7">
        <v>43453</v>
      </c>
      <c r="P3" s="7">
        <v>43485</v>
      </c>
      <c r="Q3" s="7">
        <v>43517</v>
      </c>
      <c r="R3" s="7">
        <v>43549</v>
      </c>
      <c r="S3" s="7">
        <v>43581</v>
      </c>
      <c r="T3" s="7">
        <v>43613</v>
      </c>
      <c r="U3" s="7">
        <v>43645</v>
      </c>
      <c r="V3" s="7">
        <v>43677</v>
      </c>
      <c r="W3" s="7">
        <v>43709</v>
      </c>
      <c r="X3" s="7">
        <v>43741</v>
      </c>
      <c r="Y3" s="7">
        <v>43773</v>
      </c>
      <c r="Z3" s="7">
        <v>43805</v>
      </c>
      <c r="AA3" s="7">
        <v>43806</v>
      </c>
      <c r="XCL3" s="4">
        <v>2</v>
      </c>
      <c r="XCM3" s="4">
        <v>672</v>
      </c>
      <c r="XCN3" s="4">
        <f t="shared" ref="XCN3:XCN16" si="1">XCM3/24</f>
        <v>28</v>
      </c>
    </row>
    <row r="4" spans="2:36 16314:16316" ht="25.5" customHeight="1" x14ac:dyDescent="0.3">
      <c r="B4" s="181"/>
      <c r="C4" s="128" t="s">
        <v>4</v>
      </c>
      <c r="D4" s="6">
        <v>744</v>
      </c>
      <c r="E4" s="6">
        <v>696</v>
      </c>
      <c r="F4" s="6">
        <v>744</v>
      </c>
      <c r="G4" s="6">
        <v>720</v>
      </c>
      <c r="H4" s="6">
        <v>744</v>
      </c>
      <c r="I4" s="6">
        <v>720</v>
      </c>
      <c r="J4" s="6">
        <v>744</v>
      </c>
      <c r="K4" s="6">
        <v>744</v>
      </c>
      <c r="L4" s="6">
        <v>720</v>
      </c>
      <c r="M4" s="6">
        <v>744</v>
      </c>
      <c r="N4" s="6">
        <v>720</v>
      </c>
      <c r="O4" s="6">
        <v>744</v>
      </c>
      <c r="P4" s="6">
        <v>744</v>
      </c>
      <c r="Q4" s="6">
        <v>672</v>
      </c>
      <c r="R4" s="6">
        <v>744</v>
      </c>
      <c r="S4" s="6">
        <v>720</v>
      </c>
      <c r="T4" s="6">
        <v>744</v>
      </c>
      <c r="U4" s="6">
        <v>720</v>
      </c>
      <c r="V4" s="6">
        <v>744</v>
      </c>
      <c r="W4" s="6">
        <v>744</v>
      </c>
      <c r="X4" s="6">
        <v>720</v>
      </c>
      <c r="Y4" s="6">
        <v>744</v>
      </c>
      <c r="Z4" s="6">
        <v>720</v>
      </c>
      <c r="AA4" s="6">
        <v>744</v>
      </c>
      <c r="XCL4" s="4"/>
      <c r="XCM4" s="4"/>
      <c r="XCN4" s="4"/>
    </row>
    <row r="5" spans="2:36 16314:16316" ht="9.75" customHeight="1" x14ac:dyDescent="0.3">
      <c r="B5" s="181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90"/>
      <c r="XCL5" s="4"/>
      <c r="XCM5" s="4"/>
      <c r="XCN5" s="4"/>
    </row>
    <row r="6" spans="2:36 16314:16316" x14ac:dyDescent="0.3">
      <c r="B6" s="181"/>
      <c r="C6" s="129" t="s">
        <v>5</v>
      </c>
      <c r="D6" s="191">
        <v>100.8</v>
      </c>
      <c r="E6" s="191">
        <v>123.9</v>
      </c>
      <c r="F6" s="191">
        <v>121.8</v>
      </c>
      <c r="G6" s="191">
        <v>111.3</v>
      </c>
      <c r="H6" s="191">
        <v>113.4</v>
      </c>
      <c r="I6" s="191">
        <v>52.5</v>
      </c>
      <c r="J6" s="191">
        <v>90.3</v>
      </c>
      <c r="K6" s="191">
        <v>77.7</v>
      </c>
      <c r="L6" s="191">
        <v>130.19999999999999</v>
      </c>
      <c r="M6" s="191">
        <v>128.1</v>
      </c>
      <c r="N6" s="191">
        <v>113.4</v>
      </c>
      <c r="O6" s="191">
        <v>113.4</v>
      </c>
      <c r="P6" s="192">
        <v>113.4</v>
      </c>
      <c r="Q6" s="192">
        <v>113.4</v>
      </c>
      <c r="R6" s="192">
        <v>115.5</v>
      </c>
      <c r="S6" s="192">
        <v>115.5</v>
      </c>
      <c r="T6" s="192">
        <v>117.6</v>
      </c>
      <c r="U6" s="192">
        <v>113.4</v>
      </c>
      <c r="V6" s="192">
        <v>102.49</v>
      </c>
      <c r="W6" s="192">
        <v>100.8</v>
      </c>
      <c r="X6" s="192">
        <v>107.1</v>
      </c>
      <c r="Y6" s="192">
        <v>105</v>
      </c>
      <c r="Z6" s="192">
        <v>105</v>
      </c>
      <c r="AA6" s="192">
        <v>113.4</v>
      </c>
      <c r="AB6" s="2"/>
      <c r="AC6" s="94" t="s">
        <v>92</v>
      </c>
      <c r="AD6" s="96" t="s">
        <v>96</v>
      </c>
      <c r="AE6" s="94" t="s">
        <v>97</v>
      </c>
      <c r="AF6" s="104" t="s">
        <v>108</v>
      </c>
      <c r="AI6" s="94" t="s">
        <v>124</v>
      </c>
      <c r="AJ6" s="135">
        <f>AC64</f>
        <v>768445.77867647051</v>
      </c>
      <c r="XCL6" s="4">
        <v>3</v>
      </c>
      <c r="XCM6" s="4">
        <v>744</v>
      </c>
      <c r="XCN6" s="4">
        <f t="shared" si="1"/>
        <v>31</v>
      </c>
    </row>
    <row r="7" spans="2:36 16314:16316" x14ac:dyDescent="0.3">
      <c r="B7" s="181"/>
      <c r="C7" s="129" t="s">
        <v>41</v>
      </c>
      <c r="D7" s="115">
        <v>84</v>
      </c>
      <c r="E7" s="115">
        <v>107.1</v>
      </c>
      <c r="F7" s="115">
        <v>94.5</v>
      </c>
      <c r="G7" s="115">
        <v>98.7</v>
      </c>
      <c r="H7" s="115">
        <v>105</v>
      </c>
      <c r="I7" s="115">
        <v>63</v>
      </c>
      <c r="J7" s="115">
        <v>77.7</v>
      </c>
      <c r="K7" s="115">
        <v>71.400000000000006</v>
      </c>
      <c r="L7" s="115">
        <v>111.3</v>
      </c>
      <c r="M7" s="115">
        <v>119.7</v>
      </c>
      <c r="N7" s="115">
        <v>102.9</v>
      </c>
      <c r="O7" s="115">
        <v>100.8</v>
      </c>
      <c r="P7" s="111">
        <v>98.7</v>
      </c>
      <c r="Q7" s="111">
        <v>96.6</v>
      </c>
      <c r="R7" s="111">
        <v>100.8</v>
      </c>
      <c r="S7" s="111">
        <v>109.2</v>
      </c>
      <c r="T7" s="111">
        <v>90.3</v>
      </c>
      <c r="U7" s="111">
        <v>107.1</v>
      </c>
      <c r="V7" s="111">
        <v>86.1</v>
      </c>
      <c r="W7" s="111">
        <v>81.900000000000006</v>
      </c>
      <c r="X7" s="111">
        <v>96.6</v>
      </c>
      <c r="Y7" s="111">
        <v>92.4</v>
      </c>
      <c r="Z7" s="111">
        <v>92.4</v>
      </c>
      <c r="AA7" s="111">
        <v>102.9</v>
      </c>
      <c r="AB7" s="2"/>
      <c r="AC7" s="94" t="s">
        <v>93</v>
      </c>
      <c r="AD7" s="95">
        <v>0</v>
      </c>
      <c r="AE7" s="96">
        <v>175</v>
      </c>
      <c r="AF7" s="104">
        <v>13.43</v>
      </c>
      <c r="AJ7" s="137"/>
      <c r="XCL7" s="4">
        <v>4</v>
      </c>
      <c r="XCM7" s="4">
        <v>720</v>
      </c>
      <c r="XCN7" s="4">
        <f t="shared" si="1"/>
        <v>30</v>
      </c>
    </row>
    <row r="8" spans="2:36 16314:16316" x14ac:dyDescent="0.3">
      <c r="B8" s="181"/>
      <c r="C8" s="129" t="s">
        <v>6</v>
      </c>
      <c r="D8" s="13">
        <v>0</v>
      </c>
      <c r="E8" s="14">
        <v>0</v>
      </c>
      <c r="F8" s="13">
        <v>0</v>
      </c>
      <c r="G8" s="14">
        <v>0</v>
      </c>
      <c r="H8" s="13">
        <v>0</v>
      </c>
      <c r="I8" s="14">
        <v>0</v>
      </c>
      <c r="J8" s="13">
        <v>0</v>
      </c>
      <c r="K8" s="14">
        <v>0</v>
      </c>
      <c r="L8" s="13">
        <v>0</v>
      </c>
      <c r="M8" s="14">
        <v>0</v>
      </c>
      <c r="N8" s="13">
        <v>0</v>
      </c>
      <c r="O8" s="14">
        <v>0</v>
      </c>
      <c r="P8" s="13">
        <v>0</v>
      </c>
      <c r="Q8" s="14">
        <v>0</v>
      </c>
      <c r="R8" s="13">
        <v>0</v>
      </c>
      <c r="S8" s="14">
        <v>0</v>
      </c>
      <c r="T8" s="13">
        <v>0</v>
      </c>
      <c r="U8" s="14">
        <v>0</v>
      </c>
      <c r="V8" s="13">
        <v>0</v>
      </c>
      <c r="W8" s="14">
        <v>0</v>
      </c>
      <c r="X8" s="13">
        <v>0</v>
      </c>
      <c r="Y8" s="14">
        <v>0</v>
      </c>
      <c r="Z8" s="13">
        <v>0</v>
      </c>
      <c r="AA8" s="14">
        <v>0</v>
      </c>
      <c r="AB8" s="2"/>
      <c r="AC8" s="94" t="s">
        <v>94</v>
      </c>
      <c r="AD8" s="95">
        <v>0.5</v>
      </c>
      <c r="AE8" s="96">
        <v>220</v>
      </c>
      <c r="AF8" s="104">
        <v>41.69</v>
      </c>
      <c r="AI8" s="94" t="s">
        <v>127</v>
      </c>
      <c r="AJ8" s="135">
        <f>AC52</f>
        <v>648800.88359186135</v>
      </c>
      <c r="XCL8" s="4">
        <v>5</v>
      </c>
      <c r="XCM8" s="4">
        <v>744</v>
      </c>
      <c r="XCN8" s="4">
        <f t="shared" si="1"/>
        <v>31</v>
      </c>
    </row>
    <row r="9" spans="2:36 16314:16316" x14ac:dyDescent="0.3">
      <c r="B9" s="181"/>
      <c r="C9" s="129" t="s">
        <v>7</v>
      </c>
      <c r="D9" s="116">
        <v>240</v>
      </c>
      <c r="E9" s="116">
        <v>240</v>
      </c>
      <c r="F9" s="116">
        <v>240</v>
      </c>
      <c r="G9" s="116">
        <v>240</v>
      </c>
      <c r="H9" s="116">
        <v>240</v>
      </c>
      <c r="I9" s="116">
        <v>240</v>
      </c>
      <c r="J9" s="116">
        <v>240</v>
      </c>
      <c r="K9" s="116">
        <v>240</v>
      </c>
      <c r="L9" s="116">
        <v>240</v>
      </c>
      <c r="M9" s="116">
        <v>240</v>
      </c>
      <c r="N9" s="116">
        <v>240</v>
      </c>
      <c r="O9" s="116">
        <v>240</v>
      </c>
      <c r="P9" s="112">
        <v>240</v>
      </c>
      <c r="Q9" s="112">
        <v>240</v>
      </c>
      <c r="R9" s="112">
        <v>240</v>
      </c>
      <c r="S9" s="112">
        <v>240</v>
      </c>
      <c r="T9" s="112">
        <v>240</v>
      </c>
      <c r="U9" s="112">
        <v>240</v>
      </c>
      <c r="V9" s="112">
        <v>240</v>
      </c>
      <c r="W9" s="112">
        <v>240</v>
      </c>
      <c r="X9" s="112">
        <v>240</v>
      </c>
      <c r="Y9" s="112">
        <v>240</v>
      </c>
      <c r="Z9" s="112">
        <v>240</v>
      </c>
      <c r="AA9" s="112">
        <v>240</v>
      </c>
      <c r="AB9" s="2"/>
      <c r="AC9" s="94" t="s">
        <v>95</v>
      </c>
      <c r="AD9" s="95">
        <v>1</v>
      </c>
      <c r="AE9" s="96">
        <v>310</v>
      </c>
      <c r="AF9" s="104">
        <v>62.43</v>
      </c>
      <c r="AI9" s="94" t="s">
        <v>125</v>
      </c>
      <c r="AJ9" s="136">
        <f>(AJ6-AJ8)/AJ6</f>
        <v>0.15569725074250401</v>
      </c>
      <c r="XCL9" s="4">
        <v>6</v>
      </c>
      <c r="XCM9" s="4">
        <v>720</v>
      </c>
      <c r="XCN9" s="4">
        <f t="shared" si="1"/>
        <v>30</v>
      </c>
    </row>
    <row r="10" spans="2:36 16314:16316" x14ac:dyDescent="0.3">
      <c r="B10" s="181"/>
      <c r="C10" s="129" t="s">
        <v>8</v>
      </c>
      <c r="D10" s="16">
        <f t="shared" ref="D10:AA10" si="2">IF(D19="Verde",0,IF(D6&gt;D8*1.05,D6-D8,0))</f>
        <v>0</v>
      </c>
      <c r="E10" s="16">
        <f t="shared" si="2"/>
        <v>0</v>
      </c>
      <c r="F10" s="16">
        <f t="shared" si="2"/>
        <v>0</v>
      </c>
      <c r="G10" s="16">
        <f t="shared" si="2"/>
        <v>0</v>
      </c>
      <c r="H10" s="16">
        <f t="shared" si="2"/>
        <v>0</v>
      </c>
      <c r="I10" s="16">
        <f t="shared" si="2"/>
        <v>0</v>
      </c>
      <c r="J10" s="16">
        <f t="shared" si="2"/>
        <v>0</v>
      </c>
      <c r="K10" s="16">
        <f t="shared" si="2"/>
        <v>0</v>
      </c>
      <c r="L10" s="16">
        <f t="shared" si="2"/>
        <v>0</v>
      </c>
      <c r="M10" s="16">
        <f t="shared" si="2"/>
        <v>0</v>
      </c>
      <c r="N10" s="16">
        <f t="shared" si="2"/>
        <v>0</v>
      </c>
      <c r="O10" s="16">
        <f t="shared" si="2"/>
        <v>0</v>
      </c>
      <c r="P10" s="16">
        <f t="shared" si="2"/>
        <v>0</v>
      </c>
      <c r="Q10" s="16">
        <f t="shared" si="2"/>
        <v>0</v>
      </c>
      <c r="R10" s="16">
        <f t="shared" si="2"/>
        <v>0</v>
      </c>
      <c r="S10" s="16">
        <f t="shared" si="2"/>
        <v>0</v>
      </c>
      <c r="T10" s="16">
        <f t="shared" si="2"/>
        <v>0</v>
      </c>
      <c r="U10" s="16">
        <f t="shared" si="2"/>
        <v>0</v>
      </c>
      <c r="V10" s="16">
        <f t="shared" si="2"/>
        <v>0</v>
      </c>
      <c r="W10" s="16">
        <f t="shared" si="2"/>
        <v>0</v>
      </c>
      <c r="X10" s="16">
        <f t="shared" si="2"/>
        <v>0</v>
      </c>
      <c r="Y10" s="16">
        <f t="shared" si="2"/>
        <v>0</v>
      </c>
      <c r="Z10" s="16">
        <f t="shared" si="2"/>
        <v>0</v>
      </c>
      <c r="AA10" s="16">
        <f t="shared" si="2"/>
        <v>0</v>
      </c>
      <c r="AB10" s="2"/>
      <c r="XCL10" s="4">
        <v>7</v>
      </c>
      <c r="XCM10" s="4">
        <v>744</v>
      </c>
      <c r="XCN10" s="4">
        <f t="shared" si="1"/>
        <v>31</v>
      </c>
    </row>
    <row r="11" spans="2:36 16314:16316" x14ac:dyDescent="0.3">
      <c r="B11" s="181"/>
      <c r="C11" s="129" t="s">
        <v>9</v>
      </c>
      <c r="D11" s="18">
        <f t="shared" ref="D11:AA11" si="3">IF(D7&gt;D9*1.05,D7-D9,0)</f>
        <v>0</v>
      </c>
      <c r="E11" s="18">
        <f t="shared" si="3"/>
        <v>0</v>
      </c>
      <c r="F11" s="18">
        <f t="shared" si="3"/>
        <v>0</v>
      </c>
      <c r="G11" s="18">
        <f t="shared" si="3"/>
        <v>0</v>
      </c>
      <c r="H11" s="18">
        <f t="shared" si="3"/>
        <v>0</v>
      </c>
      <c r="I11" s="18">
        <f t="shared" si="3"/>
        <v>0</v>
      </c>
      <c r="J11" s="18">
        <f t="shared" si="3"/>
        <v>0</v>
      </c>
      <c r="K11" s="18">
        <f t="shared" si="3"/>
        <v>0</v>
      </c>
      <c r="L11" s="18">
        <f t="shared" si="3"/>
        <v>0</v>
      </c>
      <c r="M11" s="18">
        <f t="shared" si="3"/>
        <v>0</v>
      </c>
      <c r="N11" s="18">
        <f t="shared" si="3"/>
        <v>0</v>
      </c>
      <c r="O11" s="18">
        <f t="shared" si="3"/>
        <v>0</v>
      </c>
      <c r="P11" s="18">
        <f t="shared" si="3"/>
        <v>0</v>
      </c>
      <c r="Q11" s="18">
        <f t="shared" si="3"/>
        <v>0</v>
      </c>
      <c r="R11" s="18">
        <f t="shared" si="3"/>
        <v>0</v>
      </c>
      <c r="S11" s="18">
        <f t="shared" si="3"/>
        <v>0</v>
      </c>
      <c r="T11" s="18">
        <f t="shared" si="3"/>
        <v>0</v>
      </c>
      <c r="U11" s="18">
        <f t="shared" si="3"/>
        <v>0</v>
      </c>
      <c r="V11" s="18">
        <f t="shared" si="3"/>
        <v>0</v>
      </c>
      <c r="W11" s="18">
        <f t="shared" si="3"/>
        <v>0</v>
      </c>
      <c r="X11" s="18">
        <f t="shared" si="3"/>
        <v>0</v>
      </c>
      <c r="Y11" s="18">
        <f t="shared" si="3"/>
        <v>0</v>
      </c>
      <c r="Z11" s="18">
        <f t="shared" si="3"/>
        <v>0</v>
      </c>
      <c r="AA11" s="18">
        <f t="shared" si="3"/>
        <v>0</v>
      </c>
      <c r="AB11" s="1" t="s">
        <v>43</v>
      </c>
      <c r="AI11" s="94" t="s">
        <v>123</v>
      </c>
      <c r="AJ11" s="135">
        <f>AC120</f>
        <v>548644.78918775183</v>
      </c>
      <c r="XCL11" s="4">
        <v>8</v>
      </c>
      <c r="XCM11" s="4">
        <v>744</v>
      </c>
      <c r="XCN11" s="4">
        <f t="shared" si="1"/>
        <v>31</v>
      </c>
    </row>
    <row r="12" spans="2:36 16314:16316" x14ac:dyDescent="0.3">
      <c r="B12" s="181"/>
      <c r="C12" s="129" t="s">
        <v>10</v>
      </c>
      <c r="D12" s="114">
        <f>2940/1000</f>
        <v>2.94</v>
      </c>
      <c r="E12" s="114">
        <f>3780/1000</f>
        <v>3.78</v>
      </c>
      <c r="F12" s="114">
        <f>4410/1000</f>
        <v>4.41</v>
      </c>
      <c r="G12" s="114">
        <v>4.2</v>
      </c>
      <c r="H12" s="114">
        <f>4200/1000</f>
        <v>4.2</v>
      </c>
      <c r="I12" s="114">
        <f>2100/1000</f>
        <v>2.1</v>
      </c>
      <c r="J12" s="114">
        <f>2940/1000</f>
        <v>2.94</v>
      </c>
      <c r="K12" s="114">
        <f>3150/1000</f>
        <v>3.15</v>
      </c>
      <c r="L12" s="114">
        <f>4830/1000</f>
        <v>4.83</v>
      </c>
      <c r="M12" s="114">
        <f>5670/1000</f>
        <v>5.67</v>
      </c>
      <c r="N12" s="114">
        <f>3990/1000</f>
        <v>3.99</v>
      </c>
      <c r="O12" s="114">
        <f>5250/1000</f>
        <v>5.25</v>
      </c>
      <c r="P12" s="110">
        <f>3780/1000</f>
        <v>3.78</v>
      </c>
      <c r="Q12" s="110">
        <f>2730/1000</f>
        <v>2.73</v>
      </c>
      <c r="R12" s="110">
        <f>48300/1000</f>
        <v>48.3</v>
      </c>
      <c r="S12" s="110">
        <f>6090/1000</f>
        <v>6.09</v>
      </c>
      <c r="T12" s="110">
        <f>4410/1000</f>
        <v>4.41</v>
      </c>
      <c r="U12" s="110">
        <f>5460/1000</f>
        <v>5.46</v>
      </c>
      <c r="V12" s="110">
        <f>4620/1000</f>
        <v>4.62</v>
      </c>
      <c r="W12" s="110">
        <f>5040/1000</f>
        <v>5.04</v>
      </c>
      <c r="X12" s="110">
        <f>4830/1000</f>
        <v>4.83</v>
      </c>
      <c r="Y12" s="110">
        <f>3380/1000</f>
        <v>3.38</v>
      </c>
      <c r="Z12" s="110">
        <v>0</v>
      </c>
      <c r="AA12" s="110">
        <f>4200/1000</f>
        <v>4.2</v>
      </c>
      <c r="AB12" s="2"/>
      <c r="AI12" s="94" t="s">
        <v>125</v>
      </c>
      <c r="AJ12" s="136">
        <f>(AJ6-AJ11)/AJ6</f>
        <v>0.2860331796828815</v>
      </c>
      <c r="XCL12" s="4">
        <v>9</v>
      </c>
      <c r="XCM12" s="4">
        <v>720</v>
      </c>
      <c r="XCN12" s="4">
        <f t="shared" si="1"/>
        <v>30</v>
      </c>
    </row>
    <row r="13" spans="2:36 16314:16316" x14ac:dyDescent="0.3">
      <c r="B13" s="181"/>
      <c r="C13" s="129" t="s">
        <v>11</v>
      </c>
      <c r="D13" s="115">
        <f>17850/1000</f>
        <v>17.850000000000001</v>
      </c>
      <c r="E13" s="115">
        <f>19950/1000</f>
        <v>19.95</v>
      </c>
      <c r="F13" s="115">
        <f>21210/1000</f>
        <v>21.21</v>
      </c>
      <c r="G13" s="115">
        <f>24570/1000</f>
        <v>24.57</v>
      </c>
      <c r="H13" s="115">
        <f>21840/1000</f>
        <v>21.84</v>
      </c>
      <c r="I13" s="115">
        <f>16800/1000</f>
        <v>16.8</v>
      </c>
      <c r="J13" s="115">
        <f>17010/1000</f>
        <v>17.010000000000002</v>
      </c>
      <c r="K13" s="115">
        <f>17430/1000</f>
        <v>17.43</v>
      </c>
      <c r="L13" s="115">
        <f>22680/1000</f>
        <v>22.68</v>
      </c>
      <c r="M13" s="115">
        <f>26250/1000</f>
        <v>26.25</v>
      </c>
      <c r="N13" s="115">
        <f>26880/1000</f>
        <v>26.88</v>
      </c>
      <c r="O13" s="115">
        <f>25620/1000</f>
        <v>25.62</v>
      </c>
      <c r="P13" s="111">
        <f>23940/1000</f>
        <v>23.94</v>
      </c>
      <c r="Q13" s="111">
        <f>22680/1000</f>
        <v>22.68</v>
      </c>
      <c r="R13" s="111">
        <f>21630/1000</f>
        <v>21.63</v>
      </c>
      <c r="S13" s="111">
        <f>28880/1000</f>
        <v>28.88</v>
      </c>
      <c r="T13" s="111">
        <f>26040/1000</f>
        <v>26.04</v>
      </c>
      <c r="U13" s="111">
        <f>23310/1000</f>
        <v>23.31</v>
      </c>
      <c r="V13" s="111">
        <f>19530/1000</f>
        <v>19.53</v>
      </c>
      <c r="W13" s="111">
        <f>19740/1000</f>
        <v>19.739999999999998</v>
      </c>
      <c r="X13" s="111">
        <f>24780/1000</f>
        <v>24.78</v>
      </c>
      <c r="Y13" s="111">
        <f>22050/1000</f>
        <v>22.05</v>
      </c>
      <c r="Z13" s="111">
        <v>0</v>
      </c>
      <c r="AA13" s="111">
        <f>20580/1000</f>
        <v>20.58</v>
      </c>
      <c r="AB13" s="2"/>
      <c r="AC13" s="1" t="s">
        <v>45</v>
      </c>
      <c r="AD13" s="1">
        <f>SUM(P12:AA13)/SUM(P4:AA4)</f>
        <v>3.9497716894977171E-2</v>
      </c>
      <c r="AF13" s="1">
        <v>145</v>
      </c>
      <c r="AJ13" s="137"/>
      <c r="XCL13" s="4">
        <v>10</v>
      </c>
      <c r="XCM13" s="4">
        <v>744</v>
      </c>
      <c r="XCN13" s="4">
        <f t="shared" si="1"/>
        <v>31</v>
      </c>
    </row>
    <row r="14" spans="2:36 16314:16316" x14ac:dyDescent="0.3">
      <c r="B14" s="181"/>
      <c r="C14" s="129" t="s">
        <v>0</v>
      </c>
      <c r="D14" s="19" t="s">
        <v>44</v>
      </c>
      <c r="E14" s="20" t="s">
        <v>44</v>
      </c>
      <c r="F14" s="20" t="s">
        <v>44</v>
      </c>
      <c r="G14" s="20" t="s">
        <v>44</v>
      </c>
      <c r="H14" s="20" t="s">
        <v>44</v>
      </c>
      <c r="I14" s="20" t="s">
        <v>44</v>
      </c>
      <c r="J14" s="19" t="s">
        <v>44</v>
      </c>
      <c r="K14" s="20" t="s">
        <v>44</v>
      </c>
      <c r="L14" s="20" t="s">
        <v>44</v>
      </c>
      <c r="M14" s="20" t="s">
        <v>44</v>
      </c>
      <c r="N14" s="20" t="s">
        <v>44</v>
      </c>
      <c r="O14" s="20" t="s">
        <v>44</v>
      </c>
      <c r="P14" s="20" t="s">
        <v>44</v>
      </c>
      <c r="Q14" s="20" t="s">
        <v>44</v>
      </c>
      <c r="R14" s="20" t="s">
        <v>44</v>
      </c>
      <c r="S14" s="20" t="s">
        <v>44</v>
      </c>
      <c r="T14" s="20" t="s">
        <v>44</v>
      </c>
      <c r="U14" s="20" t="s">
        <v>44</v>
      </c>
      <c r="V14" s="20" t="s">
        <v>44</v>
      </c>
      <c r="W14" s="20" t="s">
        <v>44</v>
      </c>
      <c r="X14" s="20" t="s">
        <v>44</v>
      </c>
      <c r="Y14" s="20" t="s">
        <v>44</v>
      </c>
      <c r="Z14" s="20" t="s">
        <v>44</v>
      </c>
      <c r="AA14" s="20" t="s">
        <v>44</v>
      </c>
      <c r="AB14" s="2"/>
      <c r="AC14" s="1" t="s">
        <v>91</v>
      </c>
      <c r="AD14" s="93">
        <f>SUM(P12:AA12)/SUM(P12:AA13)</f>
        <v>0.26832369942196527</v>
      </c>
      <c r="AF14" s="1">
        <v>17.64</v>
      </c>
      <c r="AI14" s="94" t="s">
        <v>126</v>
      </c>
      <c r="AJ14" s="135">
        <f>AC188</f>
        <v>488652.73587953264</v>
      </c>
      <c r="XCL14" s="4"/>
      <c r="XCM14" s="4"/>
      <c r="XCN14" s="4"/>
    </row>
    <row r="15" spans="2:36 16314:16316" ht="12" customHeight="1" x14ac:dyDescent="0.3">
      <c r="B15" s="181"/>
      <c r="C15" s="107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8"/>
      <c r="AD15" s="1">
        <v>0.12392200974878137</v>
      </c>
      <c r="AF15" s="1">
        <f>AF13+AF14</f>
        <v>162.63999999999999</v>
      </c>
      <c r="AI15" s="94" t="s">
        <v>125</v>
      </c>
      <c r="AJ15" s="136">
        <f>(AJ6-AJ14)/AJ6</f>
        <v>0.36410251778445357</v>
      </c>
      <c r="XCL15" s="4">
        <v>11</v>
      </c>
      <c r="XCM15" s="4">
        <v>720</v>
      </c>
      <c r="XCN15" s="4">
        <f t="shared" si="1"/>
        <v>30</v>
      </c>
    </row>
    <row r="16" spans="2:36 16314:16316" x14ac:dyDescent="0.3">
      <c r="B16" s="181"/>
      <c r="C16" s="129" t="s">
        <v>12</v>
      </c>
      <c r="D16" s="126">
        <f>'SIMULAÇÃO CENÁRIOS'!$D$6</f>
        <v>0</v>
      </c>
      <c r="E16" s="126">
        <f>'SIMULAÇÃO CENÁRIOS'!$D$6</f>
        <v>0</v>
      </c>
      <c r="F16" s="126">
        <f>'SIMULAÇÃO CENÁRIOS'!$D$6</f>
        <v>0</v>
      </c>
      <c r="G16" s="126">
        <f>'SIMULAÇÃO CENÁRIOS'!$D$6</f>
        <v>0</v>
      </c>
      <c r="H16" s="126">
        <f>'SIMULAÇÃO CENÁRIOS'!$D$6</f>
        <v>0</v>
      </c>
      <c r="I16" s="126">
        <f>'SIMULAÇÃO CENÁRIOS'!$D$6</f>
        <v>0</v>
      </c>
      <c r="J16" s="126">
        <f>'SIMULAÇÃO CENÁRIOS'!$D$6</f>
        <v>0</v>
      </c>
      <c r="K16" s="126">
        <f>'SIMULAÇÃO CENÁRIOS'!$D$6</f>
        <v>0</v>
      </c>
      <c r="L16" s="126">
        <f>'SIMULAÇÃO CENÁRIOS'!$D$6</f>
        <v>0</v>
      </c>
      <c r="M16" s="126">
        <f>'SIMULAÇÃO CENÁRIOS'!$D$6</f>
        <v>0</v>
      </c>
      <c r="N16" s="126">
        <f>'SIMULAÇÃO CENÁRIOS'!$D$6</f>
        <v>0</v>
      </c>
      <c r="O16" s="126">
        <f>'SIMULAÇÃO CENÁRIOS'!$D$6</f>
        <v>0</v>
      </c>
      <c r="P16" s="126">
        <f>'SIMULAÇÃO CENÁRIOS'!$D$6</f>
        <v>0</v>
      </c>
      <c r="Q16" s="126">
        <f>'SIMULAÇÃO CENÁRIOS'!$D$6</f>
        <v>0</v>
      </c>
      <c r="R16" s="126">
        <f>'SIMULAÇÃO CENÁRIOS'!$D$6</f>
        <v>0</v>
      </c>
      <c r="S16" s="126">
        <f>'SIMULAÇÃO CENÁRIOS'!$D$6</f>
        <v>0</v>
      </c>
      <c r="T16" s="126">
        <f>'SIMULAÇÃO CENÁRIOS'!$D$6</f>
        <v>0</v>
      </c>
      <c r="U16" s="126">
        <f>'SIMULAÇÃO CENÁRIOS'!$D$6</f>
        <v>0</v>
      </c>
      <c r="V16" s="126">
        <f>'SIMULAÇÃO CENÁRIOS'!$D$6</f>
        <v>0</v>
      </c>
      <c r="W16" s="126">
        <f>'SIMULAÇÃO CENÁRIOS'!$D$6</f>
        <v>0</v>
      </c>
      <c r="X16" s="126">
        <f>'SIMULAÇÃO CENÁRIOS'!$D$6</f>
        <v>0</v>
      </c>
      <c r="Y16" s="126">
        <f>'SIMULAÇÃO CENÁRIOS'!$D$6</f>
        <v>0</v>
      </c>
      <c r="Z16" s="126">
        <f>'SIMULAÇÃO CENÁRIOS'!$D$6</f>
        <v>0</v>
      </c>
      <c r="AA16" s="126">
        <f>'SIMULAÇÃO CENÁRIOS'!$D$6</f>
        <v>0</v>
      </c>
      <c r="XCL16" s="4">
        <v>12</v>
      </c>
      <c r="XCM16" s="4">
        <v>744</v>
      </c>
      <c r="XCN16" s="4">
        <f t="shared" si="1"/>
        <v>31</v>
      </c>
    </row>
    <row r="17" spans="2:32" ht="9.75" customHeight="1" x14ac:dyDescent="0.3">
      <c r="B17" s="181"/>
      <c r="C17" s="107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8"/>
    </row>
    <row r="18" spans="2:32" ht="18.75" customHeight="1" x14ac:dyDescent="0.3">
      <c r="B18" s="181"/>
      <c r="C18" s="129" t="s">
        <v>13</v>
      </c>
      <c r="D18" s="9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9" t="s">
        <v>1</v>
      </c>
      <c r="K18" s="10" t="s">
        <v>1</v>
      </c>
      <c r="L18" s="10" t="s">
        <v>1</v>
      </c>
      <c r="M18" s="10" t="s">
        <v>1</v>
      </c>
      <c r="N18" s="10" t="s">
        <v>1</v>
      </c>
      <c r="O18" s="10" t="s">
        <v>1</v>
      </c>
      <c r="P18" s="9" t="s">
        <v>1</v>
      </c>
      <c r="Q18" s="9" t="s">
        <v>1</v>
      </c>
      <c r="R18" s="9" t="s">
        <v>1</v>
      </c>
      <c r="S18" s="9" t="s">
        <v>1</v>
      </c>
      <c r="T18" s="9" t="s">
        <v>1</v>
      </c>
      <c r="U18" s="9" t="s">
        <v>1</v>
      </c>
      <c r="V18" s="9" t="s">
        <v>1</v>
      </c>
      <c r="W18" s="9" t="s">
        <v>1</v>
      </c>
      <c r="X18" s="9" t="s">
        <v>1</v>
      </c>
      <c r="Y18" s="9" t="s">
        <v>1</v>
      </c>
      <c r="Z18" s="9" t="s">
        <v>1</v>
      </c>
      <c r="AA18" s="9" t="s">
        <v>1</v>
      </c>
      <c r="AF18" s="92">
        <f>AF15*1000</f>
        <v>162640</v>
      </c>
    </row>
    <row r="19" spans="2:32" x14ac:dyDescent="0.3">
      <c r="B19" s="181"/>
      <c r="C19" s="129" t="s">
        <v>14</v>
      </c>
      <c r="D19" s="11" t="s">
        <v>42</v>
      </c>
      <c r="E19" s="12" t="s">
        <v>42</v>
      </c>
      <c r="F19" s="12" t="s">
        <v>42</v>
      </c>
      <c r="G19" s="12" t="s">
        <v>42</v>
      </c>
      <c r="H19" s="12" t="s">
        <v>42</v>
      </c>
      <c r="I19" s="12" t="s">
        <v>42</v>
      </c>
      <c r="J19" s="11" t="s">
        <v>42</v>
      </c>
      <c r="K19" s="12" t="s">
        <v>42</v>
      </c>
      <c r="L19" s="12" t="s">
        <v>42</v>
      </c>
      <c r="M19" s="12" t="s">
        <v>42</v>
      </c>
      <c r="N19" s="12" t="s">
        <v>42</v>
      </c>
      <c r="O19" s="12" t="s">
        <v>42</v>
      </c>
      <c r="P19" s="12" t="s">
        <v>42</v>
      </c>
      <c r="Q19" s="12" t="s">
        <v>42</v>
      </c>
      <c r="R19" s="12" t="s">
        <v>42</v>
      </c>
      <c r="S19" s="12" t="s">
        <v>42</v>
      </c>
      <c r="T19" s="12" t="s">
        <v>42</v>
      </c>
      <c r="U19" s="12" t="s">
        <v>42</v>
      </c>
      <c r="V19" s="12" t="s">
        <v>42</v>
      </c>
      <c r="W19" s="12" t="s">
        <v>42</v>
      </c>
      <c r="X19" s="12" t="s">
        <v>42</v>
      </c>
      <c r="Y19" s="12" t="s">
        <v>42</v>
      </c>
      <c r="Z19" s="12" t="s">
        <v>42</v>
      </c>
      <c r="AA19" s="12" t="s">
        <v>42</v>
      </c>
      <c r="AF19" s="92">
        <f>AF18/100</f>
        <v>1626.4</v>
      </c>
    </row>
    <row r="20" spans="2:32" outlineLevel="1" x14ac:dyDescent="0.3">
      <c r="B20" s="181"/>
      <c r="C20" s="129" t="s">
        <v>15</v>
      </c>
      <c r="D20" s="13">
        <v>49.84</v>
      </c>
      <c r="E20" s="14">
        <v>49.84</v>
      </c>
      <c r="F20" s="14">
        <v>49.84</v>
      </c>
      <c r="G20" s="14">
        <v>49.84</v>
      </c>
      <c r="H20" s="14">
        <v>49.84</v>
      </c>
      <c r="I20" s="14">
        <v>49.84</v>
      </c>
      <c r="J20" s="13">
        <v>49.84</v>
      </c>
      <c r="K20" s="14">
        <v>49.84</v>
      </c>
      <c r="L20" s="14">
        <v>49.84</v>
      </c>
      <c r="M20" s="14">
        <v>49.84</v>
      </c>
      <c r="N20" s="14">
        <v>49.84</v>
      </c>
      <c r="O20" s="14">
        <v>49.84</v>
      </c>
      <c r="P20" s="14">
        <v>49.84</v>
      </c>
      <c r="Q20" s="14">
        <v>49.84</v>
      </c>
      <c r="R20" s="14">
        <v>49.84</v>
      </c>
      <c r="S20" s="14">
        <v>49.84</v>
      </c>
      <c r="T20" s="14">
        <v>49.84</v>
      </c>
      <c r="U20" s="14">
        <v>49.84</v>
      </c>
      <c r="V20" s="14">
        <v>49.84</v>
      </c>
      <c r="W20" s="14">
        <v>49.84</v>
      </c>
      <c r="X20" s="14">
        <v>49.84</v>
      </c>
      <c r="Y20" s="14">
        <v>49.84</v>
      </c>
      <c r="Z20" s="14">
        <v>49.84</v>
      </c>
      <c r="AA20" s="14">
        <v>49.84</v>
      </c>
      <c r="AF20" s="1">
        <f>AF19*1.343</f>
        <v>2184.2552000000001</v>
      </c>
    </row>
    <row r="21" spans="2:32" outlineLevel="1" x14ac:dyDescent="0.3">
      <c r="B21" s="181"/>
      <c r="C21" s="129" t="s">
        <v>16</v>
      </c>
      <c r="D21" s="11">
        <v>19.260000000000002</v>
      </c>
      <c r="E21" s="12">
        <v>19.260000000000002</v>
      </c>
      <c r="F21" s="12">
        <v>19.260000000000002</v>
      </c>
      <c r="G21" s="12">
        <v>19.260000000000002</v>
      </c>
      <c r="H21" s="12">
        <v>19.260000000000002</v>
      </c>
      <c r="I21" s="12">
        <v>19.260000000000002</v>
      </c>
      <c r="J21" s="11">
        <v>19.260000000000002</v>
      </c>
      <c r="K21" s="12">
        <v>19.260000000000002</v>
      </c>
      <c r="L21" s="12">
        <v>19.260000000000002</v>
      </c>
      <c r="M21" s="12">
        <v>19.260000000000002</v>
      </c>
      <c r="N21" s="12">
        <v>19.260000000000002</v>
      </c>
      <c r="O21" s="12">
        <v>19.260000000000002</v>
      </c>
      <c r="P21" s="12">
        <v>19.260000000000002</v>
      </c>
      <c r="Q21" s="12">
        <v>19.260000000000002</v>
      </c>
      <c r="R21" s="12">
        <v>19.260000000000002</v>
      </c>
      <c r="S21" s="12">
        <v>19.260000000000002</v>
      </c>
      <c r="T21" s="12">
        <v>19.260000000000002</v>
      </c>
      <c r="U21" s="12">
        <v>19.260000000000002</v>
      </c>
      <c r="V21" s="12">
        <v>19.260000000000002</v>
      </c>
      <c r="W21" s="12">
        <v>19.260000000000002</v>
      </c>
      <c r="X21" s="12">
        <v>19.260000000000002</v>
      </c>
      <c r="Y21" s="12">
        <v>19.260000000000002</v>
      </c>
      <c r="Z21" s="12">
        <v>19.260000000000002</v>
      </c>
      <c r="AA21" s="12">
        <v>19.260000000000002</v>
      </c>
    </row>
    <row r="22" spans="2:32" outlineLevel="1" x14ac:dyDescent="0.3">
      <c r="B22" s="181"/>
      <c r="C22" s="129" t="s">
        <v>17</v>
      </c>
      <c r="D22" s="15">
        <v>1292.96</v>
      </c>
      <c r="E22" s="16">
        <v>1292.96</v>
      </c>
      <c r="F22" s="16">
        <v>1292.96</v>
      </c>
      <c r="G22" s="16">
        <v>1292.96</v>
      </c>
      <c r="H22" s="16">
        <v>1292.96</v>
      </c>
      <c r="I22" s="16">
        <v>1292.96</v>
      </c>
      <c r="J22" s="15">
        <v>1292.96</v>
      </c>
      <c r="K22" s="16">
        <v>1292.96</v>
      </c>
      <c r="L22" s="16">
        <v>1292.96</v>
      </c>
      <c r="M22" s="16">
        <v>1292.96</v>
      </c>
      <c r="N22" s="16">
        <v>1292.96</v>
      </c>
      <c r="O22" s="16">
        <v>1292.96</v>
      </c>
      <c r="P22" s="16">
        <v>1292.96</v>
      </c>
      <c r="Q22" s="16">
        <v>1292.96</v>
      </c>
      <c r="R22" s="16">
        <v>1292.96</v>
      </c>
      <c r="S22" s="16">
        <v>1292.96</v>
      </c>
      <c r="T22" s="16">
        <v>1292.96</v>
      </c>
      <c r="U22" s="16">
        <v>1292.96</v>
      </c>
      <c r="V22" s="16">
        <v>1292.96</v>
      </c>
      <c r="W22" s="16">
        <v>1292.96</v>
      </c>
      <c r="X22" s="16">
        <v>1292.96</v>
      </c>
      <c r="Y22" s="16">
        <v>1292.96</v>
      </c>
      <c r="Z22" s="16">
        <v>1292.96</v>
      </c>
      <c r="AA22" s="16">
        <v>1292.96</v>
      </c>
    </row>
    <row r="23" spans="2:32" outlineLevel="1" x14ac:dyDescent="0.3">
      <c r="B23" s="181"/>
      <c r="C23" s="129" t="s">
        <v>18</v>
      </c>
      <c r="D23" s="17">
        <v>83.39</v>
      </c>
      <c r="E23" s="18">
        <v>83.39</v>
      </c>
      <c r="F23" s="18">
        <v>83.39</v>
      </c>
      <c r="G23" s="18">
        <v>83.39</v>
      </c>
      <c r="H23" s="18">
        <v>83.39</v>
      </c>
      <c r="I23" s="18">
        <v>83.39</v>
      </c>
      <c r="J23" s="17">
        <v>83.39</v>
      </c>
      <c r="K23" s="18">
        <v>83.39</v>
      </c>
      <c r="L23" s="18">
        <v>83.39</v>
      </c>
      <c r="M23" s="18">
        <v>83.39</v>
      </c>
      <c r="N23" s="18">
        <v>83.39</v>
      </c>
      <c r="O23" s="18">
        <v>83.39</v>
      </c>
      <c r="P23" s="18">
        <v>83.39</v>
      </c>
      <c r="Q23" s="18">
        <v>83.39</v>
      </c>
      <c r="R23" s="18">
        <v>83.39</v>
      </c>
      <c r="S23" s="18">
        <v>83.39</v>
      </c>
      <c r="T23" s="18">
        <v>83.39</v>
      </c>
      <c r="U23" s="18">
        <v>83.39</v>
      </c>
      <c r="V23" s="18">
        <v>83.39</v>
      </c>
      <c r="W23" s="18">
        <v>83.39</v>
      </c>
      <c r="X23" s="18">
        <v>83.39</v>
      </c>
      <c r="Y23" s="18">
        <v>83.39</v>
      </c>
      <c r="Z23" s="18">
        <v>83.39</v>
      </c>
      <c r="AA23" s="18">
        <v>83.39</v>
      </c>
    </row>
    <row r="24" spans="2:32" outlineLevel="1" x14ac:dyDescent="0.3">
      <c r="B24" s="181"/>
      <c r="C24" s="129" t="s">
        <v>19</v>
      </c>
      <c r="D24" s="15">
        <v>420.68</v>
      </c>
      <c r="E24" s="16">
        <v>420.68</v>
      </c>
      <c r="F24" s="16">
        <v>420.68</v>
      </c>
      <c r="G24" s="16">
        <v>420.68</v>
      </c>
      <c r="H24" s="16">
        <v>420.68</v>
      </c>
      <c r="I24" s="16">
        <v>420.68</v>
      </c>
      <c r="J24" s="15">
        <v>420.68</v>
      </c>
      <c r="K24" s="16">
        <v>420.68</v>
      </c>
      <c r="L24" s="16">
        <v>420.68</v>
      </c>
      <c r="M24" s="16">
        <v>420.68</v>
      </c>
      <c r="N24" s="16">
        <v>420.68</v>
      </c>
      <c r="O24" s="16">
        <v>420.68</v>
      </c>
      <c r="P24" s="16">
        <v>420.68</v>
      </c>
      <c r="Q24" s="16">
        <v>420.68</v>
      </c>
      <c r="R24" s="16">
        <v>420.68</v>
      </c>
      <c r="S24" s="16">
        <v>420.68</v>
      </c>
      <c r="T24" s="16">
        <v>420.68</v>
      </c>
      <c r="U24" s="16">
        <v>420.68</v>
      </c>
      <c r="V24" s="16">
        <v>420.68</v>
      </c>
      <c r="W24" s="16">
        <v>420.68</v>
      </c>
      <c r="X24" s="16">
        <v>420.68</v>
      </c>
      <c r="Y24" s="16">
        <v>420.68</v>
      </c>
      <c r="Z24" s="16">
        <v>420.68</v>
      </c>
      <c r="AA24" s="16">
        <v>420.68</v>
      </c>
    </row>
    <row r="25" spans="2:32" outlineLevel="1" x14ac:dyDescent="0.3">
      <c r="B25" s="181"/>
      <c r="C25" s="130" t="s">
        <v>20</v>
      </c>
      <c r="D25" s="21">
        <v>251.44</v>
      </c>
      <c r="E25" s="22">
        <v>251.44</v>
      </c>
      <c r="F25" s="22">
        <v>251.44</v>
      </c>
      <c r="G25" s="22">
        <v>251.44</v>
      </c>
      <c r="H25" s="22">
        <v>251.44</v>
      </c>
      <c r="I25" s="22">
        <v>251.44</v>
      </c>
      <c r="J25" s="21">
        <v>251.44</v>
      </c>
      <c r="K25" s="22">
        <v>251.44</v>
      </c>
      <c r="L25" s="22">
        <v>251.44</v>
      </c>
      <c r="M25" s="22">
        <v>251.44</v>
      </c>
      <c r="N25" s="22">
        <v>251.44</v>
      </c>
      <c r="O25" s="22">
        <v>251.44</v>
      </c>
      <c r="P25" s="22">
        <v>251.44</v>
      </c>
      <c r="Q25" s="22">
        <v>251.44</v>
      </c>
      <c r="R25" s="22">
        <v>251.44</v>
      </c>
      <c r="S25" s="22">
        <v>251.44</v>
      </c>
      <c r="T25" s="22">
        <v>251.44</v>
      </c>
      <c r="U25" s="22">
        <v>251.44</v>
      </c>
      <c r="V25" s="22">
        <v>251.44</v>
      </c>
      <c r="W25" s="22">
        <v>251.44</v>
      </c>
      <c r="X25" s="22">
        <v>251.44</v>
      </c>
      <c r="Y25" s="22">
        <v>251.44</v>
      </c>
      <c r="Z25" s="22">
        <v>251.44</v>
      </c>
      <c r="AA25" s="22">
        <v>251.44</v>
      </c>
    </row>
    <row r="26" spans="2:32" ht="8.25" customHeight="1" x14ac:dyDescent="0.3">
      <c r="B26" s="181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23"/>
    </row>
    <row r="27" spans="2:32" x14ac:dyDescent="0.3">
      <c r="B27" s="181"/>
      <c r="C27" s="129" t="s">
        <v>21</v>
      </c>
      <c r="D27" s="24">
        <v>0.27</v>
      </c>
      <c r="E27" s="24">
        <v>0.27</v>
      </c>
      <c r="F27" s="24">
        <v>0.27</v>
      </c>
      <c r="G27" s="24">
        <v>0.27</v>
      </c>
      <c r="H27" s="24">
        <v>0.27</v>
      </c>
      <c r="I27" s="24">
        <v>0.27</v>
      </c>
      <c r="J27" s="24">
        <v>0.27</v>
      </c>
      <c r="K27" s="24">
        <v>0.27</v>
      </c>
      <c r="L27" s="24">
        <v>0.27</v>
      </c>
      <c r="M27" s="24">
        <v>0.27</v>
      </c>
      <c r="N27" s="24">
        <v>0.27</v>
      </c>
      <c r="O27" s="24">
        <v>0.27</v>
      </c>
      <c r="P27" s="24">
        <v>0.27</v>
      </c>
      <c r="Q27" s="24">
        <v>0.27</v>
      </c>
      <c r="R27" s="24">
        <v>0.27</v>
      </c>
      <c r="S27" s="24">
        <v>0.27</v>
      </c>
      <c r="T27" s="24">
        <v>0.27</v>
      </c>
      <c r="U27" s="24">
        <v>0.27</v>
      </c>
      <c r="V27" s="24">
        <v>0.27</v>
      </c>
      <c r="W27" s="24">
        <v>0.27</v>
      </c>
      <c r="X27" s="24">
        <v>0.27</v>
      </c>
      <c r="Y27" s="24">
        <v>0.27</v>
      </c>
      <c r="Z27" s="24">
        <v>0.27</v>
      </c>
      <c r="AA27" s="24">
        <v>0.27</v>
      </c>
    </row>
    <row r="28" spans="2:32" x14ac:dyDescent="0.3">
      <c r="B28" s="181"/>
      <c r="C28" s="129" t="s">
        <v>22</v>
      </c>
      <c r="D28" s="25">
        <v>0.05</v>
      </c>
      <c r="E28" s="26">
        <v>0.05</v>
      </c>
      <c r="F28" s="26">
        <v>0.05</v>
      </c>
      <c r="G28" s="26">
        <v>0.05</v>
      </c>
      <c r="H28" s="26">
        <v>0.05</v>
      </c>
      <c r="I28" s="26">
        <v>0.05</v>
      </c>
      <c r="J28" s="25">
        <v>0.05</v>
      </c>
      <c r="K28" s="26">
        <v>0.05</v>
      </c>
      <c r="L28" s="26">
        <v>0.05</v>
      </c>
      <c r="M28" s="26">
        <v>0.05</v>
      </c>
      <c r="N28" s="26">
        <v>0.05</v>
      </c>
      <c r="O28" s="26">
        <v>0.05</v>
      </c>
      <c r="P28" s="26">
        <v>0.05</v>
      </c>
      <c r="Q28" s="26">
        <v>0.05</v>
      </c>
      <c r="R28" s="26">
        <v>0.05</v>
      </c>
      <c r="S28" s="26">
        <v>0.05</v>
      </c>
      <c r="T28" s="26">
        <v>0.05</v>
      </c>
      <c r="U28" s="26">
        <v>0.05</v>
      </c>
      <c r="V28" s="26">
        <v>0.05</v>
      </c>
      <c r="W28" s="26">
        <v>0.05</v>
      </c>
      <c r="X28" s="26">
        <v>0.05</v>
      </c>
      <c r="Y28" s="26">
        <v>0.05</v>
      </c>
      <c r="Z28" s="26">
        <v>0.05</v>
      </c>
      <c r="AA28" s="26">
        <v>0.05</v>
      </c>
    </row>
    <row r="29" spans="2:32" ht="9.75" customHeight="1" x14ac:dyDescent="0.3">
      <c r="B29" s="181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23"/>
    </row>
    <row r="30" spans="2:32" outlineLevel="1" x14ac:dyDescent="0.3">
      <c r="B30" s="181"/>
      <c r="C30" s="131" t="s">
        <v>23</v>
      </c>
      <c r="D30" s="27">
        <f>IF(D19="Azul",D8*D20*(1-D16),0)</f>
        <v>0</v>
      </c>
      <c r="E30" s="28">
        <f t="shared" ref="E30:AA30" si="4">IF(E19="Azul",E8*E20*(1-E16),0)</f>
        <v>0</v>
      </c>
      <c r="F30" s="28">
        <f t="shared" si="4"/>
        <v>0</v>
      </c>
      <c r="G30" s="28">
        <f t="shared" si="4"/>
        <v>0</v>
      </c>
      <c r="H30" s="28">
        <f t="shared" si="4"/>
        <v>0</v>
      </c>
      <c r="I30" s="28">
        <f t="shared" si="4"/>
        <v>0</v>
      </c>
      <c r="J30" s="27">
        <f t="shared" si="4"/>
        <v>0</v>
      </c>
      <c r="K30" s="28">
        <f t="shared" si="4"/>
        <v>0</v>
      </c>
      <c r="L30" s="28">
        <f t="shared" si="4"/>
        <v>0</v>
      </c>
      <c r="M30" s="28">
        <f t="shared" si="4"/>
        <v>0</v>
      </c>
      <c r="N30" s="28">
        <f t="shared" si="4"/>
        <v>0</v>
      </c>
      <c r="O30" s="28">
        <f t="shared" si="4"/>
        <v>0</v>
      </c>
      <c r="P30" s="27">
        <f>IF(P19="Azul",P8*P20*(1-P16),0)</f>
        <v>0</v>
      </c>
      <c r="Q30" s="28">
        <f t="shared" si="4"/>
        <v>0</v>
      </c>
      <c r="R30" s="28">
        <f t="shared" si="4"/>
        <v>0</v>
      </c>
      <c r="S30" s="28">
        <f t="shared" si="4"/>
        <v>0</v>
      </c>
      <c r="T30" s="28">
        <f t="shared" si="4"/>
        <v>0</v>
      </c>
      <c r="U30" s="28">
        <f t="shared" si="4"/>
        <v>0</v>
      </c>
      <c r="V30" s="28">
        <f t="shared" si="4"/>
        <v>0</v>
      </c>
      <c r="W30" s="28">
        <f t="shared" si="4"/>
        <v>0</v>
      </c>
      <c r="X30" s="28">
        <f t="shared" si="4"/>
        <v>0</v>
      </c>
      <c r="Y30" s="28">
        <f t="shared" si="4"/>
        <v>0</v>
      </c>
      <c r="Z30" s="28">
        <f t="shared" si="4"/>
        <v>0</v>
      </c>
      <c r="AA30" s="28">
        <f t="shared" si="4"/>
        <v>0</v>
      </c>
    </row>
    <row r="31" spans="2:32" outlineLevel="1" x14ac:dyDescent="0.3">
      <c r="B31" s="181"/>
      <c r="C31" s="131" t="s">
        <v>24</v>
      </c>
      <c r="D31" s="29">
        <f>D10*D20*2</f>
        <v>0</v>
      </c>
      <c r="E31" s="30">
        <f t="shared" ref="E31:AA31" si="5">E10*E20*2</f>
        <v>0</v>
      </c>
      <c r="F31" s="30">
        <f t="shared" si="5"/>
        <v>0</v>
      </c>
      <c r="G31" s="30">
        <f t="shared" si="5"/>
        <v>0</v>
      </c>
      <c r="H31" s="30">
        <f t="shared" si="5"/>
        <v>0</v>
      </c>
      <c r="I31" s="30">
        <f t="shared" si="5"/>
        <v>0</v>
      </c>
      <c r="J31" s="29">
        <f t="shared" si="5"/>
        <v>0</v>
      </c>
      <c r="K31" s="30">
        <f t="shared" si="5"/>
        <v>0</v>
      </c>
      <c r="L31" s="30">
        <f t="shared" si="5"/>
        <v>0</v>
      </c>
      <c r="M31" s="30">
        <f t="shared" si="5"/>
        <v>0</v>
      </c>
      <c r="N31" s="30">
        <f t="shared" si="5"/>
        <v>0</v>
      </c>
      <c r="O31" s="30">
        <f t="shared" si="5"/>
        <v>0</v>
      </c>
      <c r="P31" s="29">
        <f>P10*P20*2</f>
        <v>0</v>
      </c>
      <c r="Q31" s="30">
        <f t="shared" si="5"/>
        <v>0</v>
      </c>
      <c r="R31" s="30">
        <f t="shared" si="5"/>
        <v>0</v>
      </c>
      <c r="S31" s="30">
        <f t="shared" si="5"/>
        <v>0</v>
      </c>
      <c r="T31" s="30">
        <f t="shared" si="5"/>
        <v>0</v>
      </c>
      <c r="U31" s="30">
        <f t="shared" si="5"/>
        <v>0</v>
      </c>
      <c r="V31" s="30">
        <f t="shared" si="5"/>
        <v>0</v>
      </c>
      <c r="W31" s="30">
        <f t="shared" si="5"/>
        <v>0</v>
      </c>
      <c r="X31" s="30">
        <f t="shared" si="5"/>
        <v>0</v>
      </c>
      <c r="Y31" s="30">
        <f t="shared" si="5"/>
        <v>0</v>
      </c>
      <c r="Z31" s="30">
        <f t="shared" si="5"/>
        <v>0</v>
      </c>
      <c r="AA31" s="30">
        <f t="shared" si="5"/>
        <v>0</v>
      </c>
    </row>
    <row r="32" spans="2:32" outlineLevel="1" x14ac:dyDescent="0.3">
      <c r="B32" s="181"/>
      <c r="C32" s="131" t="s">
        <v>25</v>
      </c>
      <c r="D32" s="31">
        <f>D9*D21*(1-D16)</f>
        <v>4622.4000000000005</v>
      </c>
      <c r="E32" s="32">
        <f t="shared" ref="E32:AA32" si="6">E9*E21*(1-E16)</f>
        <v>4622.4000000000005</v>
      </c>
      <c r="F32" s="32">
        <f t="shared" si="6"/>
        <v>4622.4000000000005</v>
      </c>
      <c r="G32" s="32">
        <f t="shared" si="6"/>
        <v>4622.4000000000005</v>
      </c>
      <c r="H32" s="32">
        <f t="shared" si="6"/>
        <v>4622.4000000000005</v>
      </c>
      <c r="I32" s="32">
        <f t="shared" si="6"/>
        <v>4622.4000000000005</v>
      </c>
      <c r="J32" s="31">
        <f t="shared" si="6"/>
        <v>4622.4000000000005</v>
      </c>
      <c r="K32" s="32">
        <f t="shared" si="6"/>
        <v>4622.4000000000005</v>
      </c>
      <c r="L32" s="32">
        <f t="shared" si="6"/>
        <v>4622.4000000000005</v>
      </c>
      <c r="M32" s="32">
        <f t="shared" si="6"/>
        <v>4622.4000000000005</v>
      </c>
      <c r="N32" s="32">
        <f t="shared" si="6"/>
        <v>4622.4000000000005</v>
      </c>
      <c r="O32" s="32">
        <f t="shared" si="6"/>
        <v>4622.4000000000005</v>
      </c>
      <c r="P32" s="31">
        <f>P9*P21*(1-P16)</f>
        <v>4622.4000000000005</v>
      </c>
      <c r="Q32" s="32">
        <f t="shared" si="6"/>
        <v>4622.4000000000005</v>
      </c>
      <c r="R32" s="32">
        <f t="shared" si="6"/>
        <v>4622.4000000000005</v>
      </c>
      <c r="S32" s="32">
        <f t="shared" si="6"/>
        <v>4622.4000000000005</v>
      </c>
      <c r="T32" s="32">
        <f t="shared" si="6"/>
        <v>4622.4000000000005</v>
      </c>
      <c r="U32" s="32">
        <f t="shared" si="6"/>
        <v>4622.4000000000005</v>
      </c>
      <c r="V32" s="32">
        <f t="shared" si="6"/>
        <v>4622.4000000000005</v>
      </c>
      <c r="W32" s="32">
        <f t="shared" si="6"/>
        <v>4622.4000000000005</v>
      </c>
      <c r="X32" s="32">
        <f t="shared" si="6"/>
        <v>4622.4000000000005</v>
      </c>
      <c r="Y32" s="32">
        <f t="shared" si="6"/>
        <v>4622.4000000000005</v>
      </c>
      <c r="Z32" s="32">
        <f t="shared" si="6"/>
        <v>4622.4000000000005</v>
      </c>
      <c r="AA32" s="32">
        <f t="shared" si="6"/>
        <v>4622.4000000000005</v>
      </c>
    </row>
    <row r="33" spans="2:29" outlineLevel="1" x14ac:dyDescent="0.3">
      <c r="B33" s="181"/>
      <c r="C33" s="131" t="s">
        <v>26</v>
      </c>
      <c r="D33" s="29">
        <f>D11*D21*2</f>
        <v>0</v>
      </c>
      <c r="E33" s="30">
        <f t="shared" ref="E33:AA33" si="7">E11*E21*2</f>
        <v>0</v>
      </c>
      <c r="F33" s="30">
        <f t="shared" si="7"/>
        <v>0</v>
      </c>
      <c r="G33" s="30">
        <f t="shared" si="7"/>
        <v>0</v>
      </c>
      <c r="H33" s="30">
        <f t="shared" si="7"/>
        <v>0</v>
      </c>
      <c r="I33" s="30">
        <f t="shared" si="7"/>
        <v>0</v>
      </c>
      <c r="J33" s="29">
        <f t="shared" si="7"/>
        <v>0</v>
      </c>
      <c r="K33" s="30">
        <f t="shared" si="7"/>
        <v>0</v>
      </c>
      <c r="L33" s="30">
        <f t="shared" si="7"/>
        <v>0</v>
      </c>
      <c r="M33" s="30">
        <f t="shared" si="7"/>
        <v>0</v>
      </c>
      <c r="N33" s="30">
        <f t="shared" si="7"/>
        <v>0</v>
      </c>
      <c r="O33" s="30">
        <f t="shared" si="7"/>
        <v>0</v>
      </c>
      <c r="P33" s="29">
        <f>P11*P21*2</f>
        <v>0</v>
      </c>
      <c r="Q33" s="30">
        <f t="shared" si="7"/>
        <v>0</v>
      </c>
      <c r="R33" s="30">
        <f t="shared" si="7"/>
        <v>0</v>
      </c>
      <c r="S33" s="30">
        <f t="shared" si="7"/>
        <v>0</v>
      </c>
      <c r="T33" s="30">
        <f t="shared" si="7"/>
        <v>0</v>
      </c>
      <c r="U33" s="30">
        <f t="shared" si="7"/>
        <v>0</v>
      </c>
      <c r="V33" s="30">
        <f t="shared" si="7"/>
        <v>0</v>
      </c>
      <c r="W33" s="30">
        <f t="shared" si="7"/>
        <v>0</v>
      </c>
      <c r="X33" s="30">
        <f t="shared" si="7"/>
        <v>0</v>
      </c>
      <c r="Y33" s="30">
        <f t="shared" si="7"/>
        <v>0</v>
      </c>
      <c r="Z33" s="30">
        <f t="shared" si="7"/>
        <v>0</v>
      </c>
      <c r="AA33" s="30">
        <f t="shared" si="7"/>
        <v>0</v>
      </c>
    </row>
    <row r="34" spans="2:29" outlineLevel="1" x14ac:dyDescent="0.3">
      <c r="B34" s="181"/>
      <c r="C34" s="131" t="s">
        <v>27</v>
      </c>
      <c r="D34" s="31">
        <f>IF(D19="Azul",D12*D23,D12*((D22-D23)*(1-D16)+D23))</f>
        <v>3801.3024</v>
      </c>
      <c r="E34" s="32">
        <f t="shared" ref="E34:AA34" si="8">IF(E19="Azul",E12*E23,E12*((E22-E23)*(1-E16)+E23))</f>
        <v>4887.3887999999997</v>
      </c>
      <c r="F34" s="32">
        <f t="shared" si="8"/>
        <v>5701.9536000000007</v>
      </c>
      <c r="G34" s="32">
        <f t="shared" si="8"/>
        <v>5430.4320000000007</v>
      </c>
      <c r="H34" s="32">
        <f t="shared" si="8"/>
        <v>5430.4320000000007</v>
      </c>
      <c r="I34" s="32">
        <f t="shared" si="8"/>
        <v>2715.2160000000003</v>
      </c>
      <c r="J34" s="31">
        <f t="shared" si="8"/>
        <v>3801.3024</v>
      </c>
      <c r="K34" s="32">
        <f t="shared" si="8"/>
        <v>4072.8240000000001</v>
      </c>
      <c r="L34" s="32">
        <f t="shared" si="8"/>
        <v>6244.9967999999999</v>
      </c>
      <c r="M34" s="32">
        <f t="shared" si="8"/>
        <v>7331.0832</v>
      </c>
      <c r="N34" s="32">
        <f t="shared" si="8"/>
        <v>5158.9104000000007</v>
      </c>
      <c r="O34" s="32">
        <f t="shared" si="8"/>
        <v>6788.04</v>
      </c>
      <c r="P34" s="31">
        <f>IF(P19="Azul",P12*P23,P12*((P22-P23)*(1-P16)+P23))</f>
        <v>4887.3887999999997</v>
      </c>
      <c r="Q34" s="32">
        <f t="shared" si="8"/>
        <v>3529.7808</v>
      </c>
      <c r="R34" s="32">
        <f t="shared" si="8"/>
        <v>62449.968000000001</v>
      </c>
      <c r="S34" s="32">
        <f t="shared" si="8"/>
        <v>7874.1264000000001</v>
      </c>
      <c r="T34" s="32">
        <f t="shared" si="8"/>
        <v>5701.9536000000007</v>
      </c>
      <c r="U34" s="32">
        <f t="shared" si="8"/>
        <v>7059.5616</v>
      </c>
      <c r="V34" s="32">
        <f t="shared" si="8"/>
        <v>5973.4751999999999</v>
      </c>
      <c r="W34" s="32">
        <f t="shared" si="8"/>
        <v>6516.5183999999999</v>
      </c>
      <c r="X34" s="32">
        <f t="shared" si="8"/>
        <v>6244.9967999999999</v>
      </c>
      <c r="Y34" s="32">
        <f t="shared" si="8"/>
        <v>4370.2048000000004</v>
      </c>
      <c r="Z34" s="32">
        <f t="shared" si="8"/>
        <v>0</v>
      </c>
      <c r="AA34" s="32">
        <f t="shared" si="8"/>
        <v>5430.4320000000007</v>
      </c>
    </row>
    <row r="35" spans="2:29" outlineLevel="1" x14ac:dyDescent="0.3">
      <c r="B35" s="181"/>
      <c r="C35" s="132" t="s">
        <v>28</v>
      </c>
      <c r="D35" s="33">
        <f>D13*D23</f>
        <v>1488.5115000000001</v>
      </c>
      <c r="E35" s="34">
        <f t="shared" ref="E35:AA35" si="9">E13*E23</f>
        <v>1663.6305</v>
      </c>
      <c r="F35" s="34">
        <f t="shared" si="9"/>
        <v>1768.7019</v>
      </c>
      <c r="G35" s="34">
        <f t="shared" si="9"/>
        <v>2048.8923</v>
      </c>
      <c r="H35" s="34">
        <f t="shared" si="9"/>
        <v>1821.2375999999999</v>
      </c>
      <c r="I35" s="34">
        <f t="shared" si="9"/>
        <v>1400.952</v>
      </c>
      <c r="J35" s="33">
        <f t="shared" si="9"/>
        <v>1418.4639000000002</v>
      </c>
      <c r="K35" s="34">
        <f t="shared" si="9"/>
        <v>1453.4876999999999</v>
      </c>
      <c r="L35" s="34">
        <f t="shared" si="9"/>
        <v>1891.2852</v>
      </c>
      <c r="M35" s="34">
        <f t="shared" si="9"/>
        <v>2188.9875000000002</v>
      </c>
      <c r="N35" s="34">
        <f t="shared" si="9"/>
        <v>2241.5232000000001</v>
      </c>
      <c r="O35" s="34">
        <f t="shared" si="9"/>
        <v>2136.4518000000003</v>
      </c>
      <c r="P35" s="33">
        <f>P13*P23</f>
        <v>1996.3566000000001</v>
      </c>
      <c r="Q35" s="34">
        <f t="shared" si="9"/>
        <v>1891.2852</v>
      </c>
      <c r="R35" s="34">
        <f t="shared" si="9"/>
        <v>1803.7257</v>
      </c>
      <c r="S35" s="34">
        <f t="shared" si="9"/>
        <v>2408.3031999999998</v>
      </c>
      <c r="T35" s="34">
        <f t="shared" si="9"/>
        <v>2171.4755999999998</v>
      </c>
      <c r="U35" s="34">
        <f t="shared" si="9"/>
        <v>1943.8208999999999</v>
      </c>
      <c r="V35" s="34">
        <f t="shared" si="9"/>
        <v>1628.6067</v>
      </c>
      <c r="W35" s="34">
        <f t="shared" si="9"/>
        <v>1646.1185999999998</v>
      </c>
      <c r="X35" s="34">
        <f t="shared" si="9"/>
        <v>2066.4041999999999</v>
      </c>
      <c r="Y35" s="34">
        <f t="shared" si="9"/>
        <v>1838.7495000000001</v>
      </c>
      <c r="Z35" s="34">
        <f t="shared" si="9"/>
        <v>0</v>
      </c>
      <c r="AA35" s="34">
        <f t="shared" si="9"/>
        <v>1716.1661999999999</v>
      </c>
    </row>
    <row r="36" spans="2:29" x14ac:dyDescent="0.3">
      <c r="B36" s="181"/>
      <c r="C36" s="131" t="s">
        <v>29</v>
      </c>
      <c r="D36" s="27">
        <f>SUM(D30:D35)</f>
        <v>9912.2139000000006</v>
      </c>
      <c r="E36" s="28">
        <f>SUM(E30:E35)</f>
        <v>11173.4193</v>
      </c>
      <c r="F36" s="28">
        <f>SUM(F30:F35)</f>
        <v>12093.055500000002</v>
      </c>
      <c r="G36" s="28">
        <f t="shared" ref="G36:AA36" si="10">SUM(G30:G35)</f>
        <v>12101.724300000002</v>
      </c>
      <c r="H36" s="28">
        <f t="shared" si="10"/>
        <v>11874.069600000003</v>
      </c>
      <c r="I36" s="28">
        <f t="shared" si="10"/>
        <v>8738.5680000000011</v>
      </c>
      <c r="J36" s="27">
        <f t="shared" si="10"/>
        <v>9842.1663000000008</v>
      </c>
      <c r="K36" s="28">
        <f t="shared" si="10"/>
        <v>10148.7117</v>
      </c>
      <c r="L36" s="28">
        <f t="shared" si="10"/>
        <v>12758.682000000001</v>
      </c>
      <c r="M36" s="28">
        <f t="shared" si="10"/>
        <v>14142.470700000002</v>
      </c>
      <c r="N36" s="28">
        <f t="shared" si="10"/>
        <v>12022.833600000002</v>
      </c>
      <c r="O36" s="28">
        <f t="shared" si="10"/>
        <v>13546.891800000001</v>
      </c>
      <c r="P36" s="27">
        <f>SUM(P30:P35)</f>
        <v>11506.145400000001</v>
      </c>
      <c r="Q36" s="28">
        <f t="shared" si="10"/>
        <v>10043.466</v>
      </c>
      <c r="R36" s="28">
        <f t="shared" si="10"/>
        <v>68876.093699999998</v>
      </c>
      <c r="S36" s="28">
        <f t="shared" si="10"/>
        <v>14904.829600000001</v>
      </c>
      <c r="T36" s="28">
        <f t="shared" si="10"/>
        <v>12495.829200000002</v>
      </c>
      <c r="U36" s="28">
        <f t="shared" si="10"/>
        <v>13625.782500000001</v>
      </c>
      <c r="V36" s="28">
        <f t="shared" si="10"/>
        <v>12224.481900000001</v>
      </c>
      <c r="W36" s="28">
        <f t="shared" si="10"/>
        <v>12785.037</v>
      </c>
      <c r="X36" s="28">
        <f t="shared" si="10"/>
        <v>12933.800999999999</v>
      </c>
      <c r="Y36" s="28">
        <f t="shared" si="10"/>
        <v>10831.354300000001</v>
      </c>
      <c r="Z36" s="28">
        <f t="shared" si="10"/>
        <v>4622.4000000000005</v>
      </c>
      <c r="AA36" s="28">
        <f t="shared" si="10"/>
        <v>11768.998200000002</v>
      </c>
    </row>
    <row r="37" spans="2:29" x14ac:dyDescent="0.3">
      <c r="B37" s="181"/>
      <c r="C37" s="131" t="s">
        <v>30</v>
      </c>
      <c r="D37" s="35">
        <f>D36/(1-SUM(D27:D28))*SUM(D27:D28)+((D41+D39+D40)/(1-SUM(D27:D28)))*SUM(D27:D28)</f>
        <v>4664.5712470588251</v>
      </c>
      <c r="E37" s="36">
        <f t="shared" ref="E37:AA37" si="11">E36/(1-SUM(E27:E28))*SUM(E27:E28)+((E41+E39+E40)/(1-SUM(E27:E28)))*SUM(E27:E28)</f>
        <v>5258.0796705882358</v>
      </c>
      <c r="F37" s="36">
        <f t="shared" si="11"/>
        <v>5690.8496470588252</v>
      </c>
      <c r="G37" s="36">
        <f t="shared" si="11"/>
        <v>5694.9290823529427</v>
      </c>
      <c r="H37" s="36">
        <f t="shared" si="11"/>
        <v>5587.797458823532</v>
      </c>
      <c r="I37" s="36">
        <f t="shared" si="11"/>
        <v>4112.2672941176479</v>
      </c>
      <c r="J37" s="35">
        <f t="shared" si="11"/>
        <v>4631.607670588236</v>
      </c>
      <c r="K37" s="36">
        <f t="shared" si="11"/>
        <v>4775.8643294117655</v>
      </c>
      <c r="L37" s="36">
        <f t="shared" si="11"/>
        <v>6004.0856470588251</v>
      </c>
      <c r="M37" s="36">
        <f t="shared" si="11"/>
        <v>6655.2803294117657</v>
      </c>
      <c r="N37" s="36">
        <f t="shared" si="11"/>
        <v>5657.8040470588257</v>
      </c>
      <c r="O37" s="36">
        <f t="shared" si="11"/>
        <v>6375.007905882354</v>
      </c>
      <c r="P37" s="35">
        <f t="shared" si="11"/>
        <v>5414.656658823531</v>
      </c>
      <c r="Q37" s="36">
        <f t="shared" si="11"/>
        <v>4726.3369411764716</v>
      </c>
      <c r="R37" s="36">
        <f t="shared" si="11"/>
        <v>32412.279388235296</v>
      </c>
      <c r="S37" s="36">
        <f t="shared" si="11"/>
        <v>7014.0374588235309</v>
      </c>
      <c r="T37" s="36">
        <f t="shared" si="11"/>
        <v>5880.3902117647067</v>
      </c>
      <c r="U37" s="36">
        <f t="shared" si="11"/>
        <v>6412.1329411764727</v>
      </c>
      <c r="V37" s="36">
        <f t="shared" si="11"/>
        <v>5752.697364705884</v>
      </c>
      <c r="W37" s="36">
        <f t="shared" si="11"/>
        <v>6016.4880000000003</v>
      </c>
      <c r="X37" s="36">
        <f t="shared" si="11"/>
        <v>6086.494588235294</v>
      </c>
      <c r="Y37" s="36">
        <f t="shared" si="11"/>
        <v>5097.1079058823534</v>
      </c>
      <c r="Z37" s="36">
        <f t="shared" si="11"/>
        <v>2175.2470588235296</v>
      </c>
      <c r="AA37" s="36">
        <f t="shared" si="11"/>
        <v>5538.3520941176484</v>
      </c>
    </row>
    <row r="38" spans="2:29" ht="8.25" customHeight="1" x14ac:dyDescent="0.3">
      <c r="B38" s="181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37"/>
    </row>
    <row r="39" spans="2:29" x14ac:dyDescent="0.3">
      <c r="B39" s="181"/>
      <c r="C39" s="131" t="s">
        <v>31</v>
      </c>
      <c r="D39" s="9">
        <f>IF(D19="Azul",D8*D20*(D16),0)</f>
        <v>0</v>
      </c>
      <c r="E39" s="10">
        <f t="shared" ref="E39:AA39" si="12">IF(E19="Azul",E8*E20*(E16),0)</f>
        <v>0</v>
      </c>
      <c r="F39" s="10">
        <f t="shared" si="12"/>
        <v>0</v>
      </c>
      <c r="G39" s="10">
        <f t="shared" si="12"/>
        <v>0</v>
      </c>
      <c r="H39" s="10">
        <f t="shared" si="12"/>
        <v>0</v>
      </c>
      <c r="I39" s="10">
        <f t="shared" si="12"/>
        <v>0</v>
      </c>
      <c r="J39" s="9">
        <f t="shared" si="12"/>
        <v>0</v>
      </c>
      <c r="K39" s="10">
        <f t="shared" si="12"/>
        <v>0</v>
      </c>
      <c r="L39" s="10">
        <f t="shared" si="12"/>
        <v>0</v>
      </c>
      <c r="M39" s="10">
        <f t="shared" si="12"/>
        <v>0</v>
      </c>
      <c r="N39" s="10">
        <f t="shared" si="12"/>
        <v>0</v>
      </c>
      <c r="O39" s="10">
        <f t="shared" si="12"/>
        <v>0</v>
      </c>
      <c r="P39" s="10">
        <f t="shared" si="12"/>
        <v>0</v>
      </c>
      <c r="Q39" s="10">
        <f t="shared" si="12"/>
        <v>0</v>
      </c>
      <c r="R39" s="10">
        <f t="shared" si="12"/>
        <v>0</v>
      </c>
      <c r="S39" s="10">
        <f t="shared" si="12"/>
        <v>0</v>
      </c>
      <c r="T39" s="10">
        <f t="shared" si="12"/>
        <v>0</v>
      </c>
      <c r="U39" s="10">
        <f t="shared" si="12"/>
        <v>0</v>
      </c>
      <c r="V39" s="10">
        <f t="shared" si="12"/>
        <v>0</v>
      </c>
      <c r="W39" s="10">
        <f t="shared" si="12"/>
        <v>0</v>
      </c>
      <c r="X39" s="10">
        <f t="shared" si="12"/>
        <v>0</v>
      </c>
      <c r="Y39" s="10">
        <f t="shared" si="12"/>
        <v>0</v>
      </c>
      <c r="Z39" s="10">
        <f t="shared" si="12"/>
        <v>0</v>
      </c>
      <c r="AA39" s="10">
        <f t="shared" si="12"/>
        <v>0</v>
      </c>
    </row>
    <row r="40" spans="2:29" x14ac:dyDescent="0.3">
      <c r="B40" s="181"/>
      <c r="C40" s="131" t="s">
        <v>32</v>
      </c>
      <c r="D40" s="11">
        <f>D9*D21*(D16)</f>
        <v>0</v>
      </c>
      <c r="E40" s="12">
        <f t="shared" ref="E40:AA40" si="13">E9*E21*(E16)</f>
        <v>0</v>
      </c>
      <c r="F40" s="12">
        <f t="shared" si="13"/>
        <v>0</v>
      </c>
      <c r="G40" s="12">
        <f t="shared" si="13"/>
        <v>0</v>
      </c>
      <c r="H40" s="12">
        <f t="shared" si="13"/>
        <v>0</v>
      </c>
      <c r="I40" s="12">
        <f t="shared" si="13"/>
        <v>0</v>
      </c>
      <c r="J40" s="11">
        <f t="shared" si="13"/>
        <v>0</v>
      </c>
      <c r="K40" s="12">
        <f t="shared" si="13"/>
        <v>0</v>
      </c>
      <c r="L40" s="12">
        <f t="shared" si="13"/>
        <v>0</v>
      </c>
      <c r="M40" s="12">
        <f t="shared" si="13"/>
        <v>0</v>
      </c>
      <c r="N40" s="12">
        <f t="shared" si="13"/>
        <v>0</v>
      </c>
      <c r="O40" s="12">
        <f t="shared" si="13"/>
        <v>0</v>
      </c>
      <c r="P40" s="12">
        <f t="shared" si="13"/>
        <v>0</v>
      </c>
      <c r="Q40" s="12">
        <f t="shared" si="13"/>
        <v>0</v>
      </c>
      <c r="R40" s="12">
        <f t="shared" si="13"/>
        <v>0</v>
      </c>
      <c r="S40" s="12">
        <f t="shared" si="13"/>
        <v>0</v>
      </c>
      <c r="T40" s="12">
        <f t="shared" si="13"/>
        <v>0</v>
      </c>
      <c r="U40" s="12">
        <f t="shared" si="13"/>
        <v>0</v>
      </c>
      <c r="V40" s="12">
        <f t="shared" si="13"/>
        <v>0</v>
      </c>
      <c r="W40" s="12">
        <f t="shared" si="13"/>
        <v>0</v>
      </c>
      <c r="X40" s="12">
        <f t="shared" si="13"/>
        <v>0</v>
      </c>
      <c r="Y40" s="12">
        <f t="shared" si="13"/>
        <v>0</v>
      </c>
      <c r="Z40" s="12">
        <f t="shared" si="13"/>
        <v>0</v>
      </c>
      <c r="AA40" s="12">
        <f t="shared" si="13"/>
        <v>0</v>
      </c>
    </row>
    <row r="41" spans="2:29" x14ac:dyDescent="0.3">
      <c r="B41" s="181"/>
      <c r="C41" s="129" t="s">
        <v>33</v>
      </c>
      <c r="D41" s="19">
        <f>IF(D19="Verde",D12*(D22-D23)*(D16),0)</f>
        <v>0</v>
      </c>
      <c r="E41" s="20">
        <f t="shared" ref="E41:AA41" si="14">IF(E19="Verde",E12*(E22-E23)*(E16),0)</f>
        <v>0</v>
      </c>
      <c r="F41" s="20">
        <f t="shared" si="14"/>
        <v>0</v>
      </c>
      <c r="G41" s="20">
        <f t="shared" si="14"/>
        <v>0</v>
      </c>
      <c r="H41" s="20">
        <f t="shared" si="14"/>
        <v>0</v>
      </c>
      <c r="I41" s="20">
        <f t="shared" si="14"/>
        <v>0</v>
      </c>
      <c r="J41" s="19">
        <f t="shared" si="14"/>
        <v>0</v>
      </c>
      <c r="K41" s="20">
        <f t="shared" si="14"/>
        <v>0</v>
      </c>
      <c r="L41" s="20">
        <f t="shared" si="14"/>
        <v>0</v>
      </c>
      <c r="M41" s="20">
        <f t="shared" si="14"/>
        <v>0</v>
      </c>
      <c r="N41" s="20">
        <f t="shared" si="14"/>
        <v>0</v>
      </c>
      <c r="O41" s="20">
        <f t="shared" si="14"/>
        <v>0</v>
      </c>
      <c r="P41" s="20">
        <f t="shared" si="14"/>
        <v>0</v>
      </c>
      <c r="Q41" s="20">
        <f t="shared" si="14"/>
        <v>0</v>
      </c>
      <c r="R41" s="20">
        <f t="shared" si="14"/>
        <v>0</v>
      </c>
      <c r="S41" s="20">
        <f t="shared" si="14"/>
        <v>0</v>
      </c>
      <c r="T41" s="20">
        <f t="shared" si="14"/>
        <v>0</v>
      </c>
      <c r="U41" s="20">
        <f t="shared" si="14"/>
        <v>0</v>
      </c>
      <c r="V41" s="20">
        <f t="shared" si="14"/>
        <v>0</v>
      </c>
      <c r="W41" s="20">
        <f t="shared" si="14"/>
        <v>0</v>
      </c>
      <c r="X41" s="20">
        <f t="shared" si="14"/>
        <v>0</v>
      </c>
      <c r="Y41" s="20">
        <f t="shared" si="14"/>
        <v>0</v>
      </c>
      <c r="Z41" s="20">
        <f t="shared" si="14"/>
        <v>0</v>
      </c>
      <c r="AA41" s="20">
        <f t="shared" si="14"/>
        <v>0</v>
      </c>
      <c r="AC41" s="92"/>
    </row>
    <row r="42" spans="2:29" ht="9.75" customHeight="1" x14ac:dyDescent="0.3">
      <c r="B42" s="181"/>
      <c r="C42" s="109"/>
      <c r="D42" s="109"/>
      <c r="E42" s="109"/>
      <c r="F42" s="109"/>
      <c r="G42" s="109"/>
      <c r="H42" s="109"/>
      <c r="I42" s="109"/>
      <c r="J42" s="109"/>
      <c r="K42" s="109"/>
      <c r="L42" s="109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  <c r="AA42" s="38"/>
    </row>
    <row r="43" spans="2:29" x14ac:dyDescent="0.3">
      <c r="B43" s="181"/>
      <c r="C43" s="129" t="s">
        <v>34</v>
      </c>
      <c r="D43" s="98">
        <f>SUM(D12:D13)/D4</f>
        <v>2.7943548387096777E-2</v>
      </c>
      <c r="E43" s="98">
        <f t="shared" ref="E43:O43" si="15">SUM(E12:E13)/E4</f>
        <v>3.4094827586206897E-2</v>
      </c>
      <c r="F43" s="98">
        <f t="shared" si="15"/>
        <v>3.4435483870967745E-2</v>
      </c>
      <c r="G43" s="98">
        <f t="shared" si="15"/>
        <v>3.9958333333333332E-2</v>
      </c>
      <c r="H43" s="98">
        <f t="shared" si="15"/>
        <v>3.4999999999999996E-2</v>
      </c>
      <c r="I43" s="98">
        <f t="shared" si="15"/>
        <v>2.6250000000000002E-2</v>
      </c>
      <c r="J43" s="98">
        <f t="shared" si="15"/>
        <v>2.6814516129032261E-2</v>
      </c>
      <c r="K43" s="98">
        <f t="shared" si="15"/>
        <v>2.7661290322580644E-2</v>
      </c>
      <c r="L43" s="98">
        <f t="shared" si="15"/>
        <v>3.820833333333333E-2</v>
      </c>
      <c r="M43" s="98">
        <f t="shared" si="15"/>
        <v>4.2903225806451617E-2</v>
      </c>
      <c r="N43" s="98">
        <f t="shared" si="15"/>
        <v>4.2874999999999996E-2</v>
      </c>
      <c r="O43" s="98">
        <f t="shared" si="15"/>
        <v>4.1491935483870972E-2</v>
      </c>
      <c r="P43" s="98">
        <f>SUM(P12:P13)/P4</f>
        <v>3.7258064516129036E-2</v>
      </c>
      <c r="Q43" s="98">
        <f t="shared" ref="Q43:AA43" si="16">SUM(Q12:Q13)/Q4</f>
        <v>3.7812499999999999E-2</v>
      </c>
      <c r="R43" s="98">
        <f t="shared" si="16"/>
        <v>9.3991935483870956E-2</v>
      </c>
      <c r="S43" s="98">
        <f t="shared" si="16"/>
        <v>4.8569444444444443E-2</v>
      </c>
      <c r="T43" s="98">
        <f t="shared" si="16"/>
        <v>4.0927419354838707E-2</v>
      </c>
      <c r="U43" s="98">
        <f t="shared" si="16"/>
        <v>3.9958333333333332E-2</v>
      </c>
      <c r="V43" s="98">
        <f t="shared" si="16"/>
        <v>3.2459677419354842E-2</v>
      </c>
      <c r="W43" s="98">
        <f t="shared" si="16"/>
        <v>3.3306451612903222E-2</v>
      </c>
      <c r="X43" s="98">
        <f t="shared" si="16"/>
        <v>4.1125000000000002E-2</v>
      </c>
      <c r="Y43" s="98">
        <f t="shared" si="16"/>
        <v>3.418010752688172E-2</v>
      </c>
      <c r="Z43" s="98">
        <f t="shared" si="16"/>
        <v>0</v>
      </c>
      <c r="AA43" s="98">
        <f t="shared" si="16"/>
        <v>3.3306451612903222E-2</v>
      </c>
    </row>
    <row r="44" spans="2:29" outlineLevel="1" x14ac:dyDescent="0.3">
      <c r="B44" s="181"/>
      <c r="C44" s="133" t="s">
        <v>35</v>
      </c>
      <c r="D44" s="97">
        <f t="shared" ref="D44:AA44" si="17">D43*D4</f>
        <v>20.790000000000003</v>
      </c>
      <c r="E44" s="97">
        <f t="shared" si="17"/>
        <v>23.73</v>
      </c>
      <c r="F44" s="97">
        <f t="shared" si="17"/>
        <v>25.62</v>
      </c>
      <c r="G44" s="97">
        <f t="shared" si="17"/>
        <v>28.77</v>
      </c>
      <c r="H44" s="97">
        <f t="shared" si="17"/>
        <v>26.039999999999996</v>
      </c>
      <c r="I44" s="97">
        <f t="shared" si="17"/>
        <v>18.900000000000002</v>
      </c>
      <c r="J44" s="97">
        <f t="shared" si="17"/>
        <v>19.950000000000003</v>
      </c>
      <c r="K44" s="97">
        <f t="shared" si="17"/>
        <v>20.58</v>
      </c>
      <c r="L44" s="97">
        <f t="shared" si="17"/>
        <v>27.509999999999998</v>
      </c>
      <c r="M44" s="97">
        <f t="shared" si="17"/>
        <v>31.92</v>
      </c>
      <c r="N44" s="97">
        <f t="shared" si="17"/>
        <v>30.869999999999997</v>
      </c>
      <c r="O44" s="97">
        <f t="shared" si="17"/>
        <v>30.870000000000005</v>
      </c>
      <c r="P44" s="97">
        <f t="shared" si="17"/>
        <v>27.720000000000002</v>
      </c>
      <c r="Q44" s="97">
        <f t="shared" si="17"/>
        <v>25.41</v>
      </c>
      <c r="R44" s="97">
        <f t="shared" si="17"/>
        <v>69.929999999999993</v>
      </c>
      <c r="S44" s="97">
        <f t="shared" si="17"/>
        <v>34.97</v>
      </c>
      <c r="T44" s="97">
        <f t="shared" si="17"/>
        <v>30.45</v>
      </c>
      <c r="U44" s="97">
        <f>U43*U4</f>
        <v>28.77</v>
      </c>
      <c r="V44" s="97">
        <f t="shared" si="17"/>
        <v>24.150000000000002</v>
      </c>
      <c r="W44" s="97">
        <f t="shared" si="17"/>
        <v>24.779999999999998</v>
      </c>
      <c r="X44" s="97">
        <f t="shared" si="17"/>
        <v>29.610000000000003</v>
      </c>
      <c r="Y44" s="97">
        <f t="shared" si="17"/>
        <v>25.43</v>
      </c>
      <c r="Z44" s="97">
        <f t="shared" si="17"/>
        <v>0</v>
      </c>
      <c r="AA44" s="97">
        <f t="shared" si="17"/>
        <v>24.779999999999998</v>
      </c>
    </row>
    <row r="45" spans="2:29" outlineLevel="1" x14ac:dyDescent="0.3">
      <c r="B45" s="181"/>
      <c r="C45" s="129" t="s">
        <v>36</v>
      </c>
      <c r="D45" s="39">
        <f t="shared" ref="D45:AA45" si="18">D44*1.1</f>
        <v>22.869000000000003</v>
      </c>
      <c r="E45" s="39">
        <f t="shared" si="18"/>
        <v>26.103000000000002</v>
      </c>
      <c r="F45" s="39">
        <f t="shared" si="18"/>
        <v>28.182000000000002</v>
      </c>
      <c r="G45" s="39">
        <f t="shared" si="18"/>
        <v>31.647000000000002</v>
      </c>
      <c r="H45" s="39">
        <f t="shared" si="18"/>
        <v>28.643999999999998</v>
      </c>
      <c r="I45" s="39">
        <f t="shared" si="18"/>
        <v>20.790000000000003</v>
      </c>
      <c r="J45" s="39">
        <f t="shared" si="18"/>
        <v>21.945000000000004</v>
      </c>
      <c r="K45" s="39">
        <f t="shared" si="18"/>
        <v>22.638000000000002</v>
      </c>
      <c r="L45" s="39">
        <f t="shared" si="18"/>
        <v>30.260999999999999</v>
      </c>
      <c r="M45" s="39">
        <f t="shared" si="18"/>
        <v>35.112000000000002</v>
      </c>
      <c r="N45" s="39">
        <f t="shared" si="18"/>
        <v>33.957000000000001</v>
      </c>
      <c r="O45" s="39">
        <f t="shared" si="18"/>
        <v>33.957000000000008</v>
      </c>
      <c r="P45" s="39">
        <f t="shared" si="18"/>
        <v>30.492000000000004</v>
      </c>
      <c r="Q45" s="39">
        <f t="shared" si="18"/>
        <v>27.951000000000004</v>
      </c>
      <c r="R45" s="39">
        <f t="shared" si="18"/>
        <v>76.923000000000002</v>
      </c>
      <c r="S45" s="39">
        <f t="shared" si="18"/>
        <v>38.466999999999999</v>
      </c>
      <c r="T45" s="39">
        <f t="shared" si="18"/>
        <v>33.495000000000005</v>
      </c>
      <c r="U45" s="39">
        <f t="shared" si="18"/>
        <v>31.647000000000002</v>
      </c>
      <c r="V45" s="39">
        <f t="shared" si="18"/>
        <v>26.565000000000005</v>
      </c>
      <c r="W45" s="39">
        <f t="shared" si="18"/>
        <v>27.257999999999999</v>
      </c>
      <c r="X45" s="39">
        <f t="shared" si="18"/>
        <v>32.571000000000005</v>
      </c>
      <c r="Y45" s="39">
        <f t="shared" si="18"/>
        <v>27.973000000000003</v>
      </c>
      <c r="Z45" s="39">
        <f t="shared" si="18"/>
        <v>0</v>
      </c>
      <c r="AA45" s="39">
        <f t="shared" si="18"/>
        <v>27.257999999999999</v>
      </c>
    </row>
    <row r="46" spans="2:29" outlineLevel="1" x14ac:dyDescent="0.3">
      <c r="B46" s="181"/>
      <c r="C46" s="129" t="s">
        <v>37</v>
      </c>
      <c r="D46" s="40">
        <f t="shared" ref="D46:AA46" si="19">D44*0.9</f>
        <v>18.711000000000002</v>
      </c>
      <c r="E46" s="40">
        <f t="shared" si="19"/>
        <v>21.356999999999999</v>
      </c>
      <c r="F46" s="40">
        <f t="shared" si="19"/>
        <v>23.058</v>
      </c>
      <c r="G46" s="40">
        <f t="shared" si="19"/>
        <v>25.893000000000001</v>
      </c>
      <c r="H46" s="40">
        <f t="shared" si="19"/>
        <v>23.435999999999996</v>
      </c>
      <c r="I46" s="40">
        <f t="shared" si="19"/>
        <v>17.010000000000002</v>
      </c>
      <c r="J46" s="40">
        <f t="shared" si="19"/>
        <v>17.955000000000002</v>
      </c>
      <c r="K46" s="40">
        <f t="shared" si="19"/>
        <v>18.521999999999998</v>
      </c>
      <c r="L46" s="40">
        <f t="shared" si="19"/>
        <v>24.759</v>
      </c>
      <c r="M46" s="40">
        <f t="shared" si="19"/>
        <v>28.728000000000002</v>
      </c>
      <c r="N46" s="40">
        <f t="shared" si="19"/>
        <v>27.782999999999998</v>
      </c>
      <c r="O46" s="40">
        <f t="shared" si="19"/>
        <v>27.783000000000005</v>
      </c>
      <c r="P46" s="40">
        <f t="shared" si="19"/>
        <v>24.948000000000004</v>
      </c>
      <c r="Q46" s="40">
        <f t="shared" si="19"/>
        <v>22.869</v>
      </c>
      <c r="R46" s="40">
        <f t="shared" si="19"/>
        <v>62.936999999999998</v>
      </c>
      <c r="S46" s="40">
        <f t="shared" si="19"/>
        <v>31.472999999999999</v>
      </c>
      <c r="T46" s="40">
        <f t="shared" si="19"/>
        <v>27.405000000000001</v>
      </c>
      <c r="U46" s="40">
        <f t="shared" si="19"/>
        <v>25.893000000000001</v>
      </c>
      <c r="V46" s="40">
        <f t="shared" si="19"/>
        <v>21.735000000000003</v>
      </c>
      <c r="W46" s="40">
        <f t="shared" si="19"/>
        <v>22.302</v>
      </c>
      <c r="X46" s="40">
        <f t="shared" si="19"/>
        <v>26.649000000000004</v>
      </c>
      <c r="Y46" s="40">
        <f t="shared" si="19"/>
        <v>22.887</v>
      </c>
      <c r="Z46" s="40">
        <f t="shared" si="19"/>
        <v>0</v>
      </c>
      <c r="AA46" s="40">
        <f t="shared" si="19"/>
        <v>22.302</v>
      </c>
    </row>
    <row r="47" spans="2:29" ht="9.75" customHeight="1" x14ac:dyDescent="0.3">
      <c r="B47" s="18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41"/>
    </row>
    <row r="48" spans="2:29" x14ac:dyDescent="0.3">
      <c r="B48" s="181"/>
      <c r="C48" s="129" t="s">
        <v>38</v>
      </c>
      <c r="D48" s="43">
        <f t="shared" ref="D48:O48" si="20">D44</f>
        <v>20.790000000000003</v>
      </c>
      <c r="E48" s="43">
        <f t="shared" si="20"/>
        <v>23.73</v>
      </c>
      <c r="F48" s="43">
        <f t="shared" si="20"/>
        <v>25.62</v>
      </c>
      <c r="G48" s="43">
        <f t="shared" si="20"/>
        <v>28.77</v>
      </c>
      <c r="H48" s="43">
        <f t="shared" si="20"/>
        <v>26.039999999999996</v>
      </c>
      <c r="I48" s="43">
        <f t="shared" si="20"/>
        <v>18.900000000000002</v>
      </c>
      <c r="J48" s="43">
        <f t="shared" si="20"/>
        <v>19.950000000000003</v>
      </c>
      <c r="K48" s="43">
        <f t="shared" si="20"/>
        <v>20.58</v>
      </c>
      <c r="L48" s="43">
        <f t="shared" si="20"/>
        <v>27.509999999999998</v>
      </c>
      <c r="M48" s="43">
        <f t="shared" si="20"/>
        <v>31.92</v>
      </c>
      <c r="N48" s="43">
        <f t="shared" si="20"/>
        <v>30.869999999999997</v>
      </c>
      <c r="O48" s="43">
        <f t="shared" si="20"/>
        <v>30.870000000000005</v>
      </c>
      <c r="P48" s="43">
        <f>P44</f>
        <v>27.720000000000002</v>
      </c>
      <c r="Q48" s="43">
        <f t="shared" ref="Q48:AA48" si="21">Q44</f>
        <v>25.41</v>
      </c>
      <c r="R48" s="43">
        <f t="shared" si="21"/>
        <v>69.929999999999993</v>
      </c>
      <c r="S48" s="43">
        <f t="shared" si="21"/>
        <v>34.97</v>
      </c>
      <c r="T48" s="43">
        <f t="shared" si="21"/>
        <v>30.45</v>
      </c>
      <c r="U48" s="43">
        <f t="shared" si="21"/>
        <v>28.77</v>
      </c>
      <c r="V48" s="43">
        <f t="shared" si="21"/>
        <v>24.150000000000002</v>
      </c>
      <c r="W48" s="43">
        <f t="shared" si="21"/>
        <v>24.779999999999998</v>
      </c>
      <c r="X48" s="43">
        <f t="shared" si="21"/>
        <v>29.610000000000003</v>
      </c>
      <c r="Y48" s="43">
        <f t="shared" si="21"/>
        <v>25.43</v>
      </c>
      <c r="Z48" s="43">
        <f t="shared" si="21"/>
        <v>0</v>
      </c>
      <c r="AA48" s="43">
        <f t="shared" si="21"/>
        <v>24.779999999999998</v>
      </c>
    </row>
    <row r="49" spans="2:29" x14ac:dyDescent="0.3">
      <c r="B49" s="181"/>
      <c r="C49" s="129" t="s">
        <v>39</v>
      </c>
      <c r="D49" s="127">
        <f>'SIMULAÇÃO CENÁRIOS'!$E$6</f>
        <v>175</v>
      </c>
      <c r="E49" s="127">
        <f>'SIMULAÇÃO CENÁRIOS'!$E$6</f>
        <v>175</v>
      </c>
      <c r="F49" s="127">
        <f>'SIMULAÇÃO CENÁRIOS'!$E$6</f>
        <v>175</v>
      </c>
      <c r="G49" s="127">
        <f>'SIMULAÇÃO CENÁRIOS'!$E$6</f>
        <v>175</v>
      </c>
      <c r="H49" s="127">
        <f>'SIMULAÇÃO CENÁRIOS'!$E$6</f>
        <v>175</v>
      </c>
      <c r="I49" s="127">
        <f>'SIMULAÇÃO CENÁRIOS'!$E$6</f>
        <v>175</v>
      </c>
      <c r="J49" s="127">
        <f>'SIMULAÇÃO CENÁRIOS'!$E$6</f>
        <v>175</v>
      </c>
      <c r="K49" s="127">
        <f>'SIMULAÇÃO CENÁRIOS'!$E$6</f>
        <v>175</v>
      </c>
      <c r="L49" s="127">
        <f>'SIMULAÇÃO CENÁRIOS'!$E$6</f>
        <v>175</v>
      </c>
      <c r="M49" s="127">
        <f>'SIMULAÇÃO CENÁRIOS'!$E$6</f>
        <v>175</v>
      </c>
      <c r="N49" s="127">
        <f>'SIMULAÇÃO CENÁRIOS'!$E$6</f>
        <v>175</v>
      </c>
      <c r="O49" s="127">
        <f>'SIMULAÇÃO CENÁRIOS'!$E$6</f>
        <v>175</v>
      </c>
      <c r="P49" s="127">
        <f>'SIMULAÇÃO CENÁRIOS'!$E$6</f>
        <v>175</v>
      </c>
      <c r="Q49" s="127">
        <f>'SIMULAÇÃO CENÁRIOS'!$E$6</f>
        <v>175</v>
      </c>
      <c r="R49" s="127">
        <f>'SIMULAÇÃO CENÁRIOS'!$E$6</f>
        <v>175</v>
      </c>
      <c r="S49" s="127">
        <f>'SIMULAÇÃO CENÁRIOS'!$E$6</f>
        <v>175</v>
      </c>
      <c r="T49" s="127">
        <f>'SIMULAÇÃO CENÁRIOS'!$E$6</f>
        <v>175</v>
      </c>
      <c r="U49" s="127">
        <f>'SIMULAÇÃO CENÁRIOS'!$E$6</f>
        <v>175</v>
      </c>
      <c r="V49" s="127">
        <f>'SIMULAÇÃO CENÁRIOS'!$E$6</f>
        <v>175</v>
      </c>
      <c r="W49" s="127">
        <f>'SIMULAÇÃO CENÁRIOS'!$E$6</f>
        <v>175</v>
      </c>
      <c r="X49" s="127">
        <f>'SIMULAÇÃO CENÁRIOS'!$E$6</f>
        <v>175</v>
      </c>
      <c r="Y49" s="127">
        <f>'SIMULAÇÃO CENÁRIOS'!$E$6</f>
        <v>175</v>
      </c>
      <c r="Z49" s="127">
        <f>'SIMULAÇÃO CENÁRIOS'!$E$6</f>
        <v>175</v>
      </c>
      <c r="AA49" s="127">
        <f>'SIMULAÇÃO CENÁRIOS'!$E$6</f>
        <v>175</v>
      </c>
    </row>
    <row r="50" spans="2:29" x14ac:dyDescent="0.3">
      <c r="B50" s="181"/>
      <c r="C50" s="129" t="s">
        <v>40</v>
      </c>
      <c r="D50" s="44">
        <f t="shared" ref="D50:O50" si="22">D48*D49/(1-$P$27)</f>
        <v>4983.9041095890416</v>
      </c>
      <c r="E50" s="44">
        <f t="shared" si="22"/>
        <v>5688.6986301369861</v>
      </c>
      <c r="F50" s="44">
        <f t="shared" si="22"/>
        <v>6141.7808219178087</v>
      </c>
      <c r="G50" s="44">
        <f t="shared" si="22"/>
        <v>6896.9178082191784</v>
      </c>
      <c r="H50" s="44">
        <f t="shared" si="22"/>
        <v>6242.4657534246562</v>
      </c>
      <c r="I50" s="44">
        <f t="shared" si="22"/>
        <v>4530.82191780822</v>
      </c>
      <c r="J50" s="44">
        <f t="shared" si="22"/>
        <v>4782.5342465753429</v>
      </c>
      <c r="K50" s="44">
        <f t="shared" si="22"/>
        <v>4933.5616438356155</v>
      </c>
      <c r="L50" s="44">
        <f t="shared" si="22"/>
        <v>6594.8630136986303</v>
      </c>
      <c r="M50" s="44">
        <f t="shared" si="22"/>
        <v>7652.0547945205481</v>
      </c>
      <c r="N50" s="44">
        <f t="shared" si="22"/>
        <v>7400.3424657534251</v>
      </c>
      <c r="O50" s="44">
        <f t="shared" si="22"/>
        <v>7400.342465753426</v>
      </c>
      <c r="P50" s="44">
        <f>P48*P49/(1-$P$27)</f>
        <v>6645.2054794520545</v>
      </c>
      <c r="Q50" s="44">
        <f t="shared" ref="Q50:AA50" si="23">Q48*Q49/(1-$P$27)</f>
        <v>6091.4383561643835</v>
      </c>
      <c r="R50" s="44">
        <f t="shared" si="23"/>
        <v>16764.04109589041</v>
      </c>
      <c r="S50" s="44">
        <f t="shared" si="23"/>
        <v>8383.2191780821922</v>
      </c>
      <c r="T50" s="44">
        <f t="shared" si="23"/>
        <v>7299.6575342465758</v>
      </c>
      <c r="U50" s="44">
        <f t="shared" si="23"/>
        <v>6896.9178082191784</v>
      </c>
      <c r="V50" s="44">
        <f t="shared" si="23"/>
        <v>5789.3835616438355</v>
      </c>
      <c r="W50" s="44">
        <f t="shared" si="23"/>
        <v>5940.41095890411</v>
      </c>
      <c r="X50" s="44">
        <f t="shared" si="23"/>
        <v>7098.287671232878</v>
      </c>
      <c r="Y50" s="44">
        <f t="shared" si="23"/>
        <v>6096.232876712329</v>
      </c>
      <c r="Z50" s="44">
        <f t="shared" si="23"/>
        <v>0</v>
      </c>
      <c r="AA50" s="44">
        <f t="shared" si="23"/>
        <v>5940.41095890411</v>
      </c>
    </row>
    <row r="51" spans="2:29" ht="9.75" customHeight="1" thickBot="1" x14ac:dyDescent="0.35">
      <c r="B51" s="18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45"/>
    </row>
    <row r="52" spans="2:29" ht="22.5" customHeight="1" thickBot="1" x14ac:dyDescent="0.35">
      <c r="B52" s="181"/>
      <c r="C52" s="134" t="s">
        <v>98</v>
      </c>
      <c r="D52" s="46">
        <f t="shared" ref="D52:O52" si="24">+D50+D37+D36</f>
        <v>19560.689256647867</v>
      </c>
      <c r="E52" s="46">
        <f t="shared" si="24"/>
        <v>22120.197600725223</v>
      </c>
      <c r="F52" s="46">
        <f t="shared" si="24"/>
        <v>23925.685968976635</v>
      </c>
      <c r="G52" s="46">
        <f t="shared" si="24"/>
        <v>24693.571190572122</v>
      </c>
      <c r="H52" s="46">
        <f t="shared" si="24"/>
        <v>23704.332812248191</v>
      </c>
      <c r="I52" s="46">
        <f t="shared" si="24"/>
        <v>17381.657211925871</v>
      </c>
      <c r="J52" s="46">
        <f t="shared" si="24"/>
        <v>19256.30821716358</v>
      </c>
      <c r="K52" s="46">
        <f t="shared" si="24"/>
        <v>19858.13767324738</v>
      </c>
      <c r="L52" s="46">
        <f t="shared" si="24"/>
        <v>25357.630660757455</v>
      </c>
      <c r="M52" s="46">
        <f t="shared" si="24"/>
        <v>28449.805823932315</v>
      </c>
      <c r="N52" s="46">
        <f t="shared" si="24"/>
        <v>25080.980112812253</v>
      </c>
      <c r="O52" s="46">
        <f t="shared" si="24"/>
        <v>27322.242171635782</v>
      </c>
      <c r="P52" s="46">
        <f>+P50+P37+P36</f>
        <v>23566.007538275586</v>
      </c>
      <c r="Q52" s="46">
        <f t="shared" ref="Q52:AA52" si="25">+Q50+Q37+Q36</f>
        <v>20861.241297340857</v>
      </c>
      <c r="R52" s="46">
        <f t="shared" si="25"/>
        <v>118052.41418412571</v>
      </c>
      <c r="S52" s="46">
        <f t="shared" si="25"/>
        <v>30302.086236905725</v>
      </c>
      <c r="T52" s="46">
        <f t="shared" si="25"/>
        <v>25675.876946011282</v>
      </c>
      <c r="U52" s="46">
        <f t="shared" si="25"/>
        <v>26934.833249395651</v>
      </c>
      <c r="V52" s="46">
        <f t="shared" si="25"/>
        <v>23766.56282634972</v>
      </c>
      <c r="W52" s="46">
        <f t="shared" si="25"/>
        <v>24741.935958904112</v>
      </c>
      <c r="X52" s="46">
        <f t="shared" si="25"/>
        <v>26118.583259468171</v>
      </c>
      <c r="Y52" s="46">
        <f t="shared" si="25"/>
        <v>22024.695082594684</v>
      </c>
      <c r="Z52" s="46">
        <f t="shared" si="25"/>
        <v>6797.6470588235297</v>
      </c>
      <c r="AA52" s="46">
        <f t="shared" si="25"/>
        <v>23247.761253021759</v>
      </c>
      <c r="AC52" s="47">
        <f>SUM(D52:AA52)</f>
        <v>648800.88359186135</v>
      </c>
    </row>
    <row r="53" spans="2:29" x14ac:dyDescent="0.3">
      <c r="B53" s="181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100"/>
    </row>
    <row r="54" spans="2:29" ht="50.25" customHeight="1" x14ac:dyDescent="0.3">
      <c r="B54" s="181"/>
      <c r="C54" s="172" t="s">
        <v>99</v>
      </c>
      <c r="D54" s="172"/>
      <c r="E54" s="172"/>
      <c r="F54" s="172"/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172"/>
      <c r="R54" s="172"/>
      <c r="S54" s="172"/>
      <c r="T54" s="172"/>
      <c r="U54" s="172"/>
      <c r="V54" s="172"/>
      <c r="W54" s="172"/>
      <c r="X54" s="172"/>
      <c r="Y54" s="172"/>
      <c r="Z54" s="172"/>
      <c r="AA54" s="173"/>
    </row>
    <row r="55" spans="2:29" x14ac:dyDescent="0.3">
      <c r="B55" s="181"/>
      <c r="C55" s="129" t="s">
        <v>101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3">
        <v>0</v>
      </c>
      <c r="R55" s="43">
        <v>0</v>
      </c>
      <c r="S55" s="43">
        <v>0</v>
      </c>
      <c r="T55" s="43">
        <v>0</v>
      </c>
      <c r="U55" s="43">
        <v>0</v>
      </c>
      <c r="V55" s="43">
        <v>0</v>
      </c>
      <c r="W55" s="43">
        <v>0</v>
      </c>
      <c r="X55" s="43">
        <v>0</v>
      </c>
      <c r="Y55" s="43">
        <v>0</v>
      </c>
      <c r="Z55" s="43">
        <v>0</v>
      </c>
      <c r="AA55" s="43">
        <v>0</v>
      </c>
    </row>
    <row r="56" spans="2:29" x14ac:dyDescent="0.3">
      <c r="B56" s="181"/>
      <c r="C56" s="129" t="s">
        <v>102</v>
      </c>
      <c r="D56" s="17">
        <f t="shared" ref="D56:O56" si="26">D9*D21+D11*D21*2</f>
        <v>4622.4000000000005</v>
      </c>
      <c r="E56" s="17">
        <f t="shared" si="26"/>
        <v>4622.4000000000005</v>
      </c>
      <c r="F56" s="17">
        <f t="shared" si="26"/>
        <v>4622.4000000000005</v>
      </c>
      <c r="G56" s="17">
        <f t="shared" si="26"/>
        <v>4622.4000000000005</v>
      </c>
      <c r="H56" s="17">
        <f t="shared" si="26"/>
        <v>4622.4000000000005</v>
      </c>
      <c r="I56" s="17">
        <f t="shared" si="26"/>
        <v>4622.4000000000005</v>
      </c>
      <c r="J56" s="17">
        <f t="shared" si="26"/>
        <v>4622.4000000000005</v>
      </c>
      <c r="K56" s="17">
        <f t="shared" si="26"/>
        <v>4622.4000000000005</v>
      </c>
      <c r="L56" s="17">
        <f t="shared" si="26"/>
        <v>4622.4000000000005</v>
      </c>
      <c r="M56" s="17">
        <f t="shared" si="26"/>
        <v>4622.4000000000005</v>
      </c>
      <c r="N56" s="17">
        <f t="shared" si="26"/>
        <v>4622.4000000000005</v>
      </c>
      <c r="O56" s="17">
        <f t="shared" si="26"/>
        <v>4622.4000000000005</v>
      </c>
      <c r="P56" s="17">
        <f>P9*P21+P11*P21*2</f>
        <v>4622.4000000000005</v>
      </c>
      <c r="Q56" s="18">
        <f t="shared" ref="Q56:AA56" si="27">Q9*Q21+Q11*Q21*2</f>
        <v>4622.4000000000005</v>
      </c>
      <c r="R56" s="18">
        <f t="shared" si="27"/>
        <v>4622.4000000000005</v>
      </c>
      <c r="S56" s="18">
        <f t="shared" si="27"/>
        <v>4622.4000000000005</v>
      </c>
      <c r="T56" s="18">
        <f t="shared" si="27"/>
        <v>4622.4000000000005</v>
      </c>
      <c r="U56" s="18">
        <f t="shared" si="27"/>
        <v>4622.4000000000005</v>
      </c>
      <c r="V56" s="18">
        <f t="shared" si="27"/>
        <v>4622.4000000000005</v>
      </c>
      <c r="W56" s="18">
        <f t="shared" si="27"/>
        <v>4622.4000000000005</v>
      </c>
      <c r="X56" s="18">
        <f t="shared" si="27"/>
        <v>4622.4000000000005</v>
      </c>
      <c r="Y56" s="18">
        <f t="shared" si="27"/>
        <v>4622.4000000000005</v>
      </c>
      <c r="Z56" s="18">
        <f t="shared" si="27"/>
        <v>4622.4000000000005</v>
      </c>
      <c r="AA56" s="18">
        <f t="shared" si="27"/>
        <v>4622.4000000000005</v>
      </c>
    </row>
    <row r="57" spans="2:29" x14ac:dyDescent="0.3">
      <c r="B57" s="181"/>
      <c r="C57" s="129" t="s">
        <v>103</v>
      </c>
      <c r="D57" s="102">
        <f t="shared" ref="D57:O58" si="28">D12*D22</f>
        <v>3801.3024</v>
      </c>
      <c r="E57" s="102">
        <f t="shared" si="28"/>
        <v>4887.3887999999997</v>
      </c>
      <c r="F57" s="102">
        <f t="shared" si="28"/>
        <v>5701.9536000000007</v>
      </c>
      <c r="G57" s="102">
        <f t="shared" si="28"/>
        <v>5430.4320000000007</v>
      </c>
      <c r="H57" s="102">
        <f t="shared" si="28"/>
        <v>5430.4320000000007</v>
      </c>
      <c r="I57" s="102">
        <f t="shared" si="28"/>
        <v>2715.2160000000003</v>
      </c>
      <c r="J57" s="102">
        <f t="shared" si="28"/>
        <v>3801.3024</v>
      </c>
      <c r="K57" s="102">
        <f t="shared" si="28"/>
        <v>4072.8240000000001</v>
      </c>
      <c r="L57" s="102">
        <f t="shared" si="28"/>
        <v>6244.9967999999999</v>
      </c>
      <c r="M57" s="102">
        <f t="shared" si="28"/>
        <v>7331.0832</v>
      </c>
      <c r="N57" s="102">
        <f t="shared" si="28"/>
        <v>5158.9104000000007</v>
      </c>
      <c r="O57" s="102">
        <f t="shared" si="28"/>
        <v>6788.04</v>
      </c>
      <c r="P57" s="102">
        <f>P12*P22</f>
        <v>4887.3887999999997</v>
      </c>
      <c r="Q57" s="103">
        <f t="shared" ref="Q57:AA58" si="29">Q12*Q22</f>
        <v>3529.7808</v>
      </c>
      <c r="R57" s="103">
        <f t="shared" si="29"/>
        <v>62449.968000000001</v>
      </c>
      <c r="S57" s="103">
        <f t="shared" si="29"/>
        <v>7874.1264000000001</v>
      </c>
      <c r="T57" s="103">
        <f t="shared" si="29"/>
        <v>5701.9536000000007</v>
      </c>
      <c r="U57" s="103">
        <f t="shared" si="29"/>
        <v>7059.5616</v>
      </c>
      <c r="V57" s="103">
        <f t="shared" si="29"/>
        <v>5973.4751999999999</v>
      </c>
      <c r="W57" s="103">
        <f t="shared" si="29"/>
        <v>6516.5183999999999</v>
      </c>
      <c r="X57" s="103">
        <f t="shared" si="29"/>
        <v>6244.9967999999999</v>
      </c>
      <c r="Y57" s="103">
        <f t="shared" si="29"/>
        <v>4370.2048000000004</v>
      </c>
      <c r="Z57" s="103">
        <f t="shared" si="29"/>
        <v>0</v>
      </c>
      <c r="AA57" s="103">
        <f t="shared" si="29"/>
        <v>5430.4320000000007</v>
      </c>
    </row>
    <row r="58" spans="2:29" x14ac:dyDescent="0.3">
      <c r="B58" s="181"/>
      <c r="C58" s="129" t="s">
        <v>104</v>
      </c>
      <c r="D58" s="17">
        <f t="shared" si="28"/>
        <v>1488.5115000000001</v>
      </c>
      <c r="E58" s="17">
        <f t="shared" si="28"/>
        <v>1663.6305</v>
      </c>
      <c r="F58" s="17">
        <f t="shared" si="28"/>
        <v>1768.7019</v>
      </c>
      <c r="G58" s="17">
        <f t="shared" si="28"/>
        <v>2048.8923</v>
      </c>
      <c r="H58" s="17">
        <f t="shared" si="28"/>
        <v>1821.2375999999999</v>
      </c>
      <c r="I58" s="17">
        <f t="shared" si="28"/>
        <v>1400.952</v>
      </c>
      <c r="J58" s="17">
        <f t="shared" si="28"/>
        <v>1418.4639000000002</v>
      </c>
      <c r="K58" s="17">
        <f t="shared" si="28"/>
        <v>1453.4876999999999</v>
      </c>
      <c r="L58" s="17">
        <f t="shared" si="28"/>
        <v>1891.2852</v>
      </c>
      <c r="M58" s="17">
        <f t="shared" si="28"/>
        <v>2188.9875000000002</v>
      </c>
      <c r="N58" s="17">
        <f t="shared" si="28"/>
        <v>2241.5232000000001</v>
      </c>
      <c r="O58" s="17">
        <f t="shared" si="28"/>
        <v>2136.4518000000003</v>
      </c>
      <c r="P58" s="17">
        <f>P13*P23</f>
        <v>1996.3566000000001</v>
      </c>
      <c r="Q58" s="18">
        <f t="shared" si="29"/>
        <v>1891.2852</v>
      </c>
      <c r="R58" s="18">
        <f t="shared" si="29"/>
        <v>1803.7257</v>
      </c>
      <c r="S58" s="18">
        <f t="shared" si="29"/>
        <v>2408.3031999999998</v>
      </c>
      <c r="T58" s="18">
        <f t="shared" si="29"/>
        <v>2171.4755999999998</v>
      </c>
      <c r="U58" s="18">
        <f t="shared" si="29"/>
        <v>1943.8208999999999</v>
      </c>
      <c r="V58" s="18">
        <f t="shared" si="29"/>
        <v>1628.6067</v>
      </c>
      <c r="W58" s="18">
        <f t="shared" si="29"/>
        <v>1646.1185999999998</v>
      </c>
      <c r="X58" s="18">
        <f t="shared" si="29"/>
        <v>2066.4041999999999</v>
      </c>
      <c r="Y58" s="18">
        <f t="shared" si="29"/>
        <v>1838.7495000000001</v>
      </c>
      <c r="Z58" s="18">
        <f t="shared" si="29"/>
        <v>0</v>
      </c>
      <c r="AA58" s="18">
        <f t="shared" si="29"/>
        <v>1716.1661999999999</v>
      </c>
    </row>
    <row r="59" spans="2:29" x14ac:dyDescent="0.3">
      <c r="B59" s="181"/>
      <c r="C59" s="129" t="s">
        <v>105</v>
      </c>
      <c r="D59" s="102">
        <f t="shared" ref="D59:O60" si="30">D12*D24</f>
        <v>1236.7991999999999</v>
      </c>
      <c r="E59" s="102">
        <f t="shared" si="30"/>
        <v>1590.1704</v>
      </c>
      <c r="F59" s="102">
        <f t="shared" si="30"/>
        <v>1855.1988000000001</v>
      </c>
      <c r="G59" s="102">
        <f t="shared" si="30"/>
        <v>1766.856</v>
      </c>
      <c r="H59" s="102">
        <f t="shared" si="30"/>
        <v>1766.856</v>
      </c>
      <c r="I59" s="102">
        <f t="shared" si="30"/>
        <v>883.428</v>
      </c>
      <c r="J59" s="102">
        <f t="shared" si="30"/>
        <v>1236.7991999999999</v>
      </c>
      <c r="K59" s="102">
        <f t="shared" si="30"/>
        <v>1325.1420000000001</v>
      </c>
      <c r="L59" s="102">
        <f t="shared" si="30"/>
        <v>2031.8844000000001</v>
      </c>
      <c r="M59" s="102">
        <f t="shared" si="30"/>
        <v>2385.2556</v>
      </c>
      <c r="N59" s="102">
        <f t="shared" si="30"/>
        <v>1678.5132000000001</v>
      </c>
      <c r="O59" s="102">
        <f t="shared" si="30"/>
        <v>2208.5700000000002</v>
      </c>
      <c r="P59" s="102">
        <f>P12*P24</f>
        <v>1590.1704</v>
      </c>
      <c r="Q59" s="103">
        <f t="shared" ref="Q59:AA60" si="31">Q12*Q24</f>
        <v>1148.4564</v>
      </c>
      <c r="R59" s="103">
        <f t="shared" si="31"/>
        <v>20318.843999999997</v>
      </c>
      <c r="S59" s="103">
        <f t="shared" si="31"/>
        <v>2561.9412000000002</v>
      </c>
      <c r="T59" s="103">
        <f t="shared" si="31"/>
        <v>1855.1988000000001</v>
      </c>
      <c r="U59" s="103">
        <f t="shared" si="31"/>
        <v>2296.9128000000001</v>
      </c>
      <c r="V59" s="103">
        <f t="shared" si="31"/>
        <v>1943.5416</v>
      </c>
      <c r="W59" s="103">
        <f t="shared" si="31"/>
        <v>2120.2272000000003</v>
      </c>
      <c r="X59" s="103">
        <f t="shared" si="31"/>
        <v>2031.8844000000001</v>
      </c>
      <c r="Y59" s="103">
        <f t="shared" si="31"/>
        <v>1421.8984</v>
      </c>
      <c r="Z59" s="103">
        <f t="shared" si="31"/>
        <v>0</v>
      </c>
      <c r="AA59" s="103">
        <f t="shared" si="31"/>
        <v>1766.856</v>
      </c>
    </row>
    <row r="60" spans="2:29" x14ac:dyDescent="0.3">
      <c r="B60" s="181"/>
      <c r="C60" s="129" t="s">
        <v>106</v>
      </c>
      <c r="D60" s="17">
        <f t="shared" si="30"/>
        <v>4488.2040000000006</v>
      </c>
      <c r="E60" s="17">
        <f t="shared" si="30"/>
        <v>5016.2280000000001</v>
      </c>
      <c r="F60" s="17">
        <f t="shared" si="30"/>
        <v>5333.0424000000003</v>
      </c>
      <c r="G60" s="17">
        <f t="shared" si="30"/>
        <v>6177.8807999999999</v>
      </c>
      <c r="H60" s="17">
        <f t="shared" si="30"/>
        <v>5491.4495999999999</v>
      </c>
      <c r="I60" s="17">
        <f t="shared" si="30"/>
        <v>4224.192</v>
      </c>
      <c r="J60" s="17">
        <f t="shared" si="30"/>
        <v>4276.9944000000005</v>
      </c>
      <c r="K60" s="17">
        <f t="shared" si="30"/>
        <v>4382.5991999999997</v>
      </c>
      <c r="L60" s="17">
        <f t="shared" si="30"/>
        <v>5702.6592000000001</v>
      </c>
      <c r="M60" s="17">
        <f t="shared" si="30"/>
        <v>6600.3</v>
      </c>
      <c r="N60" s="17">
        <f t="shared" si="30"/>
        <v>6758.7071999999998</v>
      </c>
      <c r="O60" s="17">
        <f t="shared" si="30"/>
        <v>6441.8928000000005</v>
      </c>
      <c r="P60" s="17">
        <f>P13*P25</f>
        <v>6019.4736000000003</v>
      </c>
      <c r="Q60" s="18">
        <f t="shared" si="31"/>
        <v>5702.6592000000001</v>
      </c>
      <c r="R60" s="18">
        <f t="shared" si="31"/>
        <v>5438.6471999999994</v>
      </c>
      <c r="S60" s="18">
        <f t="shared" si="31"/>
        <v>7261.5871999999999</v>
      </c>
      <c r="T60" s="18">
        <f t="shared" si="31"/>
        <v>6547.4975999999997</v>
      </c>
      <c r="U60" s="18">
        <f t="shared" si="31"/>
        <v>5861.0663999999997</v>
      </c>
      <c r="V60" s="18">
        <f t="shared" si="31"/>
        <v>4910.6232</v>
      </c>
      <c r="W60" s="18">
        <f t="shared" si="31"/>
        <v>4963.4255999999996</v>
      </c>
      <c r="X60" s="18">
        <f t="shared" si="31"/>
        <v>6230.6832000000004</v>
      </c>
      <c r="Y60" s="18">
        <f t="shared" si="31"/>
        <v>5544.2520000000004</v>
      </c>
      <c r="Z60" s="18">
        <f t="shared" si="31"/>
        <v>0</v>
      </c>
      <c r="AA60" s="18">
        <f t="shared" si="31"/>
        <v>5174.6351999999997</v>
      </c>
    </row>
    <row r="61" spans="2:29" x14ac:dyDescent="0.3">
      <c r="B61" s="181"/>
      <c r="C61" s="130" t="s">
        <v>107</v>
      </c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103"/>
    </row>
    <row r="62" spans="2:29" x14ac:dyDescent="0.3">
      <c r="B62" s="181"/>
      <c r="C62" s="130" t="s">
        <v>110</v>
      </c>
      <c r="D62" s="21">
        <f t="shared" ref="D62:O62" si="32">SUM(D55:D61)/(1-SUM(D27:D28))*SUM(D27:D28)</f>
        <v>7358.6904000000013</v>
      </c>
      <c r="E62" s="21">
        <f t="shared" si="32"/>
        <v>8366.9730352941187</v>
      </c>
      <c r="F62" s="21">
        <f t="shared" si="32"/>
        <v>9073.5513882352952</v>
      </c>
      <c r="G62" s="21">
        <f t="shared" si="32"/>
        <v>9433.6287529411766</v>
      </c>
      <c r="H62" s="21">
        <f t="shared" si="32"/>
        <v>9003.4706823529432</v>
      </c>
      <c r="I62" s="21">
        <f t="shared" si="32"/>
        <v>6515.8531764705904</v>
      </c>
      <c r="J62" s="21">
        <f t="shared" si="32"/>
        <v>7226.3340705882365</v>
      </c>
      <c r="K62" s="21">
        <f t="shared" si="32"/>
        <v>7461.860188235295</v>
      </c>
      <c r="L62" s="21">
        <f t="shared" si="32"/>
        <v>9643.8708705882364</v>
      </c>
      <c r="M62" s="21">
        <f t="shared" si="32"/>
        <v>10883.777082352943</v>
      </c>
      <c r="N62" s="21">
        <f t="shared" si="32"/>
        <v>9628.2607058823542</v>
      </c>
      <c r="O62" s="21">
        <f t="shared" si="32"/>
        <v>10445.813929411766</v>
      </c>
      <c r="P62" s="21">
        <f>SUM(P55:P61)/(1-SUM(P27:P28))*SUM(P27:P28)</f>
        <v>8995.6656000000021</v>
      </c>
      <c r="Q62" s="22">
        <f t="shared" ref="Q62:AA62" si="33">SUM(Q55:Q61)/(1-SUM(Q27:Q28))*SUM(Q27:Q28)</f>
        <v>7950.3913411764706</v>
      </c>
      <c r="R62" s="22">
        <f t="shared" si="33"/>
        <v>44533.451717647054</v>
      </c>
      <c r="S62" s="22">
        <f t="shared" si="33"/>
        <v>11636.874352941179</v>
      </c>
      <c r="T62" s="22">
        <f t="shared" si="33"/>
        <v>9834.6002823529434</v>
      </c>
      <c r="U62" s="22">
        <f t="shared" si="33"/>
        <v>10251.181976470591</v>
      </c>
      <c r="V62" s="22">
        <f t="shared" si="33"/>
        <v>8978.1866823529435</v>
      </c>
      <c r="W62" s="22">
        <f t="shared" si="33"/>
        <v>9349.9716705882365</v>
      </c>
      <c r="X62" s="22">
        <f t="shared" si="33"/>
        <v>9974.7616941176493</v>
      </c>
      <c r="Y62" s="22">
        <f t="shared" si="33"/>
        <v>8375.2963294117671</v>
      </c>
      <c r="Z62" s="22">
        <f t="shared" si="33"/>
        <v>2175.2470588235296</v>
      </c>
      <c r="AA62" s="22">
        <f t="shared" si="33"/>
        <v>8804.936188235295</v>
      </c>
    </row>
    <row r="63" spans="2:29" ht="17.25" thickBot="1" x14ac:dyDescent="0.35">
      <c r="B63" s="18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45"/>
    </row>
    <row r="64" spans="2:29" ht="22.5" customHeight="1" thickBot="1" x14ac:dyDescent="0.35">
      <c r="B64" s="181"/>
      <c r="C64" s="134" t="s">
        <v>109</v>
      </c>
      <c r="D64" s="46">
        <f t="shared" ref="D64:O64" si="34">+SUM(D55:D62)</f>
        <v>22995.907500000001</v>
      </c>
      <c r="E64" s="46">
        <f t="shared" si="34"/>
        <v>26146.790735294118</v>
      </c>
      <c r="F64" s="46">
        <f t="shared" si="34"/>
        <v>28354.848088235296</v>
      </c>
      <c r="G64" s="46">
        <f t="shared" si="34"/>
        <v>29480.089852941179</v>
      </c>
      <c r="H64" s="46">
        <f t="shared" si="34"/>
        <v>28135.845882352944</v>
      </c>
      <c r="I64" s="46">
        <f t="shared" si="34"/>
        <v>20362.041176470593</v>
      </c>
      <c r="J64" s="46">
        <f t="shared" si="34"/>
        <v>22582.293970588238</v>
      </c>
      <c r="K64" s="46">
        <f t="shared" si="34"/>
        <v>23318.313088235296</v>
      </c>
      <c r="L64" s="46">
        <f t="shared" si="34"/>
        <v>30137.096470588236</v>
      </c>
      <c r="M64" s="46">
        <f t="shared" si="34"/>
        <v>34011.80338235294</v>
      </c>
      <c r="N64" s="46">
        <f t="shared" si="34"/>
        <v>30088.314705882352</v>
      </c>
      <c r="O64" s="46">
        <f t="shared" si="34"/>
        <v>32643.168529411771</v>
      </c>
      <c r="P64" s="46">
        <f>+SUM(P55:P62)</f>
        <v>28111.455000000002</v>
      </c>
      <c r="Q64" s="46">
        <f t="shared" ref="Q64:AA64" si="35">+SUM(Q55:Q62)</f>
        <v>24844.972941176467</v>
      </c>
      <c r="R64" s="46">
        <f t="shared" si="35"/>
        <v>139167.03661764704</v>
      </c>
      <c r="S64" s="46">
        <f t="shared" si="35"/>
        <v>36365.232352941181</v>
      </c>
      <c r="T64" s="46">
        <f t="shared" si="35"/>
        <v>30733.125882352942</v>
      </c>
      <c r="U64" s="46">
        <f t="shared" si="35"/>
        <v>32034.943676470593</v>
      </c>
      <c r="V64" s="46">
        <f t="shared" si="35"/>
        <v>28056.833382352947</v>
      </c>
      <c r="W64" s="46">
        <f t="shared" si="35"/>
        <v>29218.661470588238</v>
      </c>
      <c r="X64" s="46">
        <f t="shared" si="35"/>
        <v>31171.130294117651</v>
      </c>
      <c r="Y64" s="46">
        <f t="shared" si="35"/>
        <v>26172.80102941177</v>
      </c>
      <c r="Z64" s="46">
        <f t="shared" si="35"/>
        <v>6797.6470588235297</v>
      </c>
      <c r="AA64" s="46">
        <f t="shared" si="35"/>
        <v>27515.425588235295</v>
      </c>
      <c r="AC64" s="47">
        <f>SUM(D64:AA64)</f>
        <v>768445.77867647051</v>
      </c>
    </row>
    <row r="65" spans="2:32" ht="17.25" thickBot="1" x14ac:dyDescent="0.35">
      <c r="B65" s="18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  <c r="AA65" s="41"/>
    </row>
    <row r="66" spans="2:32" ht="22.5" customHeight="1" thickBot="1" x14ac:dyDescent="0.35">
      <c r="B66" s="181"/>
      <c r="C66" s="134" t="s">
        <v>111</v>
      </c>
      <c r="D66" s="46">
        <f t="shared" ref="D66:O66" si="36">D64-D52</f>
        <v>3435.2182433521339</v>
      </c>
      <c r="E66" s="46">
        <f t="shared" si="36"/>
        <v>4026.593134568895</v>
      </c>
      <c r="F66" s="46">
        <f t="shared" si="36"/>
        <v>4429.1621192586608</v>
      </c>
      <c r="G66" s="46">
        <f t="shared" si="36"/>
        <v>4786.518662369057</v>
      </c>
      <c r="H66" s="46">
        <f t="shared" si="36"/>
        <v>4431.5130701047528</v>
      </c>
      <c r="I66" s="46">
        <f t="shared" si="36"/>
        <v>2980.3839645447224</v>
      </c>
      <c r="J66" s="46">
        <f t="shared" si="36"/>
        <v>3325.9857534246585</v>
      </c>
      <c r="K66" s="46">
        <f t="shared" si="36"/>
        <v>3460.1754149879162</v>
      </c>
      <c r="L66" s="46">
        <f t="shared" si="36"/>
        <v>4779.4658098307809</v>
      </c>
      <c r="M66" s="46">
        <f t="shared" si="36"/>
        <v>5561.9975584206259</v>
      </c>
      <c r="N66" s="46">
        <f t="shared" si="36"/>
        <v>5007.3345930700998</v>
      </c>
      <c r="O66" s="46">
        <f t="shared" si="36"/>
        <v>5320.9263577759884</v>
      </c>
      <c r="P66" s="46">
        <f>P64-P52</f>
        <v>4545.4474617244159</v>
      </c>
      <c r="Q66" s="46">
        <f t="shared" ref="Q66:AA66" si="37">Q64-Q52</f>
        <v>3983.7316438356102</v>
      </c>
      <c r="R66" s="46">
        <f t="shared" si="37"/>
        <v>21114.622433521334</v>
      </c>
      <c r="S66" s="46">
        <f t="shared" si="37"/>
        <v>6063.1461160354556</v>
      </c>
      <c r="T66" s="46">
        <f t="shared" si="37"/>
        <v>5057.2489363416607</v>
      </c>
      <c r="U66" s="46">
        <f t="shared" si="37"/>
        <v>5100.110427074942</v>
      </c>
      <c r="V66" s="46">
        <f t="shared" si="37"/>
        <v>4290.2705560032264</v>
      </c>
      <c r="W66" s="46">
        <f t="shared" si="37"/>
        <v>4476.7255116841261</v>
      </c>
      <c r="X66" s="46">
        <f t="shared" si="37"/>
        <v>5052.5470346494803</v>
      </c>
      <c r="Y66" s="46">
        <f t="shared" si="37"/>
        <v>4148.1059468170861</v>
      </c>
      <c r="Z66" s="46">
        <f t="shared" si="37"/>
        <v>0</v>
      </c>
      <c r="AA66" s="46">
        <f t="shared" si="37"/>
        <v>4267.6643352135361</v>
      </c>
      <c r="AC66" s="47">
        <f>AC64-AC52</f>
        <v>119644.89508460916</v>
      </c>
    </row>
    <row r="67" spans="2:32" ht="23.25" customHeight="1" thickBot="1" x14ac:dyDescent="0.35">
      <c r="B67" s="182"/>
      <c r="C67" s="134" t="s">
        <v>112</v>
      </c>
      <c r="D67" s="105">
        <f t="shared" ref="D67:O67" si="38">D66/D64</f>
        <v>0.1493838955193281</v>
      </c>
      <c r="E67" s="105">
        <f t="shared" si="38"/>
        <v>0.15399951662647524</v>
      </c>
      <c r="F67" s="105">
        <f t="shared" si="38"/>
        <v>0.15620475572557779</v>
      </c>
      <c r="G67" s="105">
        <f t="shared" si="38"/>
        <v>0.1623644529662624</v>
      </c>
      <c r="H67" s="105">
        <f t="shared" si="38"/>
        <v>0.15750417060978564</v>
      </c>
      <c r="I67" s="105">
        <f t="shared" si="38"/>
        <v>0.14636960699149909</v>
      </c>
      <c r="J67" s="105">
        <f t="shared" si="38"/>
        <v>0.14728290038897324</v>
      </c>
      <c r="K67" s="105">
        <f t="shared" si="38"/>
        <v>0.14838875359014139</v>
      </c>
      <c r="L67" s="105">
        <f t="shared" si="38"/>
        <v>0.15859078576117031</v>
      </c>
      <c r="M67" s="105">
        <f t="shared" si="38"/>
        <v>0.16353139220211046</v>
      </c>
      <c r="N67" s="105">
        <f t="shared" si="38"/>
        <v>0.1664212383451025</v>
      </c>
      <c r="O67" s="105">
        <f t="shared" si="38"/>
        <v>0.16300275363838498</v>
      </c>
      <c r="P67" s="105">
        <f>P66/P64</f>
        <v>0.16169378147535998</v>
      </c>
      <c r="Q67" s="105">
        <f>Q66/Q64</f>
        <v>0.16034356943223826</v>
      </c>
      <c r="R67" s="105">
        <f t="shared" ref="R67:AA67" si="39">R66/R64</f>
        <v>0.15172143451996087</v>
      </c>
      <c r="S67" s="105">
        <f t="shared" si="39"/>
        <v>0.16672920049540327</v>
      </c>
      <c r="T67" s="105">
        <f t="shared" si="39"/>
        <v>0.16455367917018648</v>
      </c>
      <c r="U67" s="105">
        <f t="shared" si="39"/>
        <v>0.15920460103137099</v>
      </c>
      <c r="V67" s="105">
        <f t="shared" si="39"/>
        <v>0.15291357002182934</v>
      </c>
      <c r="W67" s="105">
        <f t="shared" si="39"/>
        <v>0.15321459938164647</v>
      </c>
      <c r="X67" s="105">
        <f t="shared" si="39"/>
        <v>0.16209059430876505</v>
      </c>
      <c r="Y67" s="105">
        <f t="shared" si="39"/>
        <v>0.15848918662376404</v>
      </c>
      <c r="Z67" s="105">
        <f t="shared" si="39"/>
        <v>0</v>
      </c>
      <c r="AA67" s="105">
        <f t="shared" si="39"/>
        <v>0.15510079324516249</v>
      </c>
      <c r="AC67" s="106">
        <f>AC66/AC64</f>
        <v>0.15569725074250401</v>
      </c>
    </row>
    <row r="68" spans="2:32" x14ac:dyDescent="0.3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48"/>
    </row>
    <row r="69" spans="2:32" ht="17.25" thickBot="1" x14ac:dyDescent="0.35"/>
    <row r="70" spans="2:32" ht="45.75" x14ac:dyDescent="0.3">
      <c r="B70" s="180" t="s">
        <v>122</v>
      </c>
      <c r="C70" s="170" t="s">
        <v>100</v>
      </c>
      <c r="D70" s="170"/>
      <c r="E70" s="170"/>
      <c r="F70" s="170"/>
      <c r="G70" s="170"/>
      <c r="H70" s="170"/>
      <c r="I70" s="170"/>
      <c r="J70" s="170"/>
      <c r="K70" s="170"/>
      <c r="L70" s="170"/>
      <c r="M70" s="170"/>
      <c r="N70" s="170"/>
      <c r="O70" s="170"/>
      <c r="P70" s="170"/>
      <c r="Q70" s="170"/>
      <c r="R70" s="170"/>
      <c r="S70" s="170"/>
      <c r="T70" s="170"/>
      <c r="U70" s="170"/>
      <c r="V70" s="170"/>
      <c r="W70" s="170"/>
      <c r="X70" s="170"/>
      <c r="Y70" s="170"/>
      <c r="Z70" s="170"/>
      <c r="AA70" s="171"/>
      <c r="AC70" s="5"/>
    </row>
    <row r="71" spans="2:32" x14ac:dyDescent="0.3">
      <c r="B71" s="181"/>
      <c r="C71" s="128" t="s">
        <v>3</v>
      </c>
      <c r="D71" s="7">
        <v>43101</v>
      </c>
      <c r="E71" s="7">
        <v>43133</v>
      </c>
      <c r="F71" s="7">
        <v>43165</v>
      </c>
      <c r="G71" s="7">
        <v>43197</v>
      </c>
      <c r="H71" s="7">
        <v>43229</v>
      </c>
      <c r="I71" s="7">
        <v>43261</v>
      </c>
      <c r="J71" s="7">
        <v>43293</v>
      </c>
      <c r="K71" s="7">
        <v>43325</v>
      </c>
      <c r="L71" s="7">
        <v>43357</v>
      </c>
      <c r="M71" s="7">
        <v>43389</v>
      </c>
      <c r="N71" s="7">
        <v>43421</v>
      </c>
      <c r="O71" s="7">
        <v>43453</v>
      </c>
      <c r="P71" s="7">
        <v>43485</v>
      </c>
      <c r="Q71" s="7">
        <v>43517</v>
      </c>
      <c r="R71" s="7">
        <v>43549</v>
      </c>
      <c r="S71" s="7">
        <v>43581</v>
      </c>
      <c r="T71" s="7">
        <v>43613</v>
      </c>
      <c r="U71" s="7">
        <v>43645</v>
      </c>
      <c r="V71" s="7">
        <v>43677</v>
      </c>
      <c r="W71" s="7">
        <v>43709</v>
      </c>
      <c r="X71" s="7">
        <v>43741</v>
      </c>
      <c r="Y71" s="7">
        <v>43773</v>
      </c>
      <c r="Z71" s="7">
        <v>43805</v>
      </c>
      <c r="AA71" s="7">
        <v>43806</v>
      </c>
    </row>
    <row r="72" spans="2:32" x14ac:dyDescent="0.3">
      <c r="B72" s="181"/>
      <c r="C72" s="128" t="s">
        <v>4</v>
      </c>
      <c r="D72" s="6">
        <v>744</v>
      </c>
      <c r="E72" s="6">
        <v>696</v>
      </c>
      <c r="F72" s="6">
        <v>744</v>
      </c>
      <c r="G72" s="6">
        <v>720</v>
      </c>
      <c r="H72" s="6">
        <v>744</v>
      </c>
      <c r="I72" s="6">
        <v>720</v>
      </c>
      <c r="J72" s="6">
        <v>744</v>
      </c>
      <c r="K72" s="6">
        <v>744</v>
      </c>
      <c r="L72" s="6">
        <v>720</v>
      </c>
      <c r="M72" s="6">
        <v>744</v>
      </c>
      <c r="N72" s="6">
        <v>720</v>
      </c>
      <c r="O72" s="6">
        <v>744</v>
      </c>
      <c r="P72" s="6">
        <v>744</v>
      </c>
      <c r="Q72" s="6">
        <v>672</v>
      </c>
      <c r="R72" s="6">
        <v>744</v>
      </c>
      <c r="S72" s="6">
        <v>720</v>
      </c>
      <c r="T72" s="6">
        <v>744</v>
      </c>
      <c r="U72" s="6">
        <v>720</v>
      </c>
      <c r="V72" s="6">
        <v>744</v>
      </c>
      <c r="W72" s="6">
        <v>744</v>
      </c>
      <c r="X72" s="6">
        <v>720</v>
      </c>
      <c r="Y72" s="6">
        <v>744</v>
      </c>
      <c r="Z72" s="6">
        <v>720</v>
      </c>
      <c r="AA72" s="6">
        <v>744</v>
      </c>
    </row>
    <row r="73" spans="2:32" x14ac:dyDescent="0.3">
      <c r="B73" s="181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  <c r="AA73" s="8"/>
    </row>
    <row r="74" spans="2:32" x14ac:dyDescent="0.3">
      <c r="B74" s="181"/>
      <c r="C74" s="129" t="s">
        <v>5</v>
      </c>
      <c r="D74" s="114">
        <v>100.8</v>
      </c>
      <c r="E74" s="114">
        <v>123.9</v>
      </c>
      <c r="F74" s="114">
        <v>121.8</v>
      </c>
      <c r="G74" s="114">
        <v>111.3</v>
      </c>
      <c r="H74" s="114">
        <v>113.4</v>
      </c>
      <c r="I74" s="114">
        <v>52.5</v>
      </c>
      <c r="J74" s="114">
        <v>90.3</v>
      </c>
      <c r="K74" s="114">
        <v>77.7</v>
      </c>
      <c r="L74" s="114">
        <v>130.19999999999999</v>
      </c>
      <c r="M74" s="114">
        <v>128.1</v>
      </c>
      <c r="N74" s="114">
        <v>113.4</v>
      </c>
      <c r="O74" s="114">
        <v>113.4</v>
      </c>
      <c r="P74" s="110">
        <v>113.4</v>
      </c>
      <c r="Q74" s="110">
        <v>113.4</v>
      </c>
      <c r="R74" s="110">
        <v>115.5</v>
      </c>
      <c r="S74" s="110">
        <v>115.5</v>
      </c>
      <c r="T74" s="110">
        <v>117.6</v>
      </c>
      <c r="U74" s="110">
        <v>113.4</v>
      </c>
      <c r="V74" s="110">
        <v>102.49</v>
      </c>
      <c r="W74" s="110">
        <v>100.8</v>
      </c>
      <c r="X74" s="110">
        <v>107.1</v>
      </c>
      <c r="Y74" s="110">
        <v>105</v>
      </c>
      <c r="Z74" s="110">
        <v>105</v>
      </c>
      <c r="AA74" s="110">
        <v>113.4</v>
      </c>
      <c r="AB74" s="2"/>
      <c r="AC74" s="94" t="s">
        <v>92</v>
      </c>
      <c r="AD74" s="96" t="s">
        <v>96</v>
      </c>
      <c r="AE74" s="94" t="s">
        <v>97</v>
      </c>
      <c r="AF74" s="104" t="s">
        <v>108</v>
      </c>
    </row>
    <row r="75" spans="2:32" x14ac:dyDescent="0.3">
      <c r="B75" s="181"/>
      <c r="C75" s="129" t="s">
        <v>41</v>
      </c>
      <c r="D75" s="115">
        <v>84</v>
      </c>
      <c r="E75" s="115">
        <v>107.1</v>
      </c>
      <c r="F75" s="115">
        <v>94.5</v>
      </c>
      <c r="G75" s="115">
        <v>98.7</v>
      </c>
      <c r="H75" s="115">
        <v>105</v>
      </c>
      <c r="I75" s="115">
        <v>63</v>
      </c>
      <c r="J75" s="115">
        <v>77.7</v>
      </c>
      <c r="K75" s="115">
        <v>71.400000000000006</v>
      </c>
      <c r="L75" s="115">
        <v>111.3</v>
      </c>
      <c r="M75" s="115">
        <v>119.7</v>
      </c>
      <c r="N75" s="115">
        <v>102.9</v>
      </c>
      <c r="O75" s="115">
        <v>100.8</v>
      </c>
      <c r="P75" s="111">
        <v>98.7</v>
      </c>
      <c r="Q75" s="111">
        <v>96.6</v>
      </c>
      <c r="R75" s="111">
        <v>100.8</v>
      </c>
      <c r="S75" s="111">
        <v>109.2</v>
      </c>
      <c r="T75" s="111">
        <v>90.3</v>
      </c>
      <c r="U75" s="111">
        <v>107.1</v>
      </c>
      <c r="V75" s="111">
        <v>86.1</v>
      </c>
      <c r="W75" s="111">
        <v>81.900000000000006</v>
      </c>
      <c r="X75" s="111">
        <v>96.6</v>
      </c>
      <c r="Y75" s="111">
        <v>92.4</v>
      </c>
      <c r="Z75" s="111">
        <v>92.4</v>
      </c>
      <c r="AA75" s="111">
        <v>102.9</v>
      </c>
      <c r="AB75" s="2"/>
      <c r="AC75" s="94" t="s">
        <v>93</v>
      </c>
      <c r="AD75" s="95">
        <v>0</v>
      </c>
      <c r="AE75" s="96">
        <v>175</v>
      </c>
      <c r="AF75" s="104">
        <v>13.43</v>
      </c>
    </row>
    <row r="76" spans="2:32" x14ac:dyDescent="0.3">
      <c r="B76" s="181"/>
      <c r="C76" s="129" t="s">
        <v>6</v>
      </c>
      <c r="D76" s="13">
        <v>0</v>
      </c>
      <c r="E76" s="14">
        <v>0</v>
      </c>
      <c r="F76" s="13">
        <v>0</v>
      </c>
      <c r="G76" s="14">
        <v>0</v>
      </c>
      <c r="H76" s="13">
        <v>0</v>
      </c>
      <c r="I76" s="14">
        <v>0</v>
      </c>
      <c r="J76" s="13">
        <v>0</v>
      </c>
      <c r="K76" s="14">
        <v>0</v>
      </c>
      <c r="L76" s="13">
        <v>0</v>
      </c>
      <c r="M76" s="14">
        <v>0</v>
      </c>
      <c r="N76" s="13">
        <v>0</v>
      </c>
      <c r="O76" s="14">
        <v>0</v>
      </c>
      <c r="P76" s="13">
        <v>0</v>
      </c>
      <c r="Q76" s="14">
        <v>0</v>
      </c>
      <c r="R76" s="13">
        <v>0</v>
      </c>
      <c r="S76" s="14">
        <v>0</v>
      </c>
      <c r="T76" s="13">
        <v>0</v>
      </c>
      <c r="U76" s="14">
        <v>0</v>
      </c>
      <c r="V76" s="13">
        <v>0</v>
      </c>
      <c r="W76" s="14">
        <v>0</v>
      </c>
      <c r="X76" s="13">
        <v>0</v>
      </c>
      <c r="Y76" s="14">
        <v>0</v>
      </c>
      <c r="Z76" s="13">
        <v>0</v>
      </c>
      <c r="AA76" s="14">
        <v>0</v>
      </c>
      <c r="AB76" s="2"/>
      <c r="AC76" s="94" t="s">
        <v>94</v>
      </c>
      <c r="AD76" s="95">
        <v>0.5</v>
      </c>
      <c r="AE76" s="96">
        <v>220</v>
      </c>
      <c r="AF76" s="104">
        <v>41.69</v>
      </c>
    </row>
    <row r="77" spans="2:32" x14ac:dyDescent="0.3">
      <c r="B77" s="181"/>
      <c r="C77" s="129" t="s">
        <v>7</v>
      </c>
      <c r="D77" s="116">
        <v>240</v>
      </c>
      <c r="E77" s="116">
        <v>240</v>
      </c>
      <c r="F77" s="116">
        <v>240</v>
      </c>
      <c r="G77" s="116">
        <v>240</v>
      </c>
      <c r="H77" s="116">
        <v>240</v>
      </c>
      <c r="I77" s="116">
        <v>240</v>
      </c>
      <c r="J77" s="116">
        <v>240</v>
      </c>
      <c r="K77" s="116">
        <v>240</v>
      </c>
      <c r="L77" s="116">
        <v>240</v>
      </c>
      <c r="M77" s="116">
        <v>240</v>
      </c>
      <c r="N77" s="116">
        <v>240</v>
      </c>
      <c r="O77" s="116">
        <v>240</v>
      </c>
      <c r="P77" s="112">
        <v>240</v>
      </c>
      <c r="Q77" s="112">
        <v>240</v>
      </c>
      <c r="R77" s="112">
        <v>240</v>
      </c>
      <c r="S77" s="112">
        <v>240</v>
      </c>
      <c r="T77" s="112">
        <v>240</v>
      </c>
      <c r="U77" s="112">
        <v>240</v>
      </c>
      <c r="V77" s="112">
        <v>240</v>
      </c>
      <c r="W77" s="112">
        <v>240</v>
      </c>
      <c r="X77" s="112">
        <v>240</v>
      </c>
      <c r="Y77" s="112">
        <v>240</v>
      </c>
      <c r="Z77" s="112">
        <v>240</v>
      </c>
      <c r="AA77" s="112">
        <v>240</v>
      </c>
      <c r="AB77" s="2"/>
      <c r="AC77" s="94" t="s">
        <v>95</v>
      </c>
      <c r="AD77" s="95">
        <v>1</v>
      </c>
      <c r="AE77" s="96">
        <v>310</v>
      </c>
      <c r="AF77" s="104">
        <v>62.43</v>
      </c>
    </row>
    <row r="78" spans="2:32" x14ac:dyDescent="0.3">
      <c r="B78" s="181"/>
      <c r="C78" s="129" t="s">
        <v>8</v>
      </c>
      <c r="D78" s="16">
        <f t="shared" ref="D78:AA78" si="40">IF(D87="Verde",0,IF(D74&gt;D76*1.05,D74-D76,0))</f>
        <v>0</v>
      </c>
      <c r="E78" s="16">
        <f t="shared" si="40"/>
        <v>0</v>
      </c>
      <c r="F78" s="16">
        <f t="shared" si="40"/>
        <v>0</v>
      </c>
      <c r="G78" s="16">
        <f t="shared" si="40"/>
        <v>0</v>
      </c>
      <c r="H78" s="16">
        <f t="shared" si="40"/>
        <v>0</v>
      </c>
      <c r="I78" s="16">
        <f t="shared" si="40"/>
        <v>0</v>
      </c>
      <c r="J78" s="16">
        <f t="shared" si="40"/>
        <v>0</v>
      </c>
      <c r="K78" s="16">
        <f t="shared" si="40"/>
        <v>0</v>
      </c>
      <c r="L78" s="16">
        <f t="shared" si="40"/>
        <v>0</v>
      </c>
      <c r="M78" s="16">
        <f t="shared" si="40"/>
        <v>0</v>
      </c>
      <c r="N78" s="16">
        <f t="shared" si="40"/>
        <v>0</v>
      </c>
      <c r="O78" s="16">
        <f t="shared" si="40"/>
        <v>0</v>
      </c>
      <c r="P78" s="16">
        <f t="shared" si="40"/>
        <v>0</v>
      </c>
      <c r="Q78" s="16">
        <f t="shared" si="40"/>
        <v>0</v>
      </c>
      <c r="R78" s="16">
        <f t="shared" si="40"/>
        <v>0</v>
      </c>
      <c r="S78" s="16">
        <f t="shared" si="40"/>
        <v>0</v>
      </c>
      <c r="T78" s="16">
        <f t="shared" si="40"/>
        <v>0</v>
      </c>
      <c r="U78" s="16">
        <f t="shared" si="40"/>
        <v>0</v>
      </c>
      <c r="V78" s="16">
        <f t="shared" si="40"/>
        <v>0</v>
      </c>
      <c r="W78" s="16">
        <f t="shared" si="40"/>
        <v>0</v>
      </c>
      <c r="X78" s="16">
        <f t="shared" si="40"/>
        <v>0</v>
      </c>
      <c r="Y78" s="16">
        <f t="shared" si="40"/>
        <v>0</v>
      </c>
      <c r="Z78" s="16">
        <f t="shared" si="40"/>
        <v>0</v>
      </c>
      <c r="AA78" s="16">
        <f t="shared" si="40"/>
        <v>0</v>
      </c>
      <c r="AB78" s="2"/>
    </row>
    <row r="79" spans="2:32" x14ac:dyDescent="0.3">
      <c r="B79" s="181"/>
      <c r="C79" s="129" t="s">
        <v>9</v>
      </c>
      <c r="D79" s="18">
        <f t="shared" ref="D79:AA79" si="41">IF(D75&gt;D77*1.05,D75-D77,0)</f>
        <v>0</v>
      </c>
      <c r="E79" s="18">
        <f t="shared" si="41"/>
        <v>0</v>
      </c>
      <c r="F79" s="18">
        <f t="shared" si="41"/>
        <v>0</v>
      </c>
      <c r="G79" s="18">
        <f t="shared" si="41"/>
        <v>0</v>
      </c>
      <c r="H79" s="18">
        <f t="shared" si="41"/>
        <v>0</v>
      </c>
      <c r="I79" s="18">
        <f t="shared" si="41"/>
        <v>0</v>
      </c>
      <c r="J79" s="18">
        <f t="shared" si="41"/>
        <v>0</v>
      </c>
      <c r="K79" s="18">
        <f t="shared" si="41"/>
        <v>0</v>
      </c>
      <c r="L79" s="18">
        <f t="shared" si="41"/>
        <v>0</v>
      </c>
      <c r="M79" s="18">
        <f t="shared" si="41"/>
        <v>0</v>
      </c>
      <c r="N79" s="18">
        <f t="shared" si="41"/>
        <v>0</v>
      </c>
      <c r="O79" s="18">
        <f t="shared" si="41"/>
        <v>0</v>
      </c>
      <c r="P79" s="18">
        <f t="shared" si="41"/>
        <v>0</v>
      </c>
      <c r="Q79" s="18">
        <f t="shared" si="41"/>
        <v>0</v>
      </c>
      <c r="R79" s="18">
        <f t="shared" si="41"/>
        <v>0</v>
      </c>
      <c r="S79" s="18">
        <f t="shared" si="41"/>
        <v>0</v>
      </c>
      <c r="T79" s="18">
        <f t="shared" si="41"/>
        <v>0</v>
      </c>
      <c r="U79" s="18">
        <f t="shared" si="41"/>
        <v>0</v>
      </c>
      <c r="V79" s="18">
        <f t="shared" si="41"/>
        <v>0</v>
      </c>
      <c r="W79" s="18">
        <f t="shared" si="41"/>
        <v>0</v>
      </c>
      <c r="X79" s="18">
        <f t="shared" si="41"/>
        <v>0</v>
      </c>
      <c r="Y79" s="18">
        <f t="shared" si="41"/>
        <v>0</v>
      </c>
      <c r="Z79" s="18">
        <f t="shared" si="41"/>
        <v>0</v>
      </c>
      <c r="AA79" s="18">
        <f t="shared" si="41"/>
        <v>0</v>
      </c>
      <c r="AB79" s="1" t="s">
        <v>43</v>
      </c>
    </row>
    <row r="80" spans="2:32" x14ac:dyDescent="0.3">
      <c r="B80" s="181"/>
      <c r="C80" s="129" t="s">
        <v>10</v>
      </c>
      <c r="D80" s="114">
        <f>2940/1000</f>
        <v>2.94</v>
      </c>
      <c r="E80" s="114">
        <f>3780/1000</f>
        <v>3.78</v>
      </c>
      <c r="F80" s="114">
        <f>4410/1000</f>
        <v>4.41</v>
      </c>
      <c r="G80" s="114">
        <v>4.2</v>
      </c>
      <c r="H80" s="114">
        <f>4200/1000</f>
        <v>4.2</v>
      </c>
      <c r="I80" s="114">
        <f>2100/1000</f>
        <v>2.1</v>
      </c>
      <c r="J80" s="114">
        <f>2940/1000</f>
        <v>2.94</v>
      </c>
      <c r="K80" s="114">
        <f>3150/1000</f>
        <v>3.15</v>
      </c>
      <c r="L80" s="114">
        <f>4830/1000</f>
        <v>4.83</v>
      </c>
      <c r="M80" s="114">
        <f>5670/1000</f>
        <v>5.67</v>
      </c>
      <c r="N80" s="114">
        <f>3990/1000</f>
        <v>3.99</v>
      </c>
      <c r="O80" s="114">
        <f>5250/1000</f>
        <v>5.25</v>
      </c>
      <c r="P80" s="110">
        <f>3780/1000</f>
        <v>3.78</v>
      </c>
      <c r="Q80" s="110">
        <f>2730/1000</f>
        <v>2.73</v>
      </c>
      <c r="R80" s="110">
        <f>48300/1000</f>
        <v>48.3</v>
      </c>
      <c r="S80" s="110">
        <f>6090/1000</f>
        <v>6.09</v>
      </c>
      <c r="T80" s="110">
        <f>4410/1000</f>
        <v>4.41</v>
      </c>
      <c r="U80" s="110">
        <f>5460/1000</f>
        <v>5.46</v>
      </c>
      <c r="V80" s="110">
        <f>4620/1000</f>
        <v>4.62</v>
      </c>
      <c r="W80" s="110">
        <f>5040/1000</f>
        <v>5.04</v>
      </c>
      <c r="X80" s="110">
        <f>4830/1000</f>
        <v>4.83</v>
      </c>
      <c r="Y80" s="110">
        <f>3380/1000</f>
        <v>3.38</v>
      </c>
      <c r="Z80" s="110">
        <v>0</v>
      </c>
      <c r="AA80" s="110">
        <f>4200/1000</f>
        <v>4.2</v>
      </c>
      <c r="AB80" s="2"/>
    </row>
    <row r="81" spans="2:32" x14ac:dyDescent="0.3">
      <c r="B81" s="181"/>
      <c r="C81" s="129" t="s">
        <v>11</v>
      </c>
      <c r="D81" s="115">
        <f>17850/1000</f>
        <v>17.850000000000001</v>
      </c>
      <c r="E81" s="115">
        <f>19950/1000</f>
        <v>19.95</v>
      </c>
      <c r="F81" s="115">
        <f>21210/1000</f>
        <v>21.21</v>
      </c>
      <c r="G81" s="115">
        <f>24570/1000</f>
        <v>24.57</v>
      </c>
      <c r="H81" s="115">
        <f>21840/1000</f>
        <v>21.84</v>
      </c>
      <c r="I81" s="115">
        <f>16800/1000</f>
        <v>16.8</v>
      </c>
      <c r="J81" s="115">
        <f>17010/1000</f>
        <v>17.010000000000002</v>
      </c>
      <c r="K81" s="115">
        <f>17430/1000</f>
        <v>17.43</v>
      </c>
      <c r="L81" s="115">
        <f>22680/1000</f>
        <v>22.68</v>
      </c>
      <c r="M81" s="115">
        <f>26250/1000</f>
        <v>26.25</v>
      </c>
      <c r="N81" s="115">
        <f>26880/1000</f>
        <v>26.88</v>
      </c>
      <c r="O81" s="115">
        <f>25620/1000</f>
        <v>25.62</v>
      </c>
      <c r="P81" s="111">
        <f>23940/1000</f>
        <v>23.94</v>
      </c>
      <c r="Q81" s="111">
        <f>22680/1000</f>
        <v>22.68</v>
      </c>
      <c r="R81" s="111">
        <f>21630/1000</f>
        <v>21.63</v>
      </c>
      <c r="S81" s="111">
        <f>28880/1000</f>
        <v>28.88</v>
      </c>
      <c r="T81" s="111">
        <f>26040/1000</f>
        <v>26.04</v>
      </c>
      <c r="U81" s="111">
        <f>23310/1000</f>
        <v>23.31</v>
      </c>
      <c r="V81" s="111">
        <f>19530/1000</f>
        <v>19.53</v>
      </c>
      <c r="W81" s="111">
        <f>19740/1000</f>
        <v>19.739999999999998</v>
      </c>
      <c r="X81" s="111">
        <f>24780/1000</f>
        <v>24.78</v>
      </c>
      <c r="Y81" s="111">
        <f>22050/1000</f>
        <v>22.05</v>
      </c>
      <c r="Z81" s="111">
        <v>0</v>
      </c>
      <c r="AA81" s="111">
        <f>20580/1000</f>
        <v>20.58</v>
      </c>
      <c r="AB81" s="2"/>
      <c r="AC81" s="1" t="s">
        <v>45</v>
      </c>
      <c r="AD81" s="1">
        <f>SUM(P80:AA81)/SUM(P72:AA72)</f>
        <v>3.9497716894977171E-2</v>
      </c>
      <c r="AF81" s="1">
        <v>145</v>
      </c>
    </row>
    <row r="82" spans="2:32" x14ac:dyDescent="0.3">
      <c r="B82" s="181"/>
      <c r="C82" s="129" t="s">
        <v>0</v>
      </c>
      <c r="D82" s="19" t="s">
        <v>44</v>
      </c>
      <c r="E82" s="20" t="s">
        <v>44</v>
      </c>
      <c r="F82" s="20" t="s">
        <v>44</v>
      </c>
      <c r="G82" s="20" t="s">
        <v>44</v>
      </c>
      <c r="H82" s="20" t="s">
        <v>44</v>
      </c>
      <c r="I82" s="20" t="s">
        <v>44</v>
      </c>
      <c r="J82" s="19" t="s">
        <v>44</v>
      </c>
      <c r="K82" s="20" t="s">
        <v>44</v>
      </c>
      <c r="L82" s="20" t="s">
        <v>44</v>
      </c>
      <c r="M82" s="20" t="s">
        <v>44</v>
      </c>
      <c r="N82" s="20" t="s">
        <v>44</v>
      </c>
      <c r="O82" s="20" t="s">
        <v>44</v>
      </c>
      <c r="P82" s="20" t="s">
        <v>44</v>
      </c>
      <c r="Q82" s="20" t="s">
        <v>44</v>
      </c>
      <c r="R82" s="20" t="s">
        <v>44</v>
      </c>
      <c r="S82" s="20" t="s">
        <v>44</v>
      </c>
      <c r="T82" s="20" t="s">
        <v>44</v>
      </c>
      <c r="U82" s="20" t="s">
        <v>44</v>
      </c>
      <c r="V82" s="20" t="s">
        <v>44</v>
      </c>
      <c r="W82" s="20" t="s">
        <v>44</v>
      </c>
      <c r="X82" s="20" t="s">
        <v>44</v>
      </c>
      <c r="Y82" s="20" t="s">
        <v>44</v>
      </c>
      <c r="Z82" s="20" t="s">
        <v>44</v>
      </c>
      <c r="AA82" s="20" t="s">
        <v>44</v>
      </c>
      <c r="AB82" s="2"/>
      <c r="AC82" s="1" t="s">
        <v>91</v>
      </c>
      <c r="AD82" s="93">
        <f>SUM(P80:AA80)/SUM(P80:AA81)</f>
        <v>0.26832369942196527</v>
      </c>
      <c r="AF82" s="1">
        <v>17.64</v>
      </c>
    </row>
    <row r="83" spans="2:32" x14ac:dyDescent="0.3">
      <c r="B83" s="181"/>
      <c r="C83" s="107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7"/>
      <c r="AA83" s="108"/>
      <c r="AD83" s="1">
        <v>0.12392200974878137</v>
      </c>
      <c r="AF83" s="1">
        <f>AF81+AF82</f>
        <v>162.63999999999999</v>
      </c>
    </row>
    <row r="84" spans="2:32" x14ac:dyDescent="0.3">
      <c r="B84" s="181"/>
      <c r="C84" s="129" t="s">
        <v>12</v>
      </c>
      <c r="D84" s="126">
        <f>'SIMULAÇÃO CENÁRIOS'!$D$7</f>
        <v>0.5</v>
      </c>
      <c r="E84" s="126">
        <f>'SIMULAÇÃO CENÁRIOS'!$D$7</f>
        <v>0.5</v>
      </c>
      <c r="F84" s="126">
        <f>'SIMULAÇÃO CENÁRIOS'!$D$7</f>
        <v>0.5</v>
      </c>
      <c r="G84" s="126">
        <f>'SIMULAÇÃO CENÁRIOS'!$D$7</f>
        <v>0.5</v>
      </c>
      <c r="H84" s="126">
        <f>'SIMULAÇÃO CENÁRIOS'!$D$7</f>
        <v>0.5</v>
      </c>
      <c r="I84" s="126">
        <f>'SIMULAÇÃO CENÁRIOS'!$D$7</f>
        <v>0.5</v>
      </c>
      <c r="J84" s="126">
        <f>'SIMULAÇÃO CENÁRIOS'!$D$7</f>
        <v>0.5</v>
      </c>
      <c r="K84" s="126">
        <f>'SIMULAÇÃO CENÁRIOS'!$D$7</f>
        <v>0.5</v>
      </c>
      <c r="L84" s="126">
        <f>'SIMULAÇÃO CENÁRIOS'!$D$7</f>
        <v>0.5</v>
      </c>
      <c r="M84" s="126">
        <f>'SIMULAÇÃO CENÁRIOS'!$D$7</f>
        <v>0.5</v>
      </c>
      <c r="N84" s="126">
        <f>'SIMULAÇÃO CENÁRIOS'!$D$7</f>
        <v>0.5</v>
      </c>
      <c r="O84" s="126">
        <f>'SIMULAÇÃO CENÁRIOS'!$D$7</f>
        <v>0.5</v>
      </c>
      <c r="P84" s="126">
        <f>'SIMULAÇÃO CENÁRIOS'!$D$7</f>
        <v>0.5</v>
      </c>
      <c r="Q84" s="126">
        <f>'SIMULAÇÃO CENÁRIOS'!$D$7</f>
        <v>0.5</v>
      </c>
      <c r="R84" s="126">
        <f>'SIMULAÇÃO CENÁRIOS'!$D$7</f>
        <v>0.5</v>
      </c>
      <c r="S84" s="126">
        <f>'SIMULAÇÃO CENÁRIOS'!$D$7</f>
        <v>0.5</v>
      </c>
      <c r="T84" s="126">
        <f>'SIMULAÇÃO CENÁRIOS'!$D$7</f>
        <v>0.5</v>
      </c>
      <c r="U84" s="126">
        <f>'SIMULAÇÃO CENÁRIOS'!$D$7</f>
        <v>0.5</v>
      </c>
      <c r="V84" s="126">
        <f>'SIMULAÇÃO CENÁRIOS'!$D$7</f>
        <v>0.5</v>
      </c>
      <c r="W84" s="126">
        <f>'SIMULAÇÃO CENÁRIOS'!$D$7</f>
        <v>0.5</v>
      </c>
      <c r="X84" s="126">
        <f>'SIMULAÇÃO CENÁRIOS'!$D$7</f>
        <v>0.5</v>
      </c>
      <c r="Y84" s="126">
        <f>'SIMULAÇÃO CENÁRIOS'!$D$7</f>
        <v>0.5</v>
      </c>
      <c r="Z84" s="126">
        <f>'SIMULAÇÃO CENÁRIOS'!$D$7</f>
        <v>0.5</v>
      </c>
      <c r="AA84" s="126">
        <f>'SIMULAÇÃO CENÁRIOS'!$D$7</f>
        <v>0.5</v>
      </c>
    </row>
    <row r="85" spans="2:32" x14ac:dyDescent="0.3">
      <c r="B85" s="181"/>
      <c r="C85" s="107"/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  <c r="W85" s="107"/>
      <c r="X85" s="107"/>
      <c r="Y85" s="107"/>
      <c r="Z85" s="107"/>
      <c r="AA85" s="108"/>
    </row>
    <row r="86" spans="2:32" x14ac:dyDescent="0.3">
      <c r="B86" s="181"/>
      <c r="C86" s="129" t="s">
        <v>13</v>
      </c>
      <c r="D86" s="9" t="s">
        <v>1</v>
      </c>
      <c r="E86" s="10" t="s">
        <v>1</v>
      </c>
      <c r="F86" s="10" t="s">
        <v>1</v>
      </c>
      <c r="G86" s="10" t="s">
        <v>1</v>
      </c>
      <c r="H86" s="10" t="s">
        <v>1</v>
      </c>
      <c r="I86" s="10" t="s">
        <v>1</v>
      </c>
      <c r="J86" s="9" t="s">
        <v>1</v>
      </c>
      <c r="K86" s="10" t="s">
        <v>1</v>
      </c>
      <c r="L86" s="10" t="s">
        <v>1</v>
      </c>
      <c r="M86" s="10" t="s">
        <v>1</v>
      </c>
      <c r="N86" s="10" t="s">
        <v>1</v>
      </c>
      <c r="O86" s="10" t="s">
        <v>1</v>
      </c>
      <c r="P86" s="9" t="s">
        <v>1</v>
      </c>
      <c r="Q86" s="9" t="s">
        <v>1</v>
      </c>
      <c r="R86" s="9" t="s">
        <v>1</v>
      </c>
      <c r="S86" s="9" t="s">
        <v>1</v>
      </c>
      <c r="T86" s="9" t="s">
        <v>1</v>
      </c>
      <c r="U86" s="9" t="s">
        <v>1</v>
      </c>
      <c r="V86" s="9" t="s">
        <v>1</v>
      </c>
      <c r="W86" s="9" t="s">
        <v>1</v>
      </c>
      <c r="X86" s="9" t="s">
        <v>1</v>
      </c>
      <c r="Y86" s="9" t="s">
        <v>1</v>
      </c>
      <c r="Z86" s="9" t="s">
        <v>1</v>
      </c>
      <c r="AA86" s="9" t="s">
        <v>1</v>
      </c>
      <c r="AF86" s="92">
        <f>AF83*1000</f>
        <v>162640</v>
      </c>
    </row>
    <row r="87" spans="2:32" x14ac:dyDescent="0.3">
      <c r="B87" s="181"/>
      <c r="C87" s="129" t="s">
        <v>14</v>
      </c>
      <c r="D87" s="11" t="s">
        <v>42</v>
      </c>
      <c r="E87" s="12" t="s">
        <v>42</v>
      </c>
      <c r="F87" s="12" t="s">
        <v>42</v>
      </c>
      <c r="G87" s="12" t="s">
        <v>42</v>
      </c>
      <c r="H87" s="12" t="s">
        <v>42</v>
      </c>
      <c r="I87" s="12" t="s">
        <v>42</v>
      </c>
      <c r="J87" s="11" t="s">
        <v>42</v>
      </c>
      <c r="K87" s="12" t="s">
        <v>42</v>
      </c>
      <c r="L87" s="12" t="s">
        <v>42</v>
      </c>
      <c r="M87" s="12" t="s">
        <v>42</v>
      </c>
      <c r="N87" s="12" t="s">
        <v>42</v>
      </c>
      <c r="O87" s="12" t="s">
        <v>42</v>
      </c>
      <c r="P87" s="12" t="s">
        <v>42</v>
      </c>
      <c r="Q87" s="12" t="s">
        <v>42</v>
      </c>
      <c r="R87" s="12" t="s">
        <v>42</v>
      </c>
      <c r="S87" s="12" t="s">
        <v>42</v>
      </c>
      <c r="T87" s="12" t="s">
        <v>42</v>
      </c>
      <c r="U87" s="12" t="s">
        <v>42</v>
      </c>
      <c r="V87" s="12" t="s">
        <v>42</v>
      </c>
      <c r="W87" s="12" t="s">
        <v>42</v>
      </c>
      <c r="X87" s="12" t="s">
        <v>42</v>
      </c>
      <c r="Y87" s="12" t="s">
        <v>42</v>
      </c>
      <c r="Z87" s="12" t="s">
        <v>42</v>
      </c>
      <c r="AA87" s="12" t="s">
        <v>42</v>
      </c>
      <c r="AF87" s="92">
        <f>AF86/100</f>
        <v>1626.4</v>
      </c>
    </row>
    <row r="88" spans="2:32" x14ac:dyDescent="0.3">
      <c r="B88" s="181"/>
      <c r="C88" s="129" t="s">
        <v>15</v>
      </c>
      <c r="D88" s="13">
        <v>49.84</v>
      </c>
      <c r="E88" s="14">
        <v>49.84</v>
      </c>
      <c r="F88" s="14">
        <v>49.84</v>
      </c>
      <c r="G88" s="14">
        <v>49.84</v>
      </c>
      <c r="H88" s="14">
        <v>49.84</v>
      </c>
      <c r="I88" s="14">
        <v>49.84</v>
      </c>
      <c r="J88" s="13">
        <v>49.84</v>
      </c>
      <c r="K88" s="14">
        <v>49.84</v>
      </c>
      <c r="L88" s="14">
        <v>49.84</v>
      </c>
      <c r="M88" s="14">
        <v>49.84</v>
      </c>
      <c r="N88" s="14">
        <v>49.84</v>
      </c>
      <c r="O88" s="14">
        <v>49.84</v>
      </c>
      <c r="P88" s="14">
        <v>49.84</v>
      </c>
      <c r="Q88" s="14">
        <v>49.84</v>
      </c>
      <c r="R88" s="14">
        <v>49.84</v>
      </c>
      <c r="S88" s="14">
        <v>49.84</v>
      </c>
      <c r="T88" s="14">
        <v>49.84</v>
      </c>
      <c r="U88" s="14">
        <v>49.84</v>
      </c>
      <c r="V88" s="14">
        <v>49.84</v>
      </c>
      <c r="W88" s="14">
        <v>49.84</v>
      </c>
      <c r="X88" s="14">
        <v>49.84</v>
      </c>
      <c r="Y88" s="14">
        <v>49.84</v>
      </c>
      <c r="Z88" s="14">
        <v>49.84</v>
      </c>
      <c r="AA88" s="14">
        <v>49.84</v>
      </c>
      <c r="AF88" s="1">
        <f>AF87*1.343</f>
        <v>2184.2552000000001</v>
      </c>
    </row>
    <row r="89" spans="2:32" x14ac:dyDescent="0.3">
      <c r="B89" s="181"/>
      <c r="C89" s="129" t="s">
        <v>16</v>
      </c>
      <c r="D89" s="11">
        <v>19.260000000000002</v>
      </c>
      <c r="E89" s="12">
        <v>19.260000000000002</v>
      </c>
      <c r="F89" s="12">
        <v>19.260000000000002</v>
      </c>
      <c r="G89" s="12">
        <v>19.260000000000002</v>
      </c>
      <c r="H89" s="12">
        <v>19.260000000000002</v>
      </c>
      <c r="I89" s="12">
        <v>19.260000000000002</v>
      </c>
      <c r="J89" s="11">
        <v>19.260000000000002</v>
      </c>
      <c r="K89" s="12">
        <v>19.260000000000002</v>
      </c>
      <c r="L89" s="12">
        <v>19.260000000000002</v>
      </c>
      <c r="M89" s="12">
        <v>19.260000000000002</v>
      </c>
      <c r="N89" s="12">
        <v>19.260000000000002</v>
      </c>
      <c r="O89" s="12">
        <v>19.260000000000002</v>
      </c>
      <c r="P89" s="12">
        <v>19.260000000000002</v>
      </c>
      <c r="Q89" s="12">
        <v>19.260000000000002</v>
      </c>
      <c r="R89" s="12">
        <v>19.260000000000002</v>
      </c>
      <c r="S89" s="12">
        <v>19.260000000000002</v>
      </c>
      <c r="T89" s="12">
        <v>19.260000000000002</v>
      </c>
      <c r="U89" s="12">
        <v>19.260000000000002</v>
      </c>
      <c r="V89" s="12">
        <v>19.260000000000002</v>
      </c>
      <c r="W89" s="12">
        <v>19.260000000000002</v>
      </c>
      <c r="X89" s="12">
        <v>19.260000000000002</v>
      </c>
      <c r="Y89" s="12">
        <v>19.260000000000002</v>
      </c>
      <c r="Z89" s="12">
        <v>19.260000000000002</v>
      </c>
      <c r="AA89" s="12">
        <v>19.260000000000002</v>
      </c>
    </row>
    <row r="90" spans="2:32" x14ac:dyDescent="0.3">
      <c r="B90" s="181"/>
      <c r="C90" s="129" t="s">
        <v>17</v>
      </c>
      <c r="D90" s="15">
        <v>1292.96</v>
      </c>
      <c r="E90" s="16">
        <v>1292.96</v>
      </c>
      <c r="F90" s="16">
        <v>1292.96</v>
      </c>
      <c r="G90" s="16">
        <v>1292.96</v>
      </c>
      <c r="H90" s="16">
        <v>1292.96</v>
      </c>
      <c r="I90" s="16">
        <v>1292.96</v>
      </c>
      <c r="J90" s="15">
        <v>1292.96</v>
      </c>
      <c r="K90" s="16">
        <v>1292.96</v>
      </c>
      <c r="L90" s="16">
        <v>1292.96</v>
      </c>
      <c r="M90" s="16">
        <v>1292.96</v>
      </c>
      <c r="N90" s="16">
        <v>1292.96</v>
      </c>
      <c r="O90" s="16">
        <v>1292.96</v>
      </c>
      <c r="P90" s="16">
        <v>1292.96</v>
      </c>
      <c r="Q90" s="16">
        <v>1292.96</v>
      </c>
      <c r="R90" s="16">
        <v>1292.96</v>
      </c>
      <c r="S90" s="16">
        <v>1292.96</v>
      </c>
      <c r="T90" s="16">
        <v>1292.96</v>
      </c>
      <c r="U90" s="16">
        <v>1292.96</v>
      </c>
      <c r="V90" s="16">
        <v>1292.96</v>
      </c>
      <c r="W90" s="16">
        <v>1292.96</v>
      </c>
      <c r="X90" s="16">
        <v>1292.96</v>
      </c>
      <c r="Y90" s="16">
        <v>1292.96</v>
      </c>
      <c r="Z90" s="16">
        <v>1292.96</v>
      </c>
      <c r="AA90" s="16">
        <v>1292.96</v>
      </c>
    </row>
    <row r="91" spans="2:32" x14ac:dyDescent="0.3">
      <c r="B91" s="181"/>
      <c r="C91" s="129" t="s">
        <v>18</v>
      </c>
      <c r="D91" s="17">
        <v>83.39</v>
      </c>
      <c r="E91" s="18">
        <v>83.39</v>
      </c>
      <c r="F91" s="18">
        <v>83.39</v>
      </c>
      <c r="G91" s="18">
        <v>83.39</v>
      </c>
      <c r="H91" s="18">
        <v>83.39</v>
      </c>
      <c r="I91" s="18">
        <v>83.39</v>
      </c>
      <c r="J91" s="17">
        <v>83.39</v>
      </c>
      <c r="K91" s="18">
        <v>83.39</v>
      </c>
      <c r="L91" s="18">
        <v>83.39</v>
      </c>
      <c r="M91" s="18">
        <v>83.39</v>
      </c>
      <c r="N91" s="18">
        <v>83.39</v>
      </c>
      <c r="O91" s="18">
        <v>83.39</v>
      </c>
      <c r="P91" s="18">
        <v>83.39</v>
      </c>
      <c r="Q91" s="18">
        <v>83.39</v>
      </c>
      <c r="R91" s="18">
        <v>83.39</v>
      </c>
      <c r="S91" s="18">
        <v>83.39</v>
      </c>
      <c r="T91" s="18">
        <v>83.39</v>
      </c>
      <c r="U91" s="18">
        <v>83.39</v>
      </c>
      <c r="V91" s="18">
        <v>83.39</v>
      </c>
      <c r="W91" s="18">
        <v>83.39</v>
      </c>
      <c r="X91" s="18">
        <v>83.39</v>
      </c>
      <c r="Y91" s="18">
        <v>83.39</v>
      </c>
      <c r="Z91" s="18">
        <v>83.39</v>
      </c>
      <c r="AA91" s="18">
        <v>83.39</v>
      </c>
    </row>
    <row r="92" spans="2:32" x14ac:dyDescent="0.3">
      <c r="B92" s="181"/>
      <c r="C92" s="129" t="s">
        <v>19</v>
      </c>
      <c r="D92" s="15">
        <v>420.68</v>
      </c>
      <c r="E92" s="16">
        <v>420.68</v>
      </c>
      <c r="F92" s="16">
        <v>420.68</v>
      </c>
      <c r="G92" s="16">
        <v>420.68</v>
      </c>
      <c r="H92" s="16">
        <v>420.68</v>
      </c>
      <c r="I92" s="16">
        <v>420.68</v>
      </c>
      <c r="J92" s="15">
        <v>420.68</v>
      </c>
      <c r="K92" s="16">
        <v>420.68</v>
      </c>
      <c r="L92" s="16">
        <v>420.68</v>
      </c>
      <c r="M92" s="16">
        <v>420.68</v>
      </c>
      <c r="N92" s="16">
        <v>420.68</v>
      </c>
      <c r="O92" s="16">
        <v>420.68</v>
      </c>
      <c r="P92" s="16">
        <v>420.68</v>
      </c>
      <c r="Q92" s="16">
        <v>420.68</v>
      </c>
      <c r="R92" s="16">
        <v>420.68</v>
      </c>
      <c r="S92" s="16">
        <v>420.68</v>
      </c>
      <c r="T92" s="16">
        <v>420.68</v>
      </c>
      <c r="U92" s="16">
        <v>420.68</v>
      </c>
      <c r="V92" s="16">
        <v>420.68</v>
      </c>
      <c r="W92" s="16">
        <v>420.68</v>
      </c>
      <c r="X92" s="16">
        <v>420.68</v>
      </c>
      <c r="Y92" s="16">
        <v>420.68</v>
      </c>
      <c r="Z92" s="16">
        <v>420.68</v>
      </c>
      <c r="AA92" s="16">
        <v>420.68</v>
      </c>
    </row>
    <row r="93" spans="2:32" x14ac:dyDescent="0.3">
      <c r="B93" s="181"/>
      <c r="C93" s="130" t="s">
        <v>20</v>
      </c>
      <c r="D93" s="21">
        <v>251.44</v>
      </c>
      <c r="E93" s="22">
        <v>251.44</v>
      </c>
      <c r="F93" s="22">
        <v>251.44</v>
      </c>
      <c r="G93" s="22">
        <v>251.44</v>
      </c>
      <c r="H93" s="22">
        <v>251.44</v>
      </c>
      <c r="I93" s="22">
        <v>251.44</v>
      </c>
      <c r="J93" s="21">
        <v>251.44</v>
      </c>
      <c r="K93" s="22">
        <v>251.44</v>
      </c>
      <c r="L93" s="22">
        <v>251.44</v>
      </c>
      <c r="M93" s="22">
        <v>251.44</v>
      </c>
      <c r="N93" s="22">
        <v>251.44</v>
      </c>
      <c r="O93" s="22">
        <v>251.44</v>
      </c>
      <c r="P93" s="22">
        <v>251.44</v>
      </c>
      <c r="Q93" s="22">
        <v>251.44</v>
      </c>
      <c r="R93" s="22">
        <v>251.44</v>
      </c>
      <c r="S93" s="22">
        <v>251.44</v>
      </c>
      <c r="T93" s="22">
        <v>251.44</v>
      </c>
      <c r="U93" s="22">
        <v>251.44</v>
      </c>
      <c r="V93" s="22">
        <v>251.44</v>
      </c>
      <c r="W93" s="22">
        <v>251.44</v>
      </c>
      <c r="X93" s="22">
        <v>251.44</v>
      </c>
      <c r="Y93" s="22">
        <v>251.44</v>
      </c>
      <c r="Z93" s="22">
        <v>251.44</v>
      </c>
      <c r="AA93" s="22">
        <v>251.44</v>
      </c>
    </row>
    <row r="94" spans="2:32" x14ac:dyDescent="0.3">
      <c r="B94" s="181"/>
      <c r="C94" s="107"/>
      <c r="D94" s="107"/>
      <c r="E94" s="107"/>
      <c r="F94" s="107"/>
      <c r="G94" s="107"/>
      <c r="H94" s="107"/>
      <c r="I94" s="107"/>
      <c r="J94" s="107"/>
      <c r="K94" s="107"/>
      <c r="L94" s="107"/>
      <c r="M94" s="107"/>
      <c r="N94" s="107"/>
      <c r="O94" s="107"/>
      <c r="P94" s="107"/>
      <c r="Q94" s="107"/>
      <c r="R94" s="107"/>
      <c r="S94" s="107"/>
      <c r="T94" s="107"/>
      <c r="U94" s="107"/>
      <c r="V94" s="107"/>
      <c r="W94" s="107"/>
      <c r="X94" s="107"/>
      <c r="Y94" s="107"/>
      <c r="Z94" s="107"/>
      <c r="AA94" s="23"/>
    </row>
    <row r="95" spans="2:32" x14ac:dyDescent="0.3">
      <c r="B95" s="181"/>
      <c r="C95" s="129" t="s">
        <v>21</v>
      </c>
      <c r="D95" s="24">
        <v>0.27</v>
      </c>
      <c r="E95" s="24">
        <v>0.27</v>
      </c>
      <c r="F95" s="24">
        <v>0.27</v>
      </c>
      <c r="G95" s="24">
        <v>0.27</v>
      </c>
      <c r="H95" s="24">
        <v>0.27</v>
      </c>
      <c r="I95" s="24">
        <v>0.27</v>
      </c>
      <c r="J95" s="24">
        <v>0.27</v>
      </c>
      <c r="K95" s="24">
        <v>0.27</v>
      </c>
      <c r="L95" s="24">
        <v>0.27</v>
      </c>
      <c r="M95" s="24">
        <v>0.27</v>
      </c>
      <c r="N95" s="24">
        <v>0.27</v>
      </c>
      <c r="O95" s="24">
        <v>0.27</v>
      </c>
      <c r="P95" s="24">
        <v>0.27</v>
      </c>
      <c r="Q95" s="24">
        <v>0.27</v>
      </c>
      <c r="R95" s="24">
        <v>0.27</v>
      </c>
      <c r="S95" s="24">
        <v>0.27</v>
      </c>
      <c r="T95" s="24">
        <v>0.27</v>
      </c>
      <c r="U95" s="24">
        <v>0.27</v>
      </c>
      <c r="V95" s="24">
        <v>0.27</v>
      </c>
      <c r="W95" s="24">
        <v>0.27</v>
      </c>
      <c r="X95" s="24">
        <v>0.27</v>
      </c>
      <c r="Y95" s="24">
        <v>0.27</v>
      </c>
      <c r="Z95" s="24">
        <v>0.27</v>
      </c>
      <c r="AA95" s="24">
        <v>0.27</v>
      </c>
    </row>
    <row r="96" spans="2:32" x14ac:dyDescent="0.3">
      <c r="B96" s="181"/>
      <c r="C96" s="129" t="s">
        <v>22</v>
      </c>
      <c r="D96" s="25">
        <v>0.05</v>
      </c>
      <c r="E96" s="26">
        <v>0.05</v>
      </c>
      <c r="F96" s="26">
        <v>0.05</v>
      </c>
      <c r="G96" s="26">
        <v>0.05</v>
      </c>
      <c r="H96" s="26">
        <v>0.05</v>
      </c>
      <c r="I96" s="26">
        <v>0.05</v>
      </c>
      <c r="J96" s="25">
        <v>0.05</v>
      </c>
      <c r="K96" s="26">
        <v>0.05</v>
      </c>
      <c r="L96" s="26">
        <v>0.05</v>
      </c>
      <c r="M96" s="26">
        <v>0.05</v>
      </c>
      <c r="N96" s="26">
        <v>0.05</v>
      </c>
      <c r="O96" s="26">
        <v>0.05</v>
      </c>
      <c r="P96" s="26">
        <v>0.05</v>
      </c>
      <c r="Q96" s="26">
        <v>0.05</v>
      </c>
      <c r="R96" s="26">
        <v>0.05</v>
      </c>
      <c r="S96" s="26">
        <v>0.05</v>
      </c>
      <c r="T96" s="26">
        <v>0.05</v>
      </c>
      <c r="U96" s="26">
        <v>0.05</v>
      </c>
      <c r="V96" s="26">
        <v>0.05</v>
      </c>
      <c r="W96" s="26">
        <v>0.05</v>
      </c>
      <c r="X96" s="26">
        <v>0.05</v>
      </c>
      <c r="Y96" s="26">
        <v>0.05</v>
      </c>
      <c r="Z96" s="26">
        <v>0.05</v>
      </c>
      <c r="AA96" s="26">
        <v>0.05</v>
      </c>
    </row>
    <row r="97" spans="2:29" x14ac:dyDescent="0.3">
      <c r="B97" s="181"/>
      <c r="C97" s="107"/>
      <c r="D97" s="107"/>
      <c r="E97" s="107"/>
      <c r="F97" s="107"/>
      <c r="G97" s="107"/>
      <c r="H97" s="107"/>
      <c r="I97" s="107"/>
      <c r="J97" s="107"/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07"/>
      <c r="V97" s="107"/>
      <c r="W97" s="107"/>
      <c r="X97" s="107"/>
      <c r="Y97" s="107"/>
      <c r="Z97" s="107"/>
      <c r="AA97" s="23"/>
    </row>
    <row r="98" spans="2:29" x14ac:dyDescent="0.3">
      <c r="B98" s="181"/>
      <c r="C98" s="131" t="s">
        <v>23</v>
      </c>
      <c r="D98" s="27">
        <f>IF(D87="Azul",D76*D88*(1-D84),0)</f>
        <v>0</v>
      </c>
      <c r="E98" s="28">
        <f t="shared" ref="E98:O98" si="42">IF(E87="Azul",E76*E88*(1-E84),0)</f>
        <v>0</v>
      </c>
      <c r="F98" s="28">
        <f t="shared" si="42"/>
        <v>0</v>
      </c>
      <c r="G98" s="28">
        <f t="shared" si="42"/>
        <v>0</v>
      </c>
      <c r="H98" s="28">
        <f t="shared" si="42"/>
        <v>0</v>
      </c>
      <c r="I98" s="28">
        <f t="shared" si="42"/>
        <v>0</v>
      </c>
      <c r="J98" s="27">
        <f t="shared" si="42"/>
        <v>0</v>
      </c>
      <c r="K98" s="28">
        <f t="shared" si="42"/>
        <v>0</v>
      </c>
      <c r="L98" s="28">
        <f t="shared" si="42"/>
        <v>0</v>
      </c>
      <c r="M98" s="28">
        <f t="shared" si="42"/>
        <v>0</v>
      </c>
      <c r="N98" s="28">
        <f t="shared" si="42"/>
        <v>0</v>
      </c>
      <c r="O98" s="28">
        <f t="shared" si="42"/>
        <v>0</v>
      </c>
      <c r="P98" s="27">
        <f>IF(P87="Azul",P76*P88*(1-P84),0)</f>
        <v>0</v>
      </c>
      <c r="Q98" s="28">
        <f t="shared" ref="Q98:AA98" si="43">IF(Q87="Azul",Q76*Q88*(1-Q84),0)</f>
        <v>0</v>
      </c>
      <c r="R98" s="28">
        <f t="shared" si="43"/>
        <v>0</v>
      </c>
      <c r="S98" s="28">
        <f t="shared" si="43"/>
        <v>0</v>
      </c>
      <c r="T98" s="28">
        <f t="shared" si="43"/>
        <v>0</v>
      </c>
      <c r="U98" s="28">
        <f t="shared" si="43"/>
        <v>0</v>
      </c>
      <c r="V98" s="28">
        <f t="shared" si="43"/>
        <v>0</v>
      </c>
      <c r="W98" s="28">
        <f t="shared" si="43"/>
        <v>0</v>
      </c>
      <c r="X98" s="28">
        <f t="shared" si="43"/>
        <v>0</v>
      </c>
      <c r="Y98" s="28">
        <f t="shared" si="43"/>
        <v>0</v>
      </c>
      <c r="Z98" s="28">
        <f t="shared" si="43"/>
        <v>0</v>
      </c>
      <c r="AA98" s="28">
        <f t="shared" si="43"/>
        <v>0</v>
      </c>
    </row>
    <row r="99" spans="2:29" x14ac:dyDescent="0.3">
      <c r="B99" s="181"/>
      <c r="C99" s="131" t="s">
        <v>24</v>
      </c>
      <c r="D99" s="29">
        <f>D78*D88*2</f>
        <v>0</v>
      </c>
      <c r="E99" s="30">
        <f t="shared" ref="E99:O99" si="44">E78*E88*2</f>
        <v>0</v>
      </c>
      <c r="F99" s="30">
        <f t="shared" si="44"/>
        <v>0</v>
      </c>
      <c r="G99" s="30">
        <f t="shared" si="44"/>
        <v>0</v>
      </c>
      <c r="H99" s="30">
        <f t="shared" si="44"/>
        <v>0</v>
      </c>
      <c r="I99" s="30">
        <f t="shared" si="44"/>
        <v>0</v>
      </c>
      <c r="J99" s="29">
        <f t="shared" si="44"/>
        <v>0</v>
      </c>
      <c r="K99" s="30">
        <f t="shared" si="44"/>
        <v>0</v>
      </c>
      <c r="L99" s="30">
        <f t="shared" si="44"/>
        <v>0</v>
      </c>
      <c r="M99" s="30">
        <f t="shared" si="44"/>
        <v>0</v>
      </c>
      <c r="N99" s="30">
        <f t="shared" si="44"/>
        <v>0</v>
      </c>
      <c r="O99" s="30">
        <f t="shared" si="44"/>
        <v>0</v>
      </c>
      <c r="P99" s="29">
        <f>P78*P88*2</f>
        <v>0</v>
      </c>
      <c r="Q99" s="30">
        <f t="shared" ref="Q99:AA99" si="45">Q78*Q88*2</f>
        <v>0</v>
      </c>
      <c r="R99" s="30">
        <f t="shared" si="45"/>
        <v>0</v>
      </c>
      <c r="S99" s="30">
        <f t="shared" si="45"/>
        <v>0</v>
      </c>
      <c r="T99" s="30">
        <f t="shared" si="45"/>
        <v>0</v>
      </c>
      <c r="U99" s="30">
        <f t="shared" si="45"/>
        <v>0</v>
      </c>
      <c r="V99" s="30">
        <f t="shared" si="45"/>
        <v>0</v>
      </c>
      <c r="W99" s="30">
        <f t="shared" si="45"/>
        <v>0</v>
      </c>
      <c r="X99" s="30">
        <f t="shared" si="45"/>
        <v>0</v>
      </c>
      <c r="Y99" s="30">
        <f t="shared" si="45"/>
        <v>0</v>
      </c>
      <c r="Z99" s="30">
        <f t="shared" si="45"/>
        <v>0</v>
      </c>
      <c r="AA99" s="30">
        <f t="shared" si="45"/>
        <v>0</v>
      </c>
    </row>
    <row r="100" spans="2:29" x14ac:dyDescent="0.3">
      <c r="B100" s="181"/>
      <c r="C100" s="131" t="s">
        <v>25</v>
      </c>
      <c r="D100" s="31">
        <f>D77*D89*(1-D84)</f>
        <v>2311.2000000000003</v>
      </c>
      <c r="E100" s="32">
        <f t="shared" ref="E100:O100" si="46">E77*E89*(1-E84)</f>
        <v>2311.2000000000003</v>
      </c>
      <c r="F100" s="32">
        <f t="shared" si="46"/>
        <v>2311.2000000000003</v>
      </c>
      <c r="G100" s="32">
        <f t="shared" si="46"/>
        <v>2311.2000000000003</v>
      </c>
      <c r="H100" s="32">
        <f t="shared" si="46"/>
        <v>2311.2000000000003</v>
      </c>
      <c r="I100" s="32">
        <f t="shared" si="46"/>
        <v>2311.2000000000003</v>
      </c>
      <c r="J100" s="31">
        <f t="shared" si="46"/>
        <v>2311.2000000000003</v>
      </c>
      <c r="K100" s="32">
        <f t="shared" si="46"/>
        <v>2311.2000000000003</v>
      </c>
      <c r="L100" s="32">
        <f t="shared" si="46"/>
        <v>2311.2000000000003</v>
      </c>
      <c r="M100" s="32">
        <f t="shared" si="46"/>
        <v>2311.2000000000003</v>
      </c>
      <c r="N100" s="32">
        <f t="shared" si="46"/>
        <v>2311.2000000000003</v>
      </c>
      <c r="O100" s="32">
        <f t="shared" si="46"/>
        <v>2311.2000000000003</v>
      </c>
      <c r="P100" s="31">
        <f>P77*P89*(1-P84)</f>
        <v>2311.2000000000003</v>
      </c>
      <c r="Q100" s="32">
        <f t="shared" ref="Q100:AA100" si="47">Q77*Q89*(1-Q84)</f>
        <v>2311.2000000000003</v>
      </c>
      <c r="R100" s="32">
        <f t="shared" si="47"/>
        <v>2311.2000000000003</v>
      </c>
      <c r="S100" s="32">
        <f t="shared" si="47"/>
        <v>2311.2000000000003</v>
      </c>
      <c r="T100" s="32">
        <f t="shared" si="47"/>
        <v>2311.2000000000003</v>
      </c>
      <c r="U100" s="32">
        <f t="shared" si="47"/>
        <v>2311.2000000000003</v>
      </c>
      <c r="V100" s="32">
        <f t="shared" si="47"/>
        <v>2311.2000000000003</v>
      </c>
      <c r="W100" s="32">
        <f t="shared" si="47"/>
        <v>2311.2000000000003</v>
      </c>
      <c r="X100" s="32">
        <f t="shared" si="47"/>
        <v>2311.2000000000003</v>
      </c>
      <c r="Y100" s="32">
        <f t="shared" si="47"/>
        <v>2311.2000000000003</v>
      </c>
      <c r="Z100" s="32">
        <f t="shared" si="47"/>
        <v>2311.2000000000003</v>
      </c>
      <c r="AA100" s="32">
        <f t="shared" si="47"/>
        <v>2311.2000000000003</v>
      </c>
    </row>
    <row r="101" spans="2:29" x14ac:dyDescent="0.3">
      <c r="B101" s="181"/>
      <c r="C101" s="131" t="s">
        <v>26</v>
      </c>
      <c r="D101" s="29">
        <f>D79*D89*2</f>
        <v>0</v>
      </c>
      <c r="E101" s="30">
        <f t="shared" ref="E101:O101" si="48">E79*E89*2</f>
        <v>0</v>
      </c>
      <c r="F101" s="30">
        <f t="shared" si="48"/>
        <v>0</v>
      </c>
      <c r="G101" s="30">
        <f t="shared" si="48"/>
        <v>0</v>
      </c>
      <c r="H101" s="30">
        <f t="shared" si="48"/>
        <v>0</v>
      </c>
      <c r="I101" s="30">
        <f t="shared" si="48"/>
        <v>0</v>
      </c>
      <c r="J101" s="29">
        <f t="shared" si="48"/>
        <v>0</v>
      </c>
      <c r="K101" s="30">
        <f t="shared" si="48"/>
        <v>0</v>
      </c>
      <c r="L101" s="30">
        <f t="shared" si="48"/>
        <v>0</v>
      </c>
      <c r="M101" s="30">
        <f t="shared" si="48"/>
        <v>0</v>
      </c>
      <c r="N101" s="30">
        <f t="shared" si="48"/>
        <v>0</v>
      </c>
      <c r="O101" s="30">
        <f t="shared" si="48"/>
        <v>0</v>
      </c>
      <c r="P101" s="29">
        <f>P79*P89*2</f>
        <v>0</v>
      </c>
      <c r="Q101" s="30">
        <f t="shared" ref="Q101:AA101" si="49">Q79*Q89*2</f>
        <v>0</v>
      </c>
      <c r="R101" s="30">
        <f t="shared" si="49"/>
        <v>0</v>
      </c>
      <c r="S101" s="30">
        <f t="shared" si="49"/>
        <v>0</v>
      </c>
      <c r="T101" s="30">
        <f t="shared" si="49"/>
        <v>0</v>
      </c>
      <c r="U101" s="30">
        <f t="shared" si="49"/>
        <v>0</v>
      </c>
      <c r="V101" s="30">
        <f t="shared" si="49"/>
        <v>0</v>
      </c>
      <c r="W101" s="30">
        <f t="shared" si="49"/>
        <v>0</v>
      </c>
      <c r="X101" s="30">
        <f t="shared" si="49"/>
        <v>0</v>
      </c>
      <c r="Y101" s="30">
        <f t="shared" si="49"/>
        <v>0</v>
      </c>
      <c r="Z101" s="30">
        <f t="shared" si="49"/>
        <v>0</v>
      </c>
      <c r="AA101" s="30">
        <f t="shared" si="49"/>
        <v>0</v>
      </c>
    </row>
    <row r="102" spans="2:29" x14ac:dyDescent="0.3">
      <c r="B102" s="181"/>
      <c r="C102" s="131" t="s">
        <v>27</v>
      </c>
      <c r="D102" s="31">
        <f>IF(D87="Azul",D80*D91,D80*((D90-D91)*(1-D84)+D91))</f>
        <v>2023.2344999999998</v>
      </c>
      <c r="E102" s="32">
        <f t="shared" ref="E102:O102" si="50">IF(E87="Azul",E80*E91,E80*((E90-E91)*(1-E84)+E91))</f>
        <v>2601.3014999999996</v>
      </c>
      <c r="F102" s="32">
        <f t="shared" si="50"/>
        <v>3034.8517499999998</v>
      </c>
      <c r="G102" s="32">
        <f t="shared" si="50"/>
        <v>2890.335</v>
      </c>
      <c r="H102" s="32">
        <f t="shared" si="50"/>
        <v>2890.335</v>
      </c>
      <c r="I102" s="32">
        <f t="shared" si="50"/>
        <v>1445.1675</v>
      </c>
      <c r="J102" s="31">
        <f t="shared" si="50"/>
        <v>2023.2344999999998</v>
      </c>
      <c r="K102" s="32">
        <f t="shared" si="50"/>
        <v>2167.7512499999998</v>
      </c>
      <c r="L102" s="32">
        <f t="shared" si="50"/>
        <v>3323.8852499999998</v>
      </c>
      <c r="M102" s="32">
        <f t="shared" si="50"/>
        <v>3901.9522499999998</v>
      </c>
      <c r="N102" s="32">
        <f t="shared" si="50"/>
        <v>2745.8182499999998</v>
      </c>
      <c r="O102" s="32">
        <f t="shared" si="50"/>
        <v>3612.9187499999998</v>
      </c>
      <c r="P102" s="31">
        <f>IF(P87="Azul",P80*P91,P80*((P90-P91)*(1-P84)+P91))</f>
        <v>2601.3014999999996</v>
      </c>
      <c r="Q102" s="32">
        <f t="shared" ref="Q102:AA102" si="51">IF(Q87="Azul",Q80*Q91,Q80*((Q90-Q91)*(1-Q84)+Q91))</f>
        <v>1878.7177499999998</v>
      </c>
      <c r="R102" s="32">
        <f t="shared" si="51"/>
        <v>33238.852499999994</v>
      </c>
      <c r="S102" s="32">
        <f t="shared" si="51"/>
        <v>4190.9857499999998</v>
      </c>
      <c r="T102" s="32">
        <f t="shared" si="51"/>
        <v>3034.8517499999998</v>
      </c>
      <c r="U102" s="32">
        <f t="shared" si="51"/>
        <v>3757.4354999999996</v>
      </c>
      <c r="V102" s="32">
        <f t="shared" si="51"/>
        <v>3179.3685</v>
      </c>
      <c r="W102" s="32">
        <f t="shared" si="51"/>
        <v>3468.4019999999996</v>
      </c>
      <c r="X102" s="32">
        <f t="shared" si="51"/>
        <v>3323.8852499999998</v>
      </c>
      <c r="Y102" s="32">
        <f t="shared" si="51"/>
        <v>2326.0314999999996</v>
      </c>
      <c r="Z102" s="32">
        <f t="shared" si="51"/>
        <v>0</v>
      </c>
      <c r="AA102" s="32">
        <f t="shared" si="51"/>
        <v>2890.335</v>
      </c>
    </row>
    <row r="103" spans="2:29" x14ac:dyDescent="0.3">
      <c r="B103" s="181"/>
      <c r="C103" s="132" t="s">
        <v>28</v>
      </c>
      <c r="D103" s="33">
        <f>D81*D91</f>
        <v>1488.5115000000001</v>
      </c>
      <c r="E103" s="34">
        <f t="shared" ref="E103:O103" si="52">E81*E91</f>
        <v>1663.6305</v>
      </c>
      <c r="F103" s="34">
        <f t="shared" si="52"/>
        <v>1768.7019</v>
      </c>
      <c r="G103" s="34">
        <f t="shared" si="52"/>
        <v>2048.8923</v>
      </c>
      <c r="H103" s="34">
        <f t="shared" si="52"/>
        <v>1821.2375999999999</v>
      </c>
      <c r="I103" s="34">
        <f t="shared" si="52"/>
        <v>1400.952</v>
      </c>
      <c r="J103" s="33">
        <f t="shared" si="52"/>
        <v>1418.4639000000002</v>
      </c>
      <c r="K103" s="34">
        <f t="shared" si="52"/>
        <v>1453.4876999999999</v>
      </c>
      <c r="L103" s="34">
        <f t="shared" si="52"/>
        <v>1891.2852</v>
      </c>
      <c r="M103" s="34">
        <f t="shared" si="52"/>
        <v>2188.9875000000002</v>
      </c>
      <c r="N103" s="34">
        <f t="shared" si="52"/>
        <v>2241.5232000000001</v>
      </c>
      <c r="O103" s="34">
        <f t="shared" si="52"/>
        <v>2136.4518000000003</v>
      </c>
      <c r="P103" s="33">
        <f>P81*P91</f>
        <v>1996.3566000000001</v>
      </c>
      <c r="Q103" s="34">
        <f t="shared" ref="Q103:AA103" si="53">Q81*Q91</f>
        <v>1891.2852</v>
      </c>
      <c r="R103" s="34">
        <f t="shared" si="53"/>
        <v>1803.7257</v>
      </c>
      <c r="S103" s="34">
        <f t="shared" si="53"/>
        <v>2408.3031999999998</v>
      </c>
      <c r="T103" s="34">
        <f t="shared" si="53"/>
        <v>2171.4755999999998</v>
      </c>
      <c r="U103" s="34">
        <f t="shared" si="53"/>
        <v>1943.8208999999999</v>
      </c>
      <c r="V103" s="34">
        <f t="shared" si="53"/>
        <v>1628.6067</v>
      </c>
      <c r="W103" s="34">
        <f t="shared" si="53"/>
        <v>1646.1185999999998</v>
      </c>
      <c r="X103" s="34">
        <f t="shared" si="53"/>
        <v>2066.4041999999999</v>
      </c>
      <c r="Y103" s="34">
        <f t="shared" si="53"/>
        <v>1838.7495000000001</v>
      </c>
      <c r="Z103" s="34">
        <f t="shared" si="53"/>
        <v>0</v>
      </c>
      <c r="AA103" s="34">
        <f t="shared" si="53"/>
        <v>1716.1661999999999</v>
      </c>
    </row>
    <row r="104" spans="2:29" x14ac:dyDescent="0.3">
      <c r="B104" s="181"/>
      <c r="C104" s="131" t="s">
        <v>29</v>
      </c>
      <c r="D104" s="27">
        <f>SUM(D98:D103)</f>
        <v>5822.9459999999999</v>
      </c>
      <c r="E104" s="28">
        <f>SUM(E98:E103)</f>
        <v>6576.1320000000005</v>
      </c>
      <c r="F104" s="28">
        <f>SUM(F98:F103)</f>
        <v>7114.7536500000006</v>
      </c>
      <c r="G104" s="28">
        <f t="shared" ref="G104:O104" si="54">SUM(G98:G103)</f>
        <v>7250.4272999999994</v>
      </c>
      <c r="H104" s="28">
        <f t="shared" si="54"/>
        <v>7022.7726000000002</v>
      </c>
      <c r="I104" s="28">
        <f t="shared" si="54"/>
        <v>5157.3195000000005</v>
      </c>
      <c r="J104" s="27">
        <f t="shared" si="54"/>
        <v>5752.8984</v>
      </c>
      <c r="K104" s="28">
        <f t="shared" si="54"/>
        <v>5932.4389499999997</v>
      </c>
      <c r="L104" s="28">
        <f t="shared" si="54"/>
        <v>7526.3704500000003</v>
      </c>
      <c r="M104" s="28">
        <f t="shared" si="54"/>
        <v>8402.1397500000003</v>
      </c>
      <c r="N104" s="28">
        <f t="shared" si="54"/>
        <v>7298.5414500000006</v>
      </c>
      <c r="O104" s="28">
        <f t="shared" si="54"/>
        <v>8060.5705500000004</v>
      </c>
      <c r="P104" s="27">
        <f>SUM(P98:P103)</f>
        <v>6908.8581000000004</v>
      </c>
      <c r="Q104" s="28">
        <f t="shared" ref="Q104:AA104" si="55">SUM(Q98:Q103)</f>
        <v>6081.2029500000008</v>
      </c>
      <c r="R104" s="28">
        <f t="shared" si="55"/>
        <v>37353.778199999993</v>
      </c>
      <c r="S104" s="28">
        <f t="shared" si="55"/>
        <v>8910.4889500000008</v>
      </c>
      <c r="T104" s="28">
        <f t="shared" si="55"/>
        <v>7517.5273500000003</v>
      </c>
      <c r="U104" s="28">
        <f t="shared" si="55"/>
        <v>8012.4564</v>
      </c>
      <c r="V104" s="28">
        <f t="shared" si="55"/>
        <v>7119.1752000000006</v>
      </c>
      <c r="W104" s="28">
        <f t="shared" si="55"/>
        <v>7425.7205999999996</v>
      </c>
      <c r="X104" s="28">
        <f t="shared" si="55"/>
        <v>7701.48945</v>
      </c>
      <c r="Y104" s="28">
        <f t="shared" si="55"/>
        <v>6475.9809999999998</v>
      </c>
      <c r="Z104" s="28">
        <f t="shared" si="55"/>
        <v>2311.2000000000003</v>
      </c>
      <c r="AA104" s="28">
        <f t="shared" si="55"/>
        <v>6917.7011999999995</v>
      </c>
    </row>
    <row r="105" spans="2:29" x14ac:dyDescent="0.3">
      <c r="B105" s="181"/>
      <c r="C105" s="131" t="s">
        <v>30</v>
      </c>
      <c r="D105" s="35">
        <f>D104/(1-SUM(D95:D96))*SUM(D95:D96)+((D109+D107+D108)/(1-SUM(D95:D96)))*SUM(D95:D96)</f>
        <v>4664.5712470588242</v>
      </c>
      <c r="E105" s="36">
        <f t="shared" ref="E105:AA105" si="56">E104/(1-SUM(E95:E96))*SUM(E95:E96)+((E109+E107+E108)/(1-SUM(E95:E96)))*SUM(E95:E96)</f>
        <v>5258.0796705882367</v>
      </c>
      <c r="F105" s="36">
        <f t="shared" si="56"/>
        <v>5690.8496470588243</v>
      </c>
      <c r="G105" s="36">
        <f t="shared" si="56"/>
        <v>5694.9290823529418</v>
      </c>
      <c r="H105" s="36">
        <f t="shared" si="56"/>
        <v>5587.7974588235302</v>
      </c>
      <c r="I105" s="36">
        <f t="shared" si="56"/>
        <v>4112.2672941176479</v>
      </c>
      <c r="J105" s="35">
        <f t="shared" si="56"/>
        <v>4631.607670588236</v>
      </c>
      <c r="K105" s="36">
        <f t="shared" si="56"/>
        <v>4775.8643294117646</v>
      </c>
      <c r="L105" s="36">
        <f t="shared" si="56"/>
        <v>6004.0856470588242</v>
      </c>
      <c r="M105" s="36">
        <f t="shared" si="56"/>
        <v>6655.2803294117657</v>
      </c>
      <c r="N105" s="36">
        <f t="shared" si="56"/>
        <v>5657.8040470588248</v>
      </c>
      <c r="O105" s="36">
        <f t="shared" si="56"/>
        <v>6375.007905882354</v>
      </c>
      <c r="P105" s="35">
        <f t="shared" si="56"/>
        <v>5414.656658823531</v>
      </c>
      <c r="Q105" s="36">
        <f t="shared" si="56"/>
        <v>4726.3369411764725</v>
      </c>
      <c r="R105" s="36">
        <f t="shared" si="56"/>
        <v>32412.279388235293</v>
      </c>
      <c r="S105" s="36">
        <f t="shared" si="56"/>
        <v>7014.0374588235309</v>
      </c>
      <c r="T105" s="36">
        <f t="shared" si="56"/>
        <v>5880.3902117647067</v>
      </c>
      <c r="U105" s="36">
        <f t="shared" si="56"/>
        <v>6412.1329411764718</v>
      </c>
      <c r="V105" s="36">
        <f t="shared" si="56"/>
        <v>5752.697364705883</v>
      </c>
      <c r="W105" s="36">
        <f t="shared" si="56"/>
        <v>6016.4880000000003</v>
      </c>
      <c r="X105" s="36">
        <f t="shared" si="56"/>
        <v>6086.4945882352949</v>
      </c>
      <c r="Y105" s="36">
        <f t="shared" si="56"/>
        <v>5097.1079058823525</v>
      </c>
      <c r="Z105" s="36">
        <f t="shared" si="56"/>
        <v>2175.2470588235296</v>
      </c>
      <c r="AA105" s="36">
        <f t="shared" si="56"/>
        <v>5538.3520941176475</v>
      </c>
    </row>
    <row r="106" spans="2:29" x14ac:dyDescent="0.3">
      <c r="B106" s="181"/>
      <c r="C106" s="107"/>
      <c r="D106" s="107"/>
      <c r="E106" s="107"/>
      <c r="F106" s="107"/>
      <c r="G106" s="107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  <c r="S106" s="107"/>
      <c r="T106" s="107"/>
      <c r="U106" s="107"/>
      <c r="V106" s="107"/>
      <c r="W106" s="107"/>
      <c r="X106" s="107"/>
      <c r="Y106" s="107"/>
      <c r="Z106" s="107"/>
      <c r="AA106" s="37"/>
    </row>
    <row r="107" spans="2:29" x14ac:dyDescent="0.3">
      <c r="B107" s="181"/>
      <c r="C107" s="131" t="s">
        <v>31</v>
      </c>
      <c r="D107" s="9">
        <f>IF(D87="Azul",D76*D88*(D84),0)</f>
        <v>0</v>
      </c>
      <c r="E107" s="10">
        <f t="shared" ref="E107:O107" si="57">IF(E87="Azul",E76*E88*(E84),0)</f>
        <v>0</v>
      </c>
      <c r="F107" s="10">
        <f t="shared" si="57"/>
        <v>0</v>
      </c>
      <c r="G107" s="10">
        <f t="shared" si="57"/>
        <v>0</v>
      </c>
      <c r="H107" s="10">
        <f t="shared" si="57"/>
        <v>0</v>
      </c>
      <c r="I107" s="10">
        <f t="shared" si="57"/>
        <v>0</v>
      </c>
      <c r="J107" s="9">
        <f t="shared" si="57"/>
        <v>0</v>
      </c>
      <c r="K107" s="10">
        <f t="shared" si="57"/>
        <v>0</v>
      </c>
      <c r="L107" s="10">
        <f t="shared" si="57"/>
        <v>0</v>
      </c>
      <c r="M107" s="10">
        <f t="shared" si="57"/>
        <v>0</v>
      </c>
      <c r="N107" s="10">
        <f t="shared" si="57"/>
        <v>0</v>
      </c>
      <c r="O107" s="10">
        <f t="shared" si="57"/>
        <v>0</v>
      </c>
      <c r="P107" s="10">
        <f>IF(P87="Azul",P76*P88*(P84),0)</f>
        <v>0</v>
      </c>
      <c r="Q107" s="10">
        <f t="shared" ref="Q107:AA107" si="58">IF(Q87="Azul",Q76*Q88*(Q84),0)</f>
        <v>0</v>
      </c>
      <c r="R107" s="10">
        <f t="shared" si="58"/>
        <v>0</v>
      </c>
      <c r="S107" s="10">
        <f t="shared" si="58"/>
        <v>0</v>
      </c>
      <c r="T107" s="10">
        <f t="shared" si="58"/>
        <v>0</v>
      </c>
      <c r="U107" s="10">
        <f t="shared" si="58"/>
        <v>0</v>
      </c>
      <c r="V107" s="10">
        <f t="shared" si="58"/>
        <v>0</v>
      </c>
      <c r="W107" s="10">
        <f t="shared" si="58"/>
        <v>0</v>
      </c>
      <c r="X107" s="10">
        <f t="shared" si="58"/>
        <v>0</v>
      </c>
      <c r="Y107" s="10">
        <f t="shared" si="58"/>
        <v>0</v>
      </c>
      <c r="Z107" s="10">
        <f t="shared" si="58"/>
        <v>0</v>
      </c>
      <c r="AA107" s="10">
        <f t="shared" si="58"/>
        <v>0</v>
      </c>
    </row>
    <row r="108" spans="2:29" x14ac:dyDescent="0.3">
      <c r="B108" s="181"/>
      <c r="C108" s="131" t="s">
        <v>32</v>
      </c>
      <c r="D108" s="11">
        <f>D77*D89*(D84)</f>
        <v>2311.2000000000003</v>
      </c>
      <c r="E108" s="12">
        <f t="shared" ref="E108:O108" si="59">E77*E89*(E84)</f>
        <v>2311.2000000000003</v>
      </c>
      <c r="F108" s="12">
        <f t="shared" si="59"/>
        <v>2311.2000000000003</v>
      </c>
      <c r="G108" s="12">
        <f t="shared" si="59"/>
        <v>2311.2000000000003</v>
      </c>
      <c r="H108" s="12">
        <f t="shared" si="59"/>
        <v>2311.2000000000003</v>
      </c>
      <c r="I108" s="12">
        <f t="shared" si="59"/>
        <v>2311.2000000000003</v>
      </c>
      <c r="J108" s="11">
        <f t="shared" si="59"/>
        <v>2311.2000000000003</v>
      </c>
      <c r="K108" s="12">
        <f t="shared" si="59"/>
        <v>2311.2000000000003</v>
      </c>
      <c r="L108" s="12">
        <f t="shared" si="59"/>
        <v>2311.2000000000003</v>
      </c>
      <c r="M108" s="12">
        <f t="shared" si="59"/>
        <v>2311.2000000000003</v>
      </c>
      <c r="N108" s="12">
        <f t="shared" si="59"/>
        <v>2311.2000000000003</v>
      </c>
      <c r="O108" s="12">
        <f t="shared" si="59"/>
        <v>2311.2000000000003</v>
      </c>
      <c r="P108" s="12">
        <f>P77*P89*(P84)</f>
        <v>2311.2000000000003</v>
      </c>
      <c r="Q108" s="12">
        <f t="shared" ref="Q108:AA108" si="60">Q77*Q89*(Q84)</f>
        <v>2311.2000000000003</v>
      </c>
      <c r="R108" s="12">
        <f t="shared" si="60"/>
        <v>2311.2000000000003</v>
      </c>
      <c r="S108" s="12">
        <f t="shared" si="60"/>
        <v>2311.2000000000003</v>
      </c>
      <c r="T108" s="12">
        <f t="shared" si="60"/>
        <v>2311.2000000000003</v>
      </c>
      <c r="U108" s="12">
        <f t="shared" si="60"/>
        <v>2311.2000000000003</v>
      </c>
      <c r="V108" s="12">
        <f t="shared" si="60"/>
        <v>2311.2000000000003</v>
      </c>
      <c r="W108" s="12">
        <f t="shared" si="60"/>
        <v>2311.2000000000003</v>
      </c>
      <c r="X108" s="12">
        <f t="shared" si="60"/>
        <v>2311.2000000000003</v>
      </c>
      <c r="Y108" s="12">
        <f t="shared" si="60"/>
        <v>2311.2000000000003</v>
      </c>
      <c r="Z108" s="12">
        <f t="shared" si="60"/>
        <v>2311.2000000000003</v>
      </c>
      <c r="AA108" s="12">
        <f t="shared" si="60"/>
        <v>2311.2000000000003</v>
      </c>
    </row>
    <row r="109" spans="2:29" x14ac:dyDescent="0.3">
      <c r="B109" s="181"/>
      <c r="C109" s="129" t="s">
        <v>33</v>
      </c>
      <c r="D109" s="19">
        <f>IF(D87="Verde",D80*(D90-D91)*(D84),0)</f>
        <v>1778.0678999999998</v>
      </c>
      <c r="E109" s="20">
        <f t="shared" ref="E109:AA109" si="61">IF(E87="Verde",E80*(E90-E91)*(E84),0)</f>
        <v>2286.0872999999997</v>
      </c>
      <c r="F109" s="20">
        <f t="shared" si="61"/>
        <v>2667.10185</v>
      </c>
      <c r="G109" s="20">
        <f t="shared" si="61"/>
        <v>2540.0969999999998</v>
      </c>
      <c r="H109" s="20">
        <f t="shared" si="61"/>
        <v>2540.0969999999998</v>
      </c>
      <c r="I109" s="20">
        <f t="shared" si="61"/>
        <v>1270.0484999999999</v>
      </c>
      <c r="J109" s="19">
        <f t="shared" si="61"/>
        <v>1778.0678999999998</v>
      </c>
      <c r="K109" s="20">
        <f t="shared" si="61"/>
        <v>1905.0727499999998</v>
      </c>
      <c r="L109" s="20">
        <f t="shared" si="61"/>
        <v>2921.1115500000001</v>
      </c>
      <c r="M109" s="20">
        <f t="shared" si="61"/>
        <v>3429.1309499999998</v>
      </c>
      <c r="N109" s="20">
        <f t="shared" si="61"/>
        <v>2413.0921499999999</v>
      </c>
      <c r="O109" s="20">
        <f t="shared" si="61"/>
        <v>3175.1212499999997</v>
      </c>
      <c r="P109" s="20">
        <f t="shared" si="61"/>
        <v>2286.0872999999997</v>
      </c>
      <c r="Q109" s="20">
        <f t="shared" si="61"/>
        <v>1651.06305</v>
      </c>
      <c r="R109" s="20">
        <f t="shared" si="61"/>
        <v>29211.115499999996</v>
      </c>
      <c r="S109" s="20">
        <f t="shared" si="61"/>
        <v>3683.1406499999998</v>
      </c>
      <c r="T109" s="20">
        <f t="shared" si="61"/>
        <v>2667.10185</v>
      </c>
      <c r="U109" s="20">
        <f t="shared" si="61"/>
        <v>3302.1261</v>
      </c>
      <c r="V109" s="20">
        <f t="shared" si="61"/>
        <v>2794.1066999999998</v>
      </c>
      <c r="W109" s="20">
        <f t="shared" si="61"/>
        <v>3048.1163999999999</v>
      </c>
      <c r="X109" s="20">
        <f t="shared" si="61"/>
        <v>2921.1115500000001</v>
      </c>
      <c r="Y109" s="20">
        <f t="shared" si="61"/>
        <v>2044.1732999999999</v>
      </c>
      <c r="Z109" s="20">
        <f t="shared" si="61"/>
        <v>0</v>
      </c>
      <c r="AA109" s="20">
        <f t="shared" si="61"/>
        <v>2540.0969999999998</v>
      </c>
      <c r="AC109" s="92"/>
    </row>
    <row r="110" spans="2:29" x14ac:dyDescent="0.3">
      <c r="B110" s="181"/>
      <c r="C110" s="109"/>
      <c r="D110" s="109"/>
      <c r="E110" s="109"/>
      <c r="F110" s="109"/>
      <c r="G110" s="109"/>
      <c r="H110" s="109"/>
      <c r="I110" s="109"/>
      <c r="J110" s="109"/>
      <c r="K110" s="109"/>
      <c r="L110" s="109"/>
      <c r="M110" s="109"/>
      <c r="N110" s="109"/>
      <c r="O110" s="109"/>
      <c r="P110" s="109"/>
      <c r="Q110" s="109"/>
      <c r="R110" s="109"/>
      <c r="S110" s="109"/>
      <c r="T110" s="109"/>
      <c r="U110" s="109"/>
      <c r="V110" s="109"/>
      <c r="W110" s="109"/>
      <c r="X110" s="109"/>
      <c r="Y110" s="109"/>
      <c r="Z110" s="109"/>
      <c r="AA110" s="38"/>
    </row>
    <row r="111" spans="2:29" x14ac:dyDescent="0.3">
      <c r="B111" s="181"/>
      <c r="C111" s="129" t="s">
        <v>34</v>
      </c>
      <c r="D111" s="98">
        <f>SUM(D80:D81)/D72</f>
        <v>2.7943548387096777E-2</v>
      </c>
      <c r="E111" s="98">
        <f t="shared" ref="E111:O111" si="62">SUM(E80:E81)/E72</f>
        <v>3.4094827586206897E-2</v>
      </c>
      <c r="F111" s="98">
        <f t="shared" si="62"/>
        <v>3.4435483870967745E-2</v>
      </c>
      <c r="G111" s="98">
        <f t="shared" si="62"/>
        <v>3.9958333333333332E-2</v>
      </c>
      <c r="H111" s="98">
        <f t="shared" si="62"/>
        <v>3.4999999999999996E-2</v>
      </c>
      <c r="I111" s="98">
        <f t="shared" si="62"/>
        <v>2.6250000000000002E-2</v>
      </c>
      <c r="J111" s="98">
        <f t="shared" si="62"/>
        <v>2.6814516129032261E-2</v>
      </c>
      <c r="K111" s="98">
        <f t="shared" si="62"/>
        <v>2.7661290322580644E-2</v>
      </c>
      <c r="L111" s="98">
        <f t="shared" si="62"/>
        <v>3.820833333333333E-2</v>
      </c>
      <c r="M111" s="98">
        <f t="shared" si="62"/>
        <v>4.2903225806451617E-2</v>
      </c>
      <c r="N111" s="98">
        <f t="shared" si="62"/>
        <v>4.2874999999999996E-2</v>
      </c>
      <c r="O111" s="98">
        <f t="shared" si="62"/>
        <v>4.1491935483870972E-2</v>
      </c>
      <c r="P111" s="98">
        <f>SUM(P80:P81)/P72</f>
        <v>3.7258064516129036E-2</v>
      </c>
      <c r="Q111" s="98">
        <f t="shared" ref="Q111:AA111" si="63">SUM(Q80:Q81)/Q72</f>
        <v>3.7812499999999999E-2</v>
      </c>
      <c r="R111" s="98">
        <f t="shared" si="63"/>
        <v>9.3991935483870956E-2</v>
      </c>
      <c r="S111" s="98">
        <f t="shared" si="63"/>
        <v>4.8569444444444443E-2</v>
      </c>
      <c r="T111" s="98">
        <f t="shared" si="63"/>
        <v>4.0927419354838707E-2</v>
      </c>
      <c r="U111" s="98">
        <f t="shared" si="63"/>
        <v>3.9958333333333332E-2</v>
      </c>
      <c r="V111" s="98">
        <f t="shared" si="63"/>
        <v>3.2459677419354842E-2</v>
      </c>
      <c r="W111" s="98">
        <f t="shared" si="63"/>
        <v>3.3306451612903222E-2</v>
      </c>
      <c r="X111" s="98">
        <f t="shared" si="63"/>
        <v>4.1125000000000002E-2</v>
      </c>
      <c r="Y111" s="98">
        <f t="shared" si="63"/>
        <v>3.418010752688172E-2</v>
      </c>
      <c r="Z111" s="98">
        <f t="shared" si="63"/>
        <v>0</v>
      </c>
      <c r="AA111" s="98">
        <f t="shared" si="63"/>
        <v>3.3306451612903222E-2</v>
      </c>
    </row>
    <row r="112" spans="2:29" x14ac:dyDescent="0.3">
      <c r="B112" s="181"/>
      <c r="C112" s="133" t="s">
        <v>35</v>
      </c>
      <c r="D112" s="97">
        <f t="shared" ref="D112:T112" si="64">D111*D72</f>
        <v>20.790000000000003</v>
      </c>
      <c r="E112" s="97">
        <f t="shared" si="64"/>
        <v>23.73</v>
      </c>
      <c r="F112" s="97">
        <f t="shared" si="64"/>
        <v>25.62</v>
      </c>
      <c r="G112" s="97">
        <f t="shared" si="64"/>
        <v>28.77</v>
      </c>
      <c r="H112" s="97">
        <f t="shared" si="64"/>
        <v>26.039999999999996</v>
      </c>
      <c r="I112" s="97">
        <f t="shared" si="64"/>
        <v>18.900000000000002</v>
      </c>
      <c r="J112" s="97">
        <f t="shared" si="64"/>
        <v>19.950000000000003</v>
      </c>
      <c r="K112" s="97">
        <f t="shared" si="64"/>
        <v>20.58</v>
      </c>
      <c r="L112" s="97">
        <f t="shared" si="64"/>
        <v>27.509999999999998</v>
      </c>
      <c r="M112" s="97">
        <f t="shared" si="64"/>
        <v>31.92</v>
      </c>
      <c r="N112" s="97">
        <f t="shared" si="64"/>
        <v>30.869999999999997</v>
      </c>
      <c r="O112" s="97">
        <f t="shared" si="64"/>
        <v>30.870000000000005</v>
      </c>
      <c r="P112" s="97">
        <f t="shared" si="64"/>
        <v>27.720000000000002</v>
      </c>
      <c r="Q112" s="97">
        <f t="shared" si="64"/>
        <v>25.41</v>
      </c>
      <c r="R112" s="97">
        <f t="shared" si="64"/>
        <v>69.929999999999993</v>
      </c>
      <c r="S112" s="97">
        <f t="shared" si="64"/>
        <v>34.97</v>
      </c>
      <c r="T112" s="97">
        <f t="shared" si="64"/>
        <v>30.45</v>
      </c>
      <c r="U112" s="97">
        <f>U111*U72</f>
        <v>28.77</v>
      </c>
      <c r="V112" s="97">
        <f t="shared" ref="V112:AA112" si="65">V111*V72</f>
        <v>24.150000000000002</v>
      </c>
      <c r="W112" s="97">
        <f t="shared" si="65"/>
        <v>24.779999999999998</v>
      </c>
      <c r="X112" s="97">
        <f t="shared" si="65"/>
        <v>29.610000000000003</v>
      </c>
      <c r="Y112" s="97">
        <f t="shared" si="65"/>
        <v>25.43</v>
      </c>
      <c r="Z112" s="97">
        <f t="shared" si="65"/>
        <v>0</v>
      </c>
      <c r="AA112" s="97">
        <f t="shared" si="65"/>
        <v>24.779999999999998</v>
      </c>
    </row>
    <row r="113" spans="2:29" x14ac:dyDescent="0.3">
      <c r="B113" s="181"/>
      <c r="C113" s="129" t="s">
        <v>36</v>
      </c>
      <c r="D113" s="39">
        <f t="shared" ref="D113:AA113" si="66">D112*1.1</f>
        <v>22.869000000000003</v>
      </c>
      <c r="E113" s="39">
        <f t="shared" si="66"/>
        <v>26.103000000000002</v>
      </c>
      <c r="F113" s="39">
        <f t="shared" si="66"/>
        <v>28.182000000000002</v>
      </c>
      <c r="G113" s="39">
        <f t="shared" si="66"/>
        <v>31.647000000000002</v>
      </c>
      <c r="H113" s="39">
        <f t="shared" si="66"/>
        <v>28.643999999999998</v>
      </c>
      <c r="I113" s="39">
        <f t="shared" si="66"/>
        <v>20.790000000000003</v>
      </c>
      <c r="J113" s="39">
        <f t="shared" si="66"/>
        <v>21.945000000000004</v>
      </c>
      <c r="K113" s="39">
        <f t="shared" si="66"/>
        <v>22.638000000000002</v>
      </c>
      <c r="L113" s="39">
        <f t="shared" si="66"/>
        <v>30.260999999999999</v>
      </c>
      <c r="M113" s="39">
        <f t="shared" si="66"/>
        <v>35.112000000000002</v>
      </c>
      <c r="N113" s="39">
        <f t="shared" si="66"/>
        <v>33.957000000000001</v>
      </c>
      <c r="O113" s="39">
        <f t="shared" si="66"/>
        <v>33.957000000000008</v>
      </c>
      <c r="P113" s="39">
        <f t="shared" si="66"/>
        <v>30.492000000000004</v>
      </c>
      <c r="Q113" s="39">
        <f t="shared" si="66"/>
        <v>27.951000000000004</v>
      </c>
      <c r="R113" s="39">
        <f t="shared" si="66"/>
        <v>76.923000000000002</v>
      </c>
      <c r="S113" s="39">
        <f t="shared" si="66"/>
        <v>38.466999999999999</v>
      </c>
      <c r="T113" s="39">
        <f t="shared" si="66"/>
        <v>33.495000000000005</v>
      </c>
      <c r="U113" s="39">
        <f t="shared" si="66"/>
        <v>31.647000000000002</v>
      </c>
      <c r="V113" s="39">
        <f t="shared" si="66"/>
        <v>26.565000000000005</v>
      </c>
      <c r="W113" s="39">
        <f t="shared" si="66"/>
        <v>27.257999999999999</v>
      </c>
      <c r="X113" s="39">
        <f t="shared" si="66"/>
        <v>32.571000000000005</v>
      </c>
      <c r="Y113" s="39">
        <f t="shared" si="66"/>
        <v>27.973000000000003</v>
      </c>
      <c r="Z113" s="39">
        <f t="shared" si="66"/>
        <v>0</v>
      </c>
      <c r="AA113" s="39">
        <f t="shared" si="66"/>
        <v>27.257999999999999</v>
      </c>
    </row>
    <row r="114" spans="2:29" x14ac:dyDescent="0.3">
      <c r="B114" s="181"/>
      <c r="C114" s="129" t="s">
        <v>37</v>
      </c>
      <c r="D114" s="40">
        <f t="shared" ref="D114:AA114" si="67">D112*0.9</f>
        <v>18.711000000000002</v>
      </c>
      <c r="E114" s="40">
        <f t="shared" si="67"/>
        <v>21.356999999999999</v>
      </c>
      <c r="F114" s="40">
        <f t="shared" si="67"/>
        <v>23.058</v>
      </c>
      <c r="G114" s="40">
        <f t="shared" si="67"/>
        <v>25.893000000000001</v>
      </c>
      <c r="H114" s="40">
        <f t="shared" si="67"/>
        <v>23.435999999999996</v>
      </c>
      <c r="I114" s="40">
        <f t="shared" si="67"/>
        <v>17.010000000000002</v>
      </c>
      <c r="J114" s="40">
        <f t="shared" si="67"/>
        <v>17.955000000000002</v>
      </c>
      <c r="K114" s="40">
        <f t="shared" si="67"/>
        <v>18.521999999999998</v>
      </c>
      <c r="L114" s="40">
        <f t="shared" si="67"/>
        <v>24.759</v>
      </c>
      <c r="M114" s="40">
        <f t="shared" si="67"/>
        <v>28.728000000000002</v>
      </c>
      <c r="N114" s="40">
        <f t="shared" si="67"/>
        <v>27.782999999999998</v>
      </c>
      <c r="O114" s="40">
        <f t="shared" si="67"/>
        <v>27.783000000000005</v>
      </c>
      <c r="P114" s="40">
        <f t="shared" si="67"/>
        <v>24.948000000000004</v>
      </c>
      <c r="Q114" s="40">
        <f t="shared" si="67"/>
        <v>22.869</v>
      </c>
      <c r="R114" s="40">
        <f t="shared" si="67"/>
        <v>62.936999999999998</v>
      </c>
      <c r="S114" s="40">
        <f t="shared" si="67"/>
        <v>31.472999999999999</v>
      </c>
      <c r="T114" s="40">
        <f t="shared" si="67"/>
        <v>27.405000000000001</v>
      </c>
      <c r="U114" s="40">
        <f t="shared" si="67"/>
        <v>25.893000000000001</v>
      </c>
      <c r="V114" s="40">
        <f t="shared" si="67"/>
        <v>21.735000000000003</v>
      </c>
      <c r="W114" s="40">
        <f t="shared" si="67"/>
        <v>22.302</v>
      </c>
      <c r="X114" s="40">
        <f t="shared" si="67"/>
        <v>26.649000000000004</v>
      </c>
      <c r="Y114" s="40">
        <f t="shared" si="67"/>
        <v>22.887</v>
      </c>
      <c r="Z114" s="40">
        <f t="shared" si="67"/>
        <v>0</v>
      </c>
      <c r="AA114" s="40">
        <f t="shared" si="67"/>
        <v>22.302</v>
      </c>
    </row>
    <row r="115" spans="2:29" x14ac:dyDescent="0.3">
      <c r="B115" s="18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  <c r="AA115" s="41"/>
    </row>
    <row r="116" spans="2:29" x14ac:dyDescent="0.3">
      <c r="B116" s="181"/>
      <c r="C116" s="129" t="s">
        <v>38</v>
      </c>
      <c r="D116" s="43">
        <f t="shared" ref="D116:O116" si="68">D112</f>
        <v>20.790000000000003</v>
      </c>
      <c r="E116" s="43">
        <f t="shared" si="68"/>
        <v>23.73</v>
      </c>
      <c r="F116" s="43">
        <f t="shared" si="68"/>
        <v>25.62</v>
      </c>
      <c r="G116" s="43">
        <f t="shared" si="68"/>
        <v>28.77</v>
      </c>
      <c r="H116" s="43">
        <f t="shared" si="68"/>
        <v>26.039999999999996</v>
      </c>
      <c r="I116" s="43">
        <f t="shared" si="68"/>
        <v>18.900000000000002</v>
      </c>
      <c r="J116" s="43">
        <f t="shared" si="68"/>
        <v>19.950000000000003</v>
      </c>
      <c r="K116" s="43">
        <f t="shared" si="68"/>
        <v>20.58</v>
      </c>
      <c r="L116" s="43">
        <f t="shared" si="68"/>
        <v>27.509999999999998</v>
      </c>
      <c r="M116" s="43">
        <f t="shared" si="68"/>
        <v>31.92</v>
      </c>
      <c r="N116" s="43">
        <f t="shared" si="68"/>
        <v>30.869999999999997</v>
      </c>
      <c r="O116" s="43">
        <f t="shared" si="68"/>
        <v>30.870000000000005</v>
      </c>
      <c r="P116" s="43">
        <f>P112</f>
        <v>27.720000000000002</v>
      </c>
      <c r="Q116" s="43">
        <f t="shared" ref="Q116:AA116" si="69">Q112</f>
        <v>25.41</v>
      </c>
      <c r="R116" s="43">
        <f t="shared" si="69"/>
        <v>69.929999999999993</v>
      </c>
      <c r="S116" s="43">
        <f t="shared" si="69"/>
        <v>34.97</v>
      </c>
      <c r="T116" s="43">
        <f t="shared" si="69"/>
        <v>30.45</v>
      </c>
      <c r="U116" s="43">
        <f t="shared" si="69"/>
        <v>28.77</v>
      </c>
      <c r="V116" s="43">
        <f t="shared" si="69"/>
        <v>24.150000000000002</v>
      </c>
      <c r="W116" s="43">
        <f t="shared" si="69"/>
        <v>24.779999999999998</v>
      </c>
      <c r="X116" s="43">
        <f t="shared" si="69"/>
        <v>29.610000000000003</v>
      </c>
      <c r="Y116" s="43">
        <f t="shared" si="69"/>
        <v>25.43</v>
      </c>
      <c r="Z116" s="43">
        <f t="shared" si="69"/>
        <v>0</v>
      </c>
      <c r="AA116" s="43">
        <f t="shared" si="69"/>
        <v>24.779999999999998</v>
      </c>
    </row>
    <row r="117" spans="2:29" x14ac:dyDescent="0.3">
      <c r="B117" s="181"/>
      <c r="C117" s="129" t="s">
        <v>39</v>
      </c>
      <c r="D117" s="127">
        <f>'SIMULAÇÃO CENÁRIOS'!$E$7</f>
        <v>220</v>
      </c>
      <c r="E117" s="127">
        <f>'SIMULAÇÃO CENÁRIOS'!$E$7</f>
        <v>220</v>
      </c>
      <c r="F117" s="127">
        <f>'SIMULAÇÃO CENÁRIOS'!$E$7</f>
        <v>220</v>
      </c>
      <c r="G117" s="127">
        <f>'SIMULAÇÃO CENÁRIOS'!$E$7</f>
        <v>220</v>
      </c>
      <c r="H117" s="127">
        <f>'SIMULAÇÃO CENÁRIOS'!$E$7</f>
        <v>220</v>
      </c>
      <c r="I117" s="127">
        <f>'SIMULAÇÃO CENÁRIOS'!$E$7</f>
        <v>220</v>
      </c>
      <c r="J117" s="127">
        <f>'SIMULAÇÃO CENÁRIOS'!$E$7</f>
        <v>220</v>
      </c>
      <c r="K117" s="127">
        <f>'SIMULAÇÃO CENÁRIOS'!$E$7</f>
        <v>220</v>
      </c>
      <c r="L117" s="127">
        <f>'SIMULAÇÃO CENÁRIOS'!$E$7</f>
        <v>220</v>
      </c>
      <c r="M117" s="127">
        <f>'SIMULAÇÃO CENÁRIOS'!$E$7</f>
        <v>220</v>
      </c>
      <c r="N117" s="127">
        <f>'SIMULAÇÃO CENÁRIOS'!$E$7</f>
        <v>220</v>
      </c>
      <c r="O117" s="127">
        <f>'SIMULAÇÃO CENÁRIOS'!$E$7</f>
        <v>220</v>
      </c>
      <c r="P117" s="127">
        <f>'SIMULAÇÃO CENÁRIOS'!$E$7</f>
        <v>220</v>
      </c>
      <c r="Q117" s="127">
        <f>'SIMULAÇÃO CENÁRIOS'!$E$7</f>
        <v>220</v>
      </c>
      <c r="R117" s="127">
        <f>'SIMULAÇÃO CENÁRIOS'!$E$7</f>
        <v>220</v>
      </c>
      <c r="S117" s="127">
        <f>'SIMULAÇÃO CENÁRIOS'!$E$7</f>
        <v>220</v>
      </c>
      <c r="T117" s="127">
        <f>'SIMULAÇÃO CENÁRIOS'!$E$7</f>
        <v>220</v>
      </c>
      <c r="U117" s="127">
        <f>'SIMULAÇÃO CENÁRIOS'!$E$7</f>
        <v>220</v>
      </c>
      <c r="V117" s="127">
        <f>'SIMULAÇÃO CENÁRIOS'!$E$7</f>
        <v>220</v>
      </c>
      <c r="W117" s="127">
        <f>'SIMULAÇÃO CENÁRIOS'!$E$7</f>
        <v>220</v>
      </c>
      <c r="X117" s="127">
        <f>'SIMULAÇÃO CENÁRIOS'!$E$7</f>
        <v>220</v>
      </c>
      <c r="Y117" s="127">
        <f>'SIMULAÇÃO CENÁRIOS'!$E$7</f>
        <v>220</v>
      </c>
      <c r="Z117" s="127">
        <f>'SIMULAÇÃO CENÁRIOS'!$E$7</f>
        <v>220</v>
      </c>
      <c r="AA117" s="127">
        <f>'SIMULAÇÃO CENÁRIOS'!$E$7</f>
        <v>220</v>
      </c>
    </row>
    <row r="118" spans="2:29" x14ac:dyDescent="0.3">
      <c r="B118" s="181"/>
      <c r="C118" s="129" t="s">
        <v>40</v>
      </c>
      <c r="D118" s="44">
        <f t="shared" ref="D118:O118" si="70">D116*D117/(1-$P$27)</f>
        <v>6265.4794520547948</v>
      </c>
      <c r="E118" s="44">
        <f t="shared" si="70"/>
        <v>7151.5068493150693</v>
      </c>
      <c r="F118" s="44">
        <f t="shared" si="70"/>
        <v>7721.0958904109602</v>
      </c>
      <c r="G118" s="44">
        <f t="shared" si="70"/>
        <v>8670.4109589041091</v>
      </c>
      <c r="H118" s="44">
        <f t="shared" si="70"/>
        <v>7847.6712328767117</v>
      </c>
      <c r="I118" s="44">
        <f t="shared" si="70"/>
        <v>5695.8904109589057</v>
      </c>
      <c r="J118" s="44">
        <f t="shared" si="70"/>
        <v>6012.3287671232893</v>
      </c>
      <c r="K118" s="44">
        <f t="shared" si="70"/>
        <v>6202.1917808219168</v>
      </c>
      <c r="L118" s="44">
        <f t="shared" si="70"/>
        <v>8290.6849315068484</v>
      </c>
      <c r="M118" s="44">
        <f t="shared" si="70"/>
        <v>9619.7260273972606</v>
      </c>
      <c r="N118" s="44">
        <f t="shared" si="70"/>
        <v>9303.2876712328762</v>
      </c>
      <c r="O118" s="44">
        <f t="shared" si="70"/>
        <v>9303.2876712328798</v>
      </c>
      <c r="P118" s="44">
        <f>P116*P117/(1-$P$27)</f>
        <v>8353.9726027397264</v>
      </c>
      <c r="Q118" s="44">
        <f t="shared" ref="Q118:AA118" si="71">Q116*Q117/(1-$P$27)</f>
        <v>7657.8082191780823</v>
      </c>
      <c r="R118" s="44">
        <f t="shared" si="71"/>
        <v>21074.794520547945</v>
      </c>
      <c r="S118" s="44">
        <f t="shared" si="71"/>
        <v>10538.904109589041</v>
      </c>
      <c r="T118" s="44">
        <f t="shared" si="71"/>
        <v>9176.7123287671238</v>
      </c>
      <c r="U118" s="44">
        <f t="shared" si="71"/>
        <v>8670.4109589041091</v>
      </c>
      <c r="V118" s="44">
        <f t="shared" si="71"/>
        <v>7278.0821917808235</v>
      </c>
      <c r="W118" s="44">
        <f t="shared" si="71"/>
        <v>7467.9452054794519</v>
      </c>
      <c r="X118" s="44">
        <f t="shared" si="71"/>
        <v>8923.5616438356174</v>
      </c>
      <c r="Y118" s="44">
        <f t="shared" si="71"/>
        <v>7663.8356164383567</v>
      </c>
      <c r="Z118" s="44">
        <f t="shared" si="71"/>
        <v>0</v>
      </c>
      <c r="AA118" s="44">
        <f t="shared" si="71"/>
        <v>7467.9452054794519</v>
      </c>
    </row>
    <row r="119" spans="2:29" ht="17.25" thickBot="1" x14ac:dyDescent="0.35">
      <c r="B119" s="18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  <c r="AA119" s="45"/>
    </row>
    <row r="120" spans="2:29" ht="17.25" thickBot="1" x14ac:dyDescent="0.35">
      <c r="B120" s="181"/>
      <c r="C120" s="134" t="s">
        <v>98</v>
      </c>
      <c r="D120" s="46">
        <f t="shared" ref="D120:O120" si="72">+D118+D105+D104</f>
        <v>16752.996699113617</v>
      </c>
      <c r="E120" s="46">
        <f t="shared" si="72"/>
        <v>18985.718519903308</v>
      </c>
      <c r="F120" s="46">
        <f t="shared" si="72"/>
        <v>20526.699187469785</v>
      </c>
      <c r="G120" s="46">
        <f t="shared" si="72"/>
        <v>21615.767341257051</v>
      </c>
      <c r="H120" s="46">
        <f t="shared" si="72"/>
        <v>20458.241291700244</v>
      </c>
      <c r="I120" s="46">
        <f t="shared" si="72"/>
        <v>14965.477205076553</v>
      </c>
      <c r="J120" s="46">
        <f t="shared" si="72"/>
        <v>16396.834837711525</v>
      </c>
      <c r="K120" s="46">
        <f t="shared" si="72"/>
        <v>16910.495060233683</v>
      </c>
      <c r="L120" s="46">
        <f t="shared" si="72"/>
        <v>21821.141028565675</v>
      </c>
      <c r="M120" s="46">
        <f t="shared" si="72"/>
        <v>24677.146106809028</v>
      </c>
      <c r="N120" s="46">
        <f t="shared" si="72"/>
        <v>22259.633168291701</v>
      </c>
      <c r="O120" s="46">
        <f t="shared" si="72"/>
        <v>23738.866127115234</v>
      </c>
      <c r="P120" s="46">
        <f>+P118+P105+P104</f>
        <v>20677.487361563257</v>
      </c>
      <c r="Q120" s="46">
        <f t="shared" ref="Q120:AA120" si="73">+Q118+Q105+Q104</f>
        <v>18465.348110354556</v>
      </c>
      <c r="R120" s="46">
        <f t="shared" si="73"/>
        <v>90840.852108783234</v>
      </c>
      <c r="S120" s="46">
        <f t="shared" si="73"/>
        <v>26463.43051841257</v>
      </c>
      <c r="T120" s="46">
        <f t="shared" si="73"/>
        <v>22574.629890531833</v>
      </c>
      <c r="U120" s="46">
        <f t="shared" si="73"/>
        <v>23095.000300080581</v>
      </c>
      <c r="V120" s="46">
        <f t="shared" si="73"/>
        <v>20149.954756486706</v>
      </c>
      <c r="W120" s="46">
        <f t="shared" si="73"/>
        <v>20910.153805479451</v>
      </c>
      <c r="X120" s="46">
        <f t="shared" si="73"/>
        <v>22711.545682070911</v>
      </c>
      <c r="Y120" s="46">
        <f t="shared" si="73"/>
        <v>19236.924522320711</v>
      </c>
      <c r="Z120" s="46">
        <f t="shared" si="73"/>
        <v>4486.4470588235299</v>
      </c>
      <c r="AA120" s="46">
        <f t="shared" si="73"/>
        <v>19923.998499597099</v>
      </c>
      <c r="AC120" s="47">
        <f>SUM(D120:AA120)</f>
        <v>548644.78918775183</v>
      </c>
    </row>
    <row r="121" spans="2:29" x14ac:dyDescent="0.3">
      <c r="B121" s="181"/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100"/>
    </row>
    <row r="122" spans="2:29" ht="45.75" x14ac:dyDescent="0.3">
      <c r="B122" s="181"/>
      <c r="C122" s="172" t="s">
        <v>99</v>
      </c>
      <c r="D122" s="172"/>
      <c r="E122" s="172"/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3"/>
    </row>
    <row r="123" spans="2:29" x14ac:dyDescent="0.3">
      <c r="B123" s="181"/>
      <c r="C123" s="129" t="s">
        <v>101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3">
        <v>0</v>
      </c>
      <c r="R123" s="43">
        <v>0</v>
      </c>
      <c r="S123" s="43">
        <v>0</v>
      </c>
      <c r="T123" s="43">
        <v>0</v>
      </c>
      <c r="U123" s="43">
        <v>0</v>
      </c>
      <c r="V123" s="43">
        <v>0</v>
      </c>
      <c r="W123" s="43">
        <v>0</v>
      </c>
      <c r="X123" s="43">
        <v>0</v>
      </c>
      <c r="Y123" s="43">
        <v>0</v>
      </c>
      <c r="Z123" s="43">
        <v>0</v>
      </c>
      <c r="AA123" s="43">
        <v>0</v>
      </c>
    </row>
    <row r="124" spans="2:29" x14ac:dyDescent="0.3">
      <c r="B124" s="181"/>
      <c r="C124" s="129" t="s">
        <v>102</v>
      </c>
      <c r="D124" s="17">
        <f t="shared" ref="D124:O124" si="74">D77*D89+D79*D89*2</f>
        <v>4622.4000000000005</v>
      </c>
      <c r="E124" s="17">
        <f t="shared" si="74"/>
        <v>4622.4000000000005</v>
      </c>
      <c r="F124" s="17">
        <f t="shared" si="74"/>
        <v>4622.4000000000005</v>
      </c>
      <c r="G124" s="17">
        <f t="shared" si="74"/>
        <v>4622.4000000000005</v>
      </c>
      <c r="H124" s="17">
        <f t="shared" si="74"/>
        <v>4622.4000000000005</v>
      </c>
      <c r="I124" s="17">
        <f t="shared" si="74"/>
        <v>4622.4000000000005</v>
      </c>
      <c r="J124" s="17">
        <f t="shared" si="74"/>
        <v>4622.4000000000005</v>
      </c>
      <c r="K124" s="17">
        <f t="shared" si="74"/>
        <v>4622.4000000000005</v>
      </c>
      <c r="L124" s="17">
        <f t="shared" si="74"/>
        <v>4622.4000000000005</v>
      </c>
      <c r="M124" s="17">
        <f t="shared" si="74"/>
        <v>4622.4000000000005</v>
      </c>
      <c r="N124" s="17">
        <f t="shared" si="74"/>
        <v>4622.4000000000005</v>
      </c>
      <c r="O124" s="17">
        <f t="shared" si="74"/>
        <v>4622.4000000000005</v>
      </c>
      <c r="P124" s="17">
        <f>P77*P89+P79*P89*2</f>
        <v>4622.4000000000005</v>
      </c>
      <c r="Q124" s="18">
        <f t="shared" ref="Q124:AA124" si="75">Q77*Q89+Q79*Q89*2</f>
        <v>4622.4000000000005</v>
      </c>
      <c r="R124" s="18">
        <f t="shared" si="75"/>
        <v>4622.4000000000005</v>
      </c>
      <c r="S124" s="18">
        <f t="shared" si="75"/>
        <v>4622.4000000000005</v>
      </c>
      <c r="T124" s="18">
        <f t="shared" si="75"/>
        <v>4622.4000000000005</v>
      </c>
      <c r="U124" s="18">
        <f t="shared" si="75"/>
        <v>4622.4000000000005</v>
      </c>
      <c r="V124" s="18">
        <f t="shared" si="75"/>
        <v>4622.4000000000005</v>
      </c>
      <c r="W124" s="18">
        <f t="shared" si="75"/>
        <v>4622.4000000000005</v>
      </c>
      <c r="X124" s="18">
        <f t="shared" si="75"/>
        <v>4622.4000000000005</v>
      </c>
      <c r="Y124" s="18">
        <f t="shared" si="75"/>
        <v>4622.4000000000005</v>
      </c>
      <c r="Z124" s="18">
        <f t="shared" si="75"/>
        <v>4622.4000000000005</v>
      </c>
      <c r="AA124" s="18">
        <f t="shared" si="75"/>
        <v>4622.4000000000005</v>
      </c>
    </row>
    <row r="125" spans="2:29" x14ac:dyDescent="0.3">
      <c r="B125" s="181"/>
      <c r="C125" s="129" t="s">
        <v>103</v>
      </c>
      <c r="D125" s="102">
        <f t="shared" ref="D125:O125" si="76">D80*D90</f>
        <v>3801.3024</v>
      </c>
      <c r="E125" s="102">
        <f t="shared" si="76"/>
        <v>4887.3887999999997</v>
      </c>
      <c r="F125" s="102">
        <f t="shared" si="76"/>
        <v>5701.9536000000007</v>
      </c>
      <c r="G125" s="102">
        <f t="shared" si="76"/>
        <v>5430.4320000000007</v>
      </c>
      <c r="H125" s="102">
        <f t="shared" si="76"/>
        <v>5430.4320000000007</v>
      </c>
      <c r="I125" s="102">
        <f t="shared" si="76"/>
        <v>2715.2160000000003</v>
      </c>
      <c r="J125" s="102">
        <f t="shared" si="76"/>
        <v>3801.3024</v>
      </c>
      <c r="K125" s="102">
        <f t="shared" si="76"/>
        <v>4072.8240000000001</v>
      </c>
      <c r="L125" s="102">
        <f t="shared" si="76"/>
        <v>6244.9967999999999</v>
      </c>
      <c r="M125" s="102">
        <f t="shared" si="76"/>
        <v>7331.0832</v>
      </c>
      <c r="N125" s="102">
        <f t="shared" si="76"/>
        <v>5158.9104000000007</v>
      </c>
      <c r="O125" s="102">
        <f t="shared" si="76"/>
        <v>6788.04</v>
      </c>
      <c r="P125" s="102">
        <f>P80*P90</f>
        <v>4887.3887999999997</v>
      </c>
      <c r="Q125" s="103">
        <f t="shared" ref="Q125:AA125" si="77">Q80*Q90</f>
        <v>3529.7808</v>
      </c>
      <c r="R125" s="103">
        <f t="shared" si="77"/>
        <v>62449.968000000001</v>
      </c>
      <c r="S125" s="103">
        <f t="shared" si="77"/>
        <v>7874.1264000000001</v>
      </c>
      <c r="T125" s="103">
        <f t="shared" si="77"/>
        <v>5701.9536000000007</v>
      </c>
      <c r="U125" s="103">
        <f t="shared" si="77"/>
        <v>7059.5616</v>
      </c>
      <c r="V125" s="103">
        <f t="shared" si="77"/>
        <v>5973.4751999999999</v>
      </c>
      <c r="W125" s="103">
        <f t="shared" si="77"/>
        <v>6516.5183999999999</v>
      </c>
      <c r="X125" s="103">
        <f t="shared" si="77"/>
        <v>6244.9967999999999</v>
      </c>
      <c r="Y125" s="103">
        <f t="shared" si="77"/>
        <v>4370.2048000000004</v>
      </c>
      <c r="Z125" s="103">
        <f t="shared" si="77"/>
        <v>0</v>
      </c>
      <c r="AA125" s="103">
        <f t="shared" si="77"/>
        <v>5430.4320000000007</v>
      </c>
    </row>
    <row r="126" spans="2:29" x14ac:dyDescent="0.3">
      <c r="B126" s="181"/>
      <c r="C126" s="129" t="s">
        <v>104</v>
      </c>
      <c r="D126" s="17">
        <f t="shared" ref="D126:O126" si="78">D81*D91</f>
        <v>1488.5115000000001</v>
      </c>
      <c r="E126" s="17">
        <f t="shared" si="78"/>
        <v>1663.6305</v>
      </c>
      <c r="F126" s="17">
        <f t="shared" si="78"/>
        <v>1768.7019</v>
      </c>
      <c r="G126" s="17">
        <f t="shared" si="78"/>
        <v>2048.8923</v>
      </c>
      <c r="H126" s="17">
        <f t="shared" si="78"/>
        <v>1821.2375999999999</v>
      </c>
      <c r="I126" s="17">
        <f t="shared" si="78"/>
        <v>1400.952</v>
      </c>
      <c r="J126" s="17">
        <f t="shared" si="78"/>
        <v>1418.4639000000002</v>
      </c>
      <c r="K126" s="17">
        <f t="shared" si="78"/>
        <v>1453.4876999999999</v>
      </c>
      <c r="L126" s="17">
        <f t="shared" si="78"/>
        <v>1891.2852</v>
      </c>
      <c r="M126" s="17">
        <f t="shared" si="78"/>
        <v>2188.9875000000002</v>
      </c>
      <c r="N126" s="17">
        <f t="shared" si="78"/>
        <v>2241.5232000000001</v>
      </c>
      <c r="O126" s="17">
        <f t="shared" si="78"/>
        <v>2136.4518000000003</v>
      </c>
      <c r="P126" s="17">
        <f>P81*P91</f>
        <v>1996.3566000000001</v>
      </c>
      <c r="Q126" s="18">
        <f t="shared" ref="Q126:AA126" si="79">Q81*Q91</f>
        <v>1891.2852</v>
      </c>
      <c r="R126" s="18">
        <f t="shared" si="79"/>
        <v>1803.7257</v>
      </c>
      <c r="S126" s="18">
        <f t="shared" si="79"/>
        <v>2408.3031999999998</v>
      </c>
      <c r="T126" s="18">
        <f t="shared" si="79"/>
        <v>2171.4755999999998</v>
      </c>
      <c r="U126" s="18">
        <f t="shared" si="79"/>
        <v>1943.8208999999999</v>
      </c>
      <c r="V126" s="18">
        <f t="shared" si="79"/>
        <v>1628.6067</v>
      </c>
      <c r="W126" s="18">
        <f t="shared" si="79"/>
        <v>1646.1185999999998</v>
      </c>
      <c r="X126" s="18">
        <f t="shared" si="79"/>
        <v>2066.4041999999999</v>
      </c>
      <c r="Y126" s="18">
        <f t="shared" si="79"/>
        <v>1838.7495000000001</v>
      </c>
      <c r="Z126" s="18">
        <f t="shared" si="79"/>
        <v>0</v>
      </c>
      <c r="AA126" s="18">
        <f t="shared" si="79"/>
        <v>1716.1661999999999</v>
      </c>
    </row>
    <row r="127" spans="2:29" x14ac:dyDescent="0.3">
      <c r="B127" s="181"/>
      <c r="C127" s="129" t="s">
        <v>105</v>
      </c>
      <c r="D127" s="102">
        <f t="shared" ref="D127:O127" si="80">D80*D92</f>
        <v>1236.7991999999999</v>
      </c>
      <c r="E127" s="102">
        <f t="shared" si="80"/>
        <v>1590.1704</v>
      </c>
      <c r="F127" s="102">
        <f t="shared" si="80"/>
        <v>1855.1988000000001</v>
      </c>
      <c r="G127" s="102">
        <f t="shared" si="80"/>
        <v>1766.856</v>
      </c>
      <c r="H127" s="102">
        <f t="shared" si="80"/>
        <v>1766.856</v>
      </c>
      <c r="I127" s="102">
        <f t="shared" si="80"/>
        <v>883.428</v>
      </c>
      <c r="J127" s="102">
        <f t="shared" si="80"/>
        <v>1236.7991999999999</v>
      </c>
      <c r="K127" s="102">
        <f t="shared" si="80"/>
        <v>1325.1420000000001</v>
      </c>
      <c r="L127" s="102">
        <f t="shared" si="80"/>
        <v>2031.8844000000001</v>
      </c>
      <c r="M127" s="102">
        <f t="shared" si="80"/>
        <v>2385.2556</v>
      </c>
      <c r="N127" s="102">
        <f t="shared" si="80"/>
        <v>1678.5132000000001</v>
      </c>
      <c r="O127" s="102">
        <f t="shared" si="80"/>
        <v>2208.5700000000002</v>
      </c>
      <c r="P127" s="102">
        <f>P80*P92</f>
        <v>1590.1704</v>
      </c>
      <c r="Q127" s="103">
        <f t="shared" ref="Q127:AA127" si="81">Q80*Q92</f>
        <v>1148.4564</v>
      </c>
      <c r="R127" s="103">
        <f t="shared" si="81"/>
        <v>20318.843999999997</v>
      </c>
      <c r="S127" s="103">
        <f t="shared" si="81"/>
        <v>2561.9412000000002</v>
      </c>
      <c r="T127" s="103">
        <f t="shared" si="81"/>
        <v>1855.1988000000001</v>
      </c>
      <c r="U127" s="103">
        <f t="shared" si="81"/>
        <v>2296.9128000000001</v>
      </c>
      <c r="V127" s="103">
        <f t="shared" si="81"/>
        <v>1943.5416</v>
      </c>
      <c r="W127" s="103">
        <f t="shared" si="81"/>
        <v>2120.2272000000003</v>
      </c>
      <c r="X127" s="103">
        <f t="shared" si="81"/>
        <v>2031.8844000000001</v>
      </c>
      <c r="Y127" s="103">
        <f t="shared" si="81"/>
        <v>1421.8984</v>
      </c>
      <c r="Z127" s="103">
        <f t="shared" si="81"/>
        <v>0</v>
      </c>
      <c r="AA127" s="103">
        <f t="shared" si="81"/>
        <v>1766.856</v>
      </c>
    </row>
    <row r="128" spans="2:29" x14ac:dyDescent="0.3">
      <c r="B128" s="181"/>
      <c r="C128" s="129" t="s">
        <v>106</v>
      </c>
      <c r="D128" s="17">
        <f t="shared" ref="D128:O128" si="82">D81*D93</f>
        <v>4488.2040000000006</v>
      </c>
      <c r="E128" s="17">
        <f t="shared" si="82"/>
        <v>5016.2280000000001</v>
      </c>
      <c r="F128" s="17">
        <f t="shared" si="82"/>
        <v>5333.0424000000003</v>
      </c>
      <c r="G128" s="17">
        <f t="shared" si="82"/>
        <v>6177.8807999999999</v>
      </c>
      <c r="H128" s="17">
        <f t="shared" si="82"/>
        <v>5491.4495999999999</v>
      </c>
      <c r="I128" s="17">
        <f t="shared" si="82"/>
        <v>4224.192</v>
      </c>
      <c r="J128" s="17">
        <f t="shared" si="82"/>
        <v>4276.9944000000005</v>
      </c>
      <c r="K128" s="17">
        <f t="shared" si="82"/>
        <v>4382.5991999999997</v>
      </c>
      <c r="L128" s="17">
        <f t="shared" si="82"/>
        <v>5702.6592000000001</v>
      </c>
      <c r="M128" s="17">
        <f t="shared" si="82"/>
        <v>6600.3</v>
      </c>
      <c r="N128" s="17">
        <f t="shared" si="82"/>
        <v>6758.7071999999998</v>
      </c>
      <c r="O128" s="17">
        <f t="shared" si="82"/>
        <v>6441.8928000000005</v>
      </c>
      <c r="P128" s="17">
        <f>P81*P93</f>
        <v>6019.4736000000003</v>
      </c>
      <c r="Q128" s="18">
        <f t="shared" ref="Q128:AA128" si="83">Q81*Q93</f>
        <v>5702.6592000000001</v>
      </c>
      <c r="R128" s="18">
        <f t="shared" si="83"/>
        <v>5438.6471999999994</v>
      </c>
      <c r="S128" s="18">
        <f t="shared" si="83"/>
        <v>7261.5871999999999</v>
      </c>
      <c r="T128" s="18">
        <f t="shared" si="83"/>
        <v>6547.4975999999997</v>
      </c>
      <c r="U128" s="18">
        <f t="shared" si="83"/>
        <v>5861.0663999999997</v>
      </c>
      <c r="V128" s="18">
        <f t="shared" si="83"/>
        <v>4910.6232</v>
      </c>
      <c r="W128" s="18">
        <f t="shared" si="83"/>
        <v>4963.4255999999996</v>
      </c>
      <c r="X128" s="18">
        <f t="shared" si="83"/>
        <v>6230.6832000000004</v>
      </c>
      <c r="Y128" s="18">
        <f t="shared" si="83"/>
        <v>5544.2520000000004</v>
      </c>
      <c r="Z128" s="18">
        <f t="shared" si="83"/>
        <v>0</v>
      </c>
      <c r="AA128" s="18">
        <f t="shared" si="83"/>
        <v>5174.6351999999997</v>
      </c>
    </row>
    <row r="129" spans="2:32" x14ac:dyDescent="0.3">
      <c r="B129" s="181"/>
      <c r="C129" s="130" t="s">
        <v>107</v>
      </c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3"/>
      <c r="R129" s="103"/>
      <c r="S129" s="103"/>
      <c r="T129" s="103"/>
      <c r="U129" s="103"/>
      <c r="V129" s="103"/>
      <c r="W129" s="103"/>
      <c r="X129" s="103"/>
      <c r="Y129" s="103"/>
      <c r="Z129" s="103"/>
      <c r="AA129" s="103"/>
    </row>
    <row r="130" spans="2:32" x14ac:dyDescent="0.3">
      <c r="B130" s="181"/>
      <c r="C130" s="130" t="s">
        <v>110</v>
      </c>
      <c r="D130" s="21">
        <f t="shared" ref="D130:O130" si="84">SUM(D123:D129)/(1-SUM(D95:D96))*SUM(D95:D96)</f>
        <v>7358.6904000000013</v>
      </c>
      <c r="E130" s="21">
        <f t="shared" si="84"/>
        <v>8366.9730352941187</v>
      </c>
      <c r="F130" s="21">
        <f t="shared" si="84"/>
        <v>9073.5513882352952</v>
      </c>
      <c r="G130" s="21">
        <f t="shared" si="84"/>
        <v>9433.6287529411766</v>
      </c>
      <c r="H130" s="21">
        <f t="shared" si="84"/>
        <v>9003.4706823529432</v>
      </c>
      <c r="I130" s="21">
        <f t="shared" si="84"/>
        <v>6515.8531764705904</v>
      </c>
      <c r="J130" s="21">
        <f t="shared" si="84"/>
        <v>7226.3340705882365</v>
      </c>
      <c r="K130" s="21">
        <f t="shared" si="84"/>
        <v>7461.860188235295</v>
      </c>
      <c r="L130" s="21">
        <f t="shared" si="84"/>
        <v>9643.8708705882364</v>
      </c>
      <c r="M130" s="21">
        <f t="shared" si="84"/>
        <v>10883.777082352943</v>
      </c>
      <c r="N130" s="21">
        <f t="shared" si="84"/>
        <v>9628.2607058823542</v>
      </c>
      <c r="O130" s="21">
        <f t="shared" si="84"/>
        <v>10445.813929411766</v>
      </c>
      <c r="P130" s="21">
        <f>SUM(P123:P129)/(1-SUM(P95:P96))*SUM(P95:P96)</f>
        <v>8995.6656000000021</v>
      </c>
      <c r="Q130" s="22">
        <f t="shared" ref="Q130:AA130" si="85">SUM(Q123:Q129)/(1-SUM(Q95:Q96))*SUM(Q95:Q96)</f>
        <v>7950.3913411764706</v>
      </c>
      <c r="R130" s="22">
        <f t="shared" si="85"/>
        <v>44533.451717647054</v>
      </c>
      <c r="S130" s="22">
        <f t="shared" si="85"/>
        <v>11636.874352941179</v>
      </c>
      <c r="T130" s="22">
        <f t="shared" si="85"/>
        <v>9834.6002823529434</v>
      </c>
      <c r="U130" s="22">
        <f t="shared" si="85"/>
        <v>10251.181976470591</v>
      </c>
      <c r="V130" s="22">
        <f t="shared" si="85"/>
        <v>8978.1866823529435</v>
      </c>
      <c r="W130" s="22">
        <f t="shared" si="85"/>
        <v>9349.9716705882365</v>
      </c>
      <c r="X130" s="22">
        <f t="shared" si="85"/>
        <v>9974.7616941176493</v>
      </c>
      <c r="Y130" s="22">
        <f t="shared" si="85"/>
        <v>8375.2963294117671</v>
      </c>
      <c r="Z130" s="22">
        <f t="shared" si="85"/>
        <v>2175.2470588235296</v>
      </c>
      <c r="AA130" s="22">
        <f t="shared" si="85"/>
        <v>8804.936188235295</v>
      </c>
    </row>
    <row r="131" spans="2:32" ht="17.25" thickBot="1" x14ac:dyDescent="0.35">
      <c r="B131" s="181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  <c r="AA131" s="45"/>
    </row>
    <row r="132" spans="2:32" ht="17.25" thickBot="1" x14ac:dyDescent="0.35">
      <c r="B132" s="181"/>
      <c r="C132" s="134" t="s">
        <v>109</v>
      </c>
      <c r="D132" s="46">
        <f t="shared" ref="D132:O132" si="86">+SUM(D123:D130)</f>
        <v>22995.907500000001</v>
      </c>
      <c r="E132" s="46">
        <f t="shared" si="86"/>
        <v>26146.790735294118</v>
      </c>
      <c r="F132" s="46">
        <f t="shared" si="86"/>
        <v>28354.848088235296</v>
      </c>
      <c r="G132" s="46">
        <f t="shared" si="86"/>
        <v>29480.089852941179</v>
      </c>
      <c r="H132" s="46">
        <f t="shared" si="86"/>
        <v>28135.845882352944</v>
      </c>
      <c r="I132" s="46">
        <f t="shared" si="86"/>
        <v>20362.041176470593</v>
      </c>
      <c r="J132" s="46">
        <f t="shared" si="86"/>
        <v>22582.293970588238</v>
      </c>
      <c r="K132" s="46">
        <f t="shared" si="86"/>
        <v>23318.313088235296</v>
      </c>
      <c r="L132" s="46">
        <f t="shared" si="86"/>
        <v>30137.096470588236</v>
      </c>
      <c r="M132" s="46">
        <f t="shared" si="86"/>
        <v>34011.80338235294</v>
      </c>
      <c r="N132" s="46">
        <f t="shared" si="86"/>
        <v>30088.314705882352</v>
      </c>
      <c r="O132" s="46">
        <f t="shared" si="86"/>
        <v>32643.168529411771</v>
      </c>
      <c r="P132" s="46">
        <f>+SUM(P123:P130)</f>
        <v>28111.455000000002</v>
      </c>
      <c r="Q132" s="46">
        <f t="shared" ref="Q132:AA132" si="87">+SUM(Q123:Q130)</f>
        <v>24844.972941176467</v>
      </c>
      <c r="R132" s="46">
        <f t="shared" si="87"/>
        <v>139167.03661764704</v>
      </c>
      <c r="S132" s="46">
        <f t="shared" si="87"/>
        <v>36365.232352941181</v>
      </c>
      <c r="T132" s="46">
        <f t="shared" si="87"/>
        <v>30733.125882352942</v>
      </c>
      <c r="U132" s="46">
        <f t="shared" si="87"/>
        <v>32034.943676470593</v>
      </c>
      <c r="V132" s="46">
        <f t="shared" si="87"/>
        <v>28056.833382352947</v>
      </c>
      <c r="W132" s="46">
        <f t="shared" si="87"/>
        <v>29218.661470588238</v>
      </c>
      <c r="X132" s="46">
        <f t="shared" si="87"/>
        <v>31171.130294117651</v>
      </c>
      <c r="Y132" s="46">
        <f t="shared" si="87"/>
        <v>26172.80102941177</v>
      </c>
      <c r="Z132" s="46">
        <f t="shared" si="87"/>
        <v>6797.6470588235297</v>
      </c>
      <c r="AA132" s="46">
        <f t="shared" si="87"/>
        <v>27515.425588235295</v>
      </c>
      <c r="AC132" s="47">
        <f>SUM(D132:AA132)</f>
        <v>768445.77867647051</v>
      </c>
    </row>
    <row r="133" spans="2:32" ht="17.25" thickBot="1" x14ac:dyDescent="0.35">
      <c r="B133" s="181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  <c r="AA133" s="41"/>
    </row>
    <row r="134" spans="2:32" ht="17.25" thickBot="1" x14ac:dyDescent="0.35">
      <c r="B134" s="181"/>
      <c r="C134" s="134" t="s">
        <v>111</v>
      </c>
      <c r="D134" s="46">
        <f t="shared" ref="D134:O134" si="88">D132-D120</f>
        <v>6242.9108008863841</v>
      </c>
      <c r="E134" s="46">
        <f t="shared" si="88"/>
        <v>7161.07221539081</v>
      </c>
      <c r="F134" s="46">
        <f t="shared" si="88"/>
        <v>7828.1489007655109</v>
      </c>
      <c r="G134" s="46">
        <f t="shared" si="88"/>
        <v>7864.3225116841277</v>
      </c>
      <c r="H134" s="46">
        <f t="shared" si="88"/>
        <v>7677.6045906526997</v>
      </c>
      <c r="I134" s="46">
        <f t="shared" si="88"/>
        <v>5396.56397139404</v>
      </c>
      <c r="J134" s="46">
        <f t="shared" si="88"/>
        <v>6185.4591328767128</v>
      </c>
      <c r="K134" s="46">
        <f t="shared" si="88"/>
        <v>6407.8180280016131</v>
      </c>
      <c r="L134" s="46">
        <f t="shared" si="88"/>
        <v>8315.9554420225613</v>
      </c>
      <c r="M134" s="46">
        <f t="shared" si="88"/>
        <v>9334.657275543912</v>
      </c>
      <c r="N134" s="46">
        <f t="shared" si="88"/>
        <v>7828.6815375906517</v>
      </c>
      <c r="O134" s="46">
        <f t="shared" si="88"/>
        <v>8904.3024022965365</v>
      </c>
      <c r="P134" s="46">
        <f>P132-P120</f>
        <v>7433.9676384367449</v>
      </c>
      <c r="Q134" s="46">
        <f t="shared" ref="Q134:AA134" si="89">Q132-Q120</f>
        <v>6379.624830821911</v>
      </c>
      <c r="R134" s="46">
        <f t="shared" si="89"/>
        <v>48326.184508863807</v>
      </c>
      <c r="S134" s="46">
        <f t="shared" si="89"/>
        <v>9901.8018345286109</v>
      </c>
      <c r="T134" s="46">
        <f t="shared" si="89"/>
        <v>8158.4959918211098</v>
      </c>
      <c r="U134" s="46">
        <f t="shared" si="89"/>
        <v>8939.9433763900124</v>
      </c>
      <c r="V134" s="46">
        <f t="shared" si="89"/>
        <v>7906.8786258662403</v>
      </c>
      <c r="W134" s="46">
        <f t="shared" si="89"/>
        <v>8308.5076651087875</v>
      </c>
      <c r="X134" s="46">
        <f t="shared" si="89"/>
        <v>8459.5846120467395</v>
      </c>
      <c r="Y134" s="46">
        <f t="shared" si="89"/>
        <v>6935.8765070910595</v>
      </c>
      <c r="Z134" s="46">
        <f t="shared" si="89"/>
        <v>2311.1999999999998</v>
      </c>
      <c r="AA134" s="46">
        <f t="shared" si="89"/>
        <v>7591.4270886381964</v>
      </c>
      <c r="AC134" s="47">
        <f>AC132-AC120</f>
        <v>219800.98948871868</v>
      </c>
    </row>
    <row r="135" spans="2:32" ht="17.25" thickBot="1" x14ac:dyDescent="0.35">
      <c r="B135" s="182"/>
      <c r="C135" s="134" t="s">
        <v>112</v>
      </c>
      <c r="D135" s="105">
        <f t="shared" ref="D135:O135" si="90">D134/D132</f>
        <v>0.27147920998057518</v>
      </c>
      <c r="E135" s="105">
        <f t="shared" si="90"/>
        <v>0.27387958575445637</v>
      </c>
      <c r="F135" s="105">
        <f t="shared" si="90"/>
        <v>0.27607797003199203</v>
      </c>
      <c r="G135" s="105">
        <f t="shared" si="90"/>
        <v>0.26676725040237681</v>
      </c>
      <c r="H135" s="105">
        <f t="shared" si="90"/>
        <v>0.27287626690719696</v>
      </c>
      <c r="I135" s="105">
        <f t="shared" si="90"/>
        <v>0.26503059907520732</v>
      </c>
      <c r="J135" s="105">
        <f t="shared" si="90"/>
        <v>0.27390747551744804</v>
      </c>
      <c r="K135" s="105">
        <f t="shared" si="90"/>
        <v>0.27479766669890571</v>
      </c>
      <c r="L135" s="105">
        <f t="shared" si="90"/>
        <v>0.27593751276399076</v>
      </c>
      <c r="M135" s="105">
        <f t="shared" si="90"/>
        <v>0.27445346459891651</v>
      </c>
      <c r="N135" s="105">
        <f t="shared" si="90"/>
        <v>0.26019009752181704</v>
      </c>
      <c r="O135" s="105">
        <f t="shared" si="90"/>
        <v>0.27277690259368309</v>
      </c>
      <c r="P135" s="105">
        <f>P134/P132</f>
        <v>0.26444620665976715</v>
      </c>
      <c r="Q135" s="105">
        <f>Q134/Q132</f>
        <v>0.25677729035674374</v>
      </c>
      <c r="R135" s="105">
        <f t="shared" ref="R135:AA135" si="91">R134/R132</f>
        <v>0.3472530973095091</v>
      </c>
      <c r="S135" s="105">
        <f t="shared" si="91"/>
        <v>0.27228759982686496</v>
      </c>
      <c r="T135" s="105">
        <f t="shared" si="91"/>
        <v>0.26546261591001208</v>
      </c>
      <c r="U135" s="105">
        <f t="shared" si="91"/>
        <v>0.27906849054198052</v>
      </c>
      <c r="V135" s="105">
        <f t="shared" si="91"/>
        <v>0.28181650146019227</v>
      </c>
      <c r="W135" s="105">
        <f t="shared" si="91"/>
        <v>0.28435620411538032</v>
      </c>
      <c r="X135" s="105">
        <f t="shared" si="91"/>
        <v>0.27139165414361505</v>
      </c>
      <c r="Y135" s="105">
        <f t="shared" si="91"/>
        <v>0.26500321839060503</v>
      </c>
      <c r="Z135" s="105">
        <f t="shared" si="91"/>
        <v>0.33999999999999997</v>
      </c>
      <c r="AA135" s="105">
        <f t="shared" si="91"/>
        <v>0.27589713501956681</v>
      </c>
      <c r="AC135" s="106">
        <f>AC134/AC132</f>
        <v>0.2860331796828815</v>
      </c>
    </row>
    <row r="136" spans="2:32" x14ac:dyDescent="0.3"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"/>
    </row>
    <row r="137" spans="2:32" ht="17.25" thickBot="1" x14ac:dyDescent="0.35"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"/>
    </row>
    <row r="138" spans="2:32" ht="45.75" x14ac:dyDescent="0.3">
      <c r="B138" s="180" t="s">
        <v>95</v>
      </c>
      <c r="C138" s="170" t="s">
        <v>100</v>
      </c>
      <c r="D138" s="170"/>
      <c r="E138" s="170"/>
      <c r="F138" s="170"/>
      <c r="G138" s="170"/>
      <c r="H138" s="170"/>
      <c r="I138" s="170"/>
      <c r="J138" s="170"/>
      <c r="K138" s="170"/>
      <c r="L138" s="170"/>
      <c r="M138" s="170"/>
      <c r="N138" s="170"/>
      <c r="O138" s="170"/>
      <c r="P138" s="170"/>
      <c r="Q138" s="170"/>
      <c r="R138" s="170"/>
      <c r="S138" s="170"/>
      <c r="T138" s="170"/>
      <c r="U138" s="170"/>
      <c r="V138" s="170"/>
      <c r="W138" s="170"/>
      <c r="X138" s="170"/>
      <c r="Y138" s="170"/>
      <c r="Z138" s="170"/>
      <c r="AA138" s="171"/>
      <c r="AC138" s="5"/>
    </row>
    <row r="139" spans="2:32" x14ac:dyDescent="0.3">
      <c r="B139" s="181"/>
      <c r="C139" s="128" t="s">
        <v>3</v>
      </c>
      <c r="D139" s="7">
        <v>43101</v>
      </c>
      <c r="E139" s="7">
        <v>43133</v>
      </c>
      <c r="F139" s="7">
        <v>43165</v>
      </c>
      <c r="G139" s="7">
        <v>43197</v>
      </c>
      <c r="H139" s="7">
        <v>43229</v>
      </c>
      <c r="I139" s="7">
        <v>43261</v>
      </c>
      <c r="J139" s="7">
        <v>43293</v>
      </c>
      <c r="K139" s="7">
        <v>43325</v>
      </c>
      <c r="L139" s="7">
        <v>43357</v>
      </c>
      <c r="M139" s="7">
        <v>43389</v>
      </c>
      <c r="N139" s="7">
        <v>43421</v>
      </c>
      <c r="O139" s="7">
        <v>43453</v>
      </c>
      <c r="P139" s="7">
        <v>43485</v>
      </c>
      <c r="Q139" s="7">
        <v>43517</v>
      </c>
      <c r="R139" s="7">
        <v>43549</v>
      </c>
      <c r="S139" s="7">
        <v>43581</v>
      </c>
      <c r="T139" s="7">
        <v>43613</v>
      </c>
      <c r="U139" s="7">
        <v>43645</v>
      </c>
      <c r="V139" s="7">
        <v>43677</v>
      </c>
      <c r="W139" s="7">
        <v>43709</v>
      </c>
      <c r="X139" s="7">
        <v>43741</v>
      </c>
      <c r="Y139" s="7">
        <v>43773</v>
      </c>
      <c r="Z139" s="7">
        <v>43805</v>
      </c>
      <c r="AA139" s="7">
        <v>43806</v>
      </c>
    </row>
    <row r="140" spans="2:32" x14ac:dyDescent="0.3">
      <c r="B140" s="181"/>
      <c r="C140" s="128" t="s">
        <v>4</v>
      </c>
      <c r="D140" s="6">
        <v>744</v>
      </c>
      <c r="E140" s="6">
        <v>696</v>
      </c>
      <c r="F140" s="6">
        <v>744</v>
      </c>
      <c r="G140" s="6">
        <v>720</v>
      </c>
      <c r="H140" s="6">
        <v>744</v>
      </c>
      <c r="I140" s="6">
        <v>720</v>
      </c>
      <c r="J140" s="6">
        <v>744</v>
      </c>
      <c r="K140" s="6">
        <v>744</v>
      </c>
      <c r="L140" s="6">
        <v>720</v>
      </c>
      <c r="M140" s="6">
        <v>744</v>
      </c>
      <c r="N140" s="6">
        <v>720</v>
      </c>
      <c r="O140" s="6">
        <v>744</v>
      </c>
      <c r="P140" s="6">
        <v>744</v>
      </c>
      <c r="Q140" s="6">
        <v>672</v>
      </c>
      <c r="R140" s="6">
        <v>744</v>
      </c>
      <c r="S140" s="6">
        <v>720</v>
      </c>
      <c r="T140" s="6">
        <v>744</v>
      </c>
      <c r="U140" s="6">
        <v>720</v>
      </c>
      <c r="V140" s="6">
        <v>744</v>
      </c>
      <c r="W140" s="6">
        <v>744</v>
      </c>
      <c r="X140" s="6">
        <v>720</v>
      </c>
      <c r="Y140" s="6">
        <v>744</v>
      </c>
      <c r="Z140" s="6">
        <v>720</v>
      </c>
      <c r="AA140" s="6">
        <v>744</v>
      </c>
    </row>
    <row r="141" spans="2:32" x14ac:dyDescent="0.3">
      <c r="B141" s="181"/>
      <c r="C141" s="107"/>
      <c r="D141" s="107"/>
      <c r="E141" s="107"/>
      <c r="F141" s="107"/>
      <c r="G141" s="107"/>
      <c r="H141" s="107"/>
      <c r="I141" s="107"/>
      <c r="J141" s="107"/>
      <c r="K141" s="107"/>
      <c r="L141" s="107"/>
      <c r="M141" s="107"/>
      <c r="N141" s="107"/>
      <c r="O141" s="107"/>
      <c r="P141" s="107"/>
      <c r="Q141" s="107"/>
      <c r="R141" s="107"/>
      <c r="S141" s="107"/>
      <c r="T141" s="107"/>
      <c r="U141" s="107"/>
      <c r="V141" s="107"/>
      <c r="W141" s="107"/>
      <c r="X141" s="107"/>
      <c r="Y141" s="107"/>
      <c r="Z141" s="107"/>
      <c r="AA141" s="8"/>
    </row>
    <row r="142" spans="2:32" x14ac:dyDescent="0.3">
      <c r="B142" s="181"/>
      <c r="C142" s="129" t="s">
        <v>5</v>
      </c>
      <c r="D142" s="114">
        <v>100.8</v>
      </c>
      <c r="E142" s="114">
        <v>123.9</v>
      </c>
      <c r="F142" s="114">
        <v>121.8</v>
      </c>
      <c r="G142" s="114">
        <v>111.3</v>
      </c>
      <c r="H142" s="114">
        <v>113.4</v>
      </c>
      <c r="I142" s="114">
        <v>52.5</v>
      </c>
      <c r="J142" s="114">
        <v>90.3</v>
      </c>
      <c r="K142" s="114">
        <v>77.7</v>
      </c>
      <c r="L142" s="114">
        <v>130.19999999999999</v>
      </c>
      <c r="M142" s="114">
        <v>128.1</v>
      </c>
      <c r="N142" s="114">
        <v>113.4</v>
      </c>
      <c r="O142" s="114">
        <v>113.4</v>
      </c>
      <c r="P142" s="110">
        <v>113.4</v>
      </c>
      <c r="Q142" s="110">
        <v>113.4</v>
      </c>
      <c r="R142" s="110">
        <v>115.5</v>
      </c>
      <c r="S142" s="110">
        <v>115.5</v>
      </c>
      <c r="T142" s="110">
        <v>117.6</v>
      </c>
      <c r="U142" s="110">
        <v>113.4</v>
      </c>
      <c r="V142" s="110">
        <v>102.49</v>
      </c>
      <c r="W142" s="110">
        <v>100.8</v>
      </c>
      <c r="X142" s="110">
        <v>107.1</v>
      </c>
      <c r="Y142" s="110">
        <v>105</v>
      </c>
      <c r="Z142" s="110">
        <v>105</v>
      </c>
      <c r="AA142" s="110">
        <v>113.4</v>
      </c>
      <c r="AB142" s="2"/>
      <c r="AC142" s="94" t="s">
        <v>92</v>
      </c>
      <c r="AD142" s="96" t="s">
        <v>96</v>
      </c>
      <c r="AE142" s="94" t="s">
        <v>97</v>
      </c>
      <c r="AF142" s="104" t="s">
        <v>108</v>
      </c>
    </row>
    <row r="143" spans="2:32" x14ac:dyDescent="0.3">
      <c r="B143" s="181"/>
      <c r="C143" s="129" t="s">
        <v>41</v>
      </c>
      <c r="D143" s="115">
        <v>84</v>
      </c>
      <c r="E143" s="115">
        <v>107.1</v>
      </c>
      <c r="F143" s="115">
        <v>94.5</v>
      </c>
      <c r="G143" s="115">
        <v>98.7</v>
      </c>
      <c r="H143" s="115">
        <v>105</v>
      </c>
      <c r="I143" s="115">
        <v>63</v>
      </c>
      <c r="J143" s="115">
        <v>77.7</v>
      </c>
      <c r="K143" s="115">
        <v>71.400000000000006</v>
      </c>
      <c r="L143" s="115">
        <v>111.3</v>
      </c>
      <c r="M143" s="115">
        <v>119.7</v>
      </c>
      <c r="N143" s="115">
        <v>102.9</v>
      </c>
      <c r="O143" s="115">
        <v>100.8</v>
      </c>
      <c r="P143" s="111">
        <v>98.7</v>
      </c>
      <c r="Q143" s="111">
        <v>96.6</v>
      </c>
      <c r="R143" s="111">
        <v>100.8</v>
      </c>
      <c r="S143" s="111">
        <v>109.2</v>
      </c>
      <c r="T143" s="111">
        <v>90.3</v>
      </c>
      <c r="U143" s="111">
        <v>107.1</v>
      </c>
      <c r="V143" s="111">
        <v>86.1</v>
      </c>
      <c r="W143" s="111">
        <v>81.900000000000006</v>
      </c>
      <c r="X143" s="111">
        <v>96.6</v>
      </c>
      <c r="Y143" s="111">
        <v>92.4</v>
      </c>
      <c r="Z143" s="111">
        <v>92.4</v>
      </c>
      <c r="AA143" s="111">
        <v>102.9</v>
      </c>
      <c r="AB143" s="2"/>
      <c r="AC143" s="94" t="s">
        <v>93</v>
      </c>
      <c r="AD143" s="95">
        <v>0</v>
      </c>
      <c r="AE143" s="96">
        <v>175</v>
      </c>
      <c r="AF143" s="104">
        <v>13.43</v>
      </c>
    </row>
    <row r="144" spans="2:32" x14ac:dyDescent="0.3">
      <c r="B144" s="181"/>
      <c r="C144" s="129" t="s">
        <v>6</v>
      </c>
      <c r="D144" s="13">
        <v>0</v>
      </c>
      <c r="E144" s="14">
        <v>0</v>
      </c>
      <c r="F144" s="13">
        <v>0</v>
      </c>
      <c r="G144" s="14">
        <v>0</v>
      </c>
      <c r="H144" s="13">
        <v>0</v>
      </c>
      <c r="I144" s="14">
        <v>0</v>
      </c>
      <c r="J144" s="13">
        <v>0</v>
      </c>
      <c r="K144" s="14">
        <v>0</v>
      </c>
      <c r="L144" s="13">
        <v>0</v>
      </c>
      <c r="M144" s="14">
        <v>0</v>
      </c>
      <c r="N144" s="13">
        <v>0</v>
      </c>
      <c r="O144" s="14">
        <v>0</v>
      </c>
      <c r="P144" s="13">
        <v>0</v>
      </c>
      <c r="Q144" s="14">
        <v>0</v>
      </c>
      <c r="R144" s="13">
        <v>0</v>
      </c>
      <c r="S144" s="14">
        <v>0</v>
      </c>
      <c r="T144" s="13">
        <v>0</v>
      </c>
      <c r="U144" s="14">
        <v>0</v>
      </c>
      <c r="V144" s="13">
        <v>0</v>
      </c>
      <c r="W144" s="14">
        <v>0</v>
      </c>
      <c r="X144" s="13">
        <v>0</v>
      </c>
      <c r="Y144" s="14">
        <v>0</v>
      </c>
      <c r="Z144" s="13">
        <v>0</v>
      </c>
      <c r="AA144" s="14">
        <v>0</v>
      </c>
      <c r="AB144" s="2"/>
      <c r="AC144" s="94" t="s">
        <v>94</v>
      </c>
      <c r="AD144" s="95">
        <v>0.5</v>
      </c>
      <c r="AE144" s="96">
        <v>220</v>
      </c>
      <c r="AF144" s="104">
        <v>41.69</v>
      </c>
    </row>
    <row r="145" spans="2:32" x14ac:dyDescent="0.3">
      <c r="B145" s="181"/>
      <c r="C145" s="129" t="s">
        <v>7</v>
      </c>
      <c r="D145" s="116">
        <v>240</v>
      </c>
      <c r="E145" s="116">
        <v>240</v>
      </c>
      <c r="F145" s="116">
        <v>240</v>
      </c>
      <c r="G145" s="116">
        <v>240</v>
      </c>
      <c r="H145" s="116">
        <v>240</v>
      </c>
      <c r="I145" s="116">
        <v>240</v>
      </c>
      <c r="J145" s="116">
        <v>240</v>
      </c>
      <c r="K145" s="116">
        <v>240</v>
      </c>
      <c r="L145" s="116">
        <v>240</v>
      </c>
      <c r="M145" s="116">
        <v>240</v>
      </c>
      <c r="N145" s="116">
        <v>240</v>
      </c>
      <c r="O145" s="116">
        <v>240</v>
      </c>
      <c r="P145" s="112">
        <v>240</v>
      </c>
      <c r="Q145" s="112">
        <v>240</v>
      </c>
      <c r="R145" s="112">
        <v>240</v>
      </c>
      <c r="S145" s="112">
        <v>240</v>
      </c>
      <c r="T145" s="112">
        <v>240</v>
      </c>
      <c r="U145" s="112">
        <v>240</v>
      </c>
      <c r="V145" s="112">
        <v>240</v>
      </c>
      <c r="W145" s="112">
        <v>240</v>
      </c>
      <c r="X145" s="112">
        <v>240</v>
      </c>
      <c r="Y145" s="112">
        <v>240</v>
      </c>
      <c r="Z145" s="112">
        <v>240</v>
      </c>
      <c r="AA145" s="112">
        <v>240</v>
      </c>
      <c r="AB145" s="2"/>
      <c r="AC145" s="94" t="s">
        <v>95</v>
      </c>
      <c r="AD145" s="95">
        <v>1</v>
      </c>
      <c r="AE145" s="96">
        <v>310</v>
      </c>
      <c r="AF145" s="104">
        <v>62.43</v>
      </c>
    </row>
    <row r="146" spans="2:32" x14ac:dyDescent="0.3">
      <c r="B146" s="181"/>
      <c r="C146" s="129" t="s">
        <v>8</v>
      </c>
      <c r="D146" s="16">
        <f t="shared" ref="D146:AA146" si="92">IF(D155="Verde",0,IF(D142&gt;D144*1.05,D142-D144,0))</f>
        <v>0</v>
      </c>
      <c r="E146" s="16">
        <f t="shared" si="92"/>
        <v>0</v>
      </c>
      <c r="F146" s="16">
        <f t="shared" si="92"/>
        <v>0</v>
      </c>
      <c r="G146" s="16">
        <f t="shared" si="92"/>
        <v>0</v>
      </c>
      <c r="H146" s="16">
        <f t="shared" si="92"/>
        <v>0</v>
      </c>
      <c r="I146" s="16">
        <f t="shared" si="92"/>
        <v>0</v>
      </c>
      <c r="J146" s="16">
        <f t="shared" si="92"/>
        <v>0</v>
      </c>
      <c r="K146" s="16">
        <f t="shared" si="92"/>
        <v>0</v>
      </c>
      <c r="L146" s="16">
        <f t="shared" si="92"/>
        <v>0</v>
      </c>
      <c r="M146" s="16">
        <f t="shared" si="92"/>
        <v>0</v>
      </c>
      <c r="N146" s="16">
        <f t="shared" si="92"/>
        <v>0</v>
      </c>
      <c r="O146" s="16">
        <f t="shared" si="92"/>
        <v>0</v>
      </c>
      <c r="P146" s="16">
        <f t="shared" si="92"/>
        <v>0</v>
      </c>
      <c r="Q146" s="16">
        <f t="shared" si="92"/>
        <v>0</v>
      </c>
      <c r="R146" s="16">
        <f t="shared" si="92"/>
        <v>0</v>
      </c>
      <c r="S146" s="16">
        <f t="shared" si="92"/>
        <v>0</v>
      </c>
      <c r="T146" s="16">
        <f t="shared" si="92"/>
        <v>0</v>
      </c>
      <c r="U146" s="16">
        <f t="shared" si="92"/>
        <v>0</v>
      </c>
      <c r="V146" s="16">
        <f t="shared" si="92"/>
        <v>0</v>
      </c>
      <c r="W146" s="16">
        <f t="shared" si="92"/>
        <v>0</v>
      </c>
      <c r="X146" s="16">
        <f t="shared" si="92"/>
        <v>0</v>
      </c>
      <c r="Y146" s="16">
        <f t="shared" si="92"/>
        <v>0</v>
      </c>
      <c r="Z146" s="16">
        <f t="shared" si="92"/>
        <v>0</v>
      </c>
      <c r="AA146" s="16">
        <f t="shared" si="92"/>
        <v>0</v>
      </c>
      <c r="AB146" s="2"/>
    </row>
    <row r="147" spans="2:32" x14ac:dyDescent="0.3">
      <c r="B147" s="181"/>
      <c r="C147" s="129" t="s">
        <v>9</v>
      </c>
      <c r="D147" s="18">
        <f t="shared" ref="D147:AA147" si="93">IF(D143&gt;D145*1.05,D143-D145,0)</f>
        <v>0</v>
      </c>
      <c r="E147" s="18">
        <f t="shared" si="93"/>
        <v>0</v>
      </c>
      <c r="F147" s="18">
        <f t="shared" si="93"/>
        <v>0</v>
      </c>
      <c r="G147" s="18">
        <f t="shared" si="93"/>
        <v>0</v>
      </c>
      <c r="H147" s="18">
        <f t="shared" si="93"/>
        <v>0</v>
      </c>
      <c r="I147" s="18">
        <f t="shared" si="93"/>
        <v>0</v>
      </c>
      <c r="J147" s="18">
        <f t="shared" si="93"/>
        <v>0</v>
      </c>
      <c r="K147" s="18">
        <f t="shared" si="93"/>
        <v>0</v>
      </c>
      <c r="L147" s="18">
        <f t="shared" si="93"/>
        <v>0</v>
      </c>
      <c r="M147" s="18">
        <f t="shared" si="93"/>
        <v>0</v>
      </c>
      <c r="N147" s="18">
        <f t="shared" si="93"/>
        <v>0</v>
      </c>
      <c r="O147" s="18">
        <f t="shared" si="93"/>
        <v>0</v>
      </c>
      <c r="P147" s="18">
        <f t="shared" si="93"/>
        <v>0</v>
      </c>
      <c r="Q147" s="18">
        <f t="shared" si="93"/>
        <v>0</v>
      </c>
      <c r="R147" s="18">
        <f t="shared" si="93"/>
        <v>0</v>
      </c>
      <c r="S147" s="18">
        <f t="shared" si="93"/>
        <v>0</v>
      </c>
      <c r="T147" s="18">
        <f t="shared" si="93"/>
        <v>0</v>
      </c>
      <c r="U147" s="18">
        <f t="shared" si="93"/>
        <v>0</v>
      </c>
      <c r="V147" s="18">
        <f t="shared" si="93"/>
        <v>0</v>
      </c>
      <c r="W147" s="18">
        <f t="shared" si="93"/>
        <v>0</v>
      </c>
      <c r="X147" s="18">
        <f t="shared" si="93"/>
        <v>0</v>
      </c>
      <c r="Y147" s="18">
        <f t="shared" si="93"/>
        <v>0</v>
      </c>
      <c r="Z147" s="18">
        <f t="shared" si="93"/>
        <v>0</v>
      </c>
      <c r="AA147" s="18">
        <f t="shared" si="93"/>
        <v>0</v>
      </c>
      <c r="AB147" s="1" t="s">
        <v>43</v>
      </c>
    </row>
    <row r="148" spans="2:32" x14ac:dyDescent="0.3">
      <c r="B148" s="181"/>
      <c r="C148" s="129" t="s">
        <v>10</v>
      </c>
      <c r="D148" s="114">
        <f>2940/1000</f>
        <v>2.94</v>
      </c>
      <c r="E148" s="114">
        <f>3780/1000</f>
        <v>3.78</v>
      </c>
      <c r="F148" s="114">
        <f>4410/1000</f>
        <v>4.41</v>
      </c>
      <c r="G148" s="114">
        <v>4.2</v>
      </c>
      <c r="H148" s="114">
        <f>4200/1000</f>
        <v>4.2</v>
      </c>
      <c r="I148" s="114">
        <f>2100/1000</f>
        <v>2.1</v>
      </c>
      <c r="J148" s="114">
        <f>2940/1000</f>
        <v>2.94</v>
      </c>
      <c r="K148" s="114">
        <f>3150/1000</f>
        <v>3.15</v>
      </c>
      <c r="L148" s="114">
        <f>4830/1000</f>
        <v>4.83</v>
      </c>
      <c r="M148" s="114">
        <f>5670/1000</f>
        <v>5.67</v>
      </c>
      <c r="N148" s="114">
        <f>3990/1000</f>
        <v>3.99</v>
      </c>
      <c r="O148" s="114">
        <f>5250/1000</f>
        <v>5.25</v>
      </c>
      <c r="P148" s="110">
        <f>3780/1000</f>
        <v>3.78</v>
      </c>
      <c r="Q148" s="110">
        <f>2730/1000</f>
        <v>2.73</v>
      </c>
      <c r="R148" s="110">
        <f>48300/1000</f>
        <v>48.3</v>
      </c>
      <c r="S148" s="110">
        <f>6090/1000</f>
        <v>6.09</v>
      </c>
      <c r="T148" s="110">
        <f>4410/1000</f>
        <v>4.41</v>
      </c>
      <c r="U148" s="110">
        <f>5460/1000</f>
        <v>5.46</v>
      </c>
      <c r="V148" s="110">
        <f>4620/1000</f>
        <v>4.62</v>
      </c>
      <c r="W148" s="110">
        <f>5040/1000</f>
        <v>5.04</v>
      </c>
      <c r="X148" s="110">
        <f>4830/1000</f>
        <v>4.83</v>
      </c>
      <c r="Y148" s="110">
        <f>3380/1000</f>
        <v>3.38</v>
      </c>
      <c r="Z148" s="110">
        <v>0</v>
      </c>
      <c r="AA148" s="110">
        <f>4200/1000</f>
        <v>4.2</v>
      </c>
      <c r="AB148" s="2"/>
    </row>
    <row r="149" spans="2:32" x14ac:dyDescent="0.3">
      <c r="B149" s="181"/>
      <c r="C149" s="129" t="s">
        <v>11</v>
      </c>
      <c r="D149" s="115">
        <f>17850/1000</f>
        <v>17.850000000000001</v>
      </c>
      <c r="E149" s="115">
        <f>19950/1000</f>
        <v>19.95</v>
      </c>
      <c r="F149" s="115">
        <f>21210/1000</f>
        <v>21.21</v>
      </c>
      <c r="G149" s="115">
        <f>24570/1000</f>
        <v>24.57</v>
      </c>
      <c r="H149" s="115">
        <f>21840/1000</f>
        <v>21.84</v>
      </c>
      <c r="I149" s="115">
        <f>16800/1000</f>
        <v>16.8</v>
      </c>
      <c r="J149" s="115">
        <f>17010/1000</f>
        <v>17.010000000000002</v>
      </c>
      <c r="K149" s="115">
        <f>17430/1000</f>
        <v>17.43</v>
      </c>
      <c r="L149" s="115">
        <f>22680/1000</f>
        <v>22.68</v>
      </c>
      <c r="M149" s="115">
        <f>26250/1000</f>
        <v>26.25</v>
      </c>
      <c r="N149" s="115">
        <f>26880/1000</f>
        <v>26.88</v>
      </c>
      <c r="O149" s="115">
        <f>25620/1000</f>
        <v>25.62</v>
      </c>
      <c r="P149" s="111">
        <f>23940/1000</f>
        <v>23.94</v>
      </c>
      <c r="Q149" s="111">
        <f>22680/1000</f>
        <v>22.68</v>
      </c>
      <c r="R149" s="111">
        <f>21630/1000</f>
        <v>21.63</v>
      </c>
      <c r="S149" s="111">
        <f>28880/1000</f>
        <v>28.88</v>
      </c>
      <c r="T149" s="111">
        <f>26040/1000</f>
        <v>26.04</v>
      </c>
      <c r="U149" s="111">
        <f>23310/1000</f>
        <v>23.31</v>
      </c>
      <c r="V149" s="111">
        <f>19530/1000</f>
        <v>19.53</v>
      </c>
      <c r="W149" s="111">
        <f>19740/1000</f>
        <v>19.739999999999998</v>
      </c>
      <c r="X149" s="111">
        <f>24780/1000</f>
        <v>24.78</v>
      </c>
      <c r="Y149" s="111">
        <f>22050/1000</f>
        <v>22.05</v>
      </c>
      <c r="Z149" s="111">
        <v>0</v>
      </c>
      <c r="AA149" s="111">
        <f>20580/1000</f>
        <v>20.58</v>
      </c>
      <c r="AB149" s="2"/>
      <c r="AC149" s="1" t="s">
        <v>45</v>
      </c>
      <c r="AD149" s="1">
        <f>SUM(P148:AA149)/SUM(P140:AA140)</f>
        <v>3.9497716894977171E-2</v>
      </c>
      <c r="AF149" s="1">
        <v>145</v>
      </c>
    </row>
    <row r="150" spans="2:32" x14ac:dyDescent="0.3">
      <c r="B150" s="181"/>
      <c r="C150" s="129" t="s">
        <v>0</v>
      </c>
      <c r="D150" s="19" t="s">
        <v>44</v>
      </c>
      <c r="E150" s="20" t="s">
        <v>44</v>
      </c>
      <c r="F150" s="20" t="s">
        <v>44</v>
      </c>
      <c r="G150" s="20" t="s">
        <v>44</v>
      </c>
      <c r="H150" s="20" t="s">
        <v>44</v>
      </c>
      <c r="I150" s="20" t="s">
        <v>44</v>
      </c>
      <c r="J150" s="19" t="s">
        <v>44</v>
      </c>
      <c r="K150" s="20" t="s">
        <v>44</v>
      </c>
      <c r="L150" s="20" t="s">
        <v>44</v>
      </c>
      <c r="M150" s="20" t="s">
        <v>44</v>
      </c>
      <c r="N150" s="20" t="s">
        <v>44</v>
      </c>
      <c r="O150" s="20" t="s">
        <v>44</v>
      </c>
      <c r="P150" s="20" t="s">
        <v>44</v>
      </c>
      <c r="Q150" s="20" t="s">
        <v>44</v>
      </c>
      <c r="R150" s="20" t="s">
        <v>44</v>
      </c>
      <c r="S150" s="20" t="s">
        <v>44</v>
      </c>
      <c r="T150" s="20" t="s">
        <v>44</v>
      </c>
      <c r="U150" s="20" t="s">
        <v>44</v>
      </c>
      <c r="V150" s="20" t="s">
        <v>44</v>
      </c>
      <c r="W150" s="20" t="s">
        <v>44</v>
      </c>
      <c r="X150" s="20" t="s">
        <v>44</v>
      </c>
      <c r="Y150" s="20" t="s">
        <v>44</v>
      </c>
      <c r="Z150" s="20" t="s">
        <v>44</v>
      </c>
      <c r="AA150" s="20" t="s">
        <v>44</v>
      </c>
      <c r="AB150" s="2"/>
      <c r="AC150" s="1" t="s">
        <v>91</v>
      </c>
      <c r="AD150" s="93">
        <f>SUM(P148:AA148)/SUM(P148:AA149)</f>
        <v>0.26832369942196527</v>
      </c>
      <c r="AF150" s="1">
        <v>17.64</v>
      </c>
    </row>
    <row r="151" spans="2:32" x14ac:dyDescent="0.3">
      <c r="B151" s="181"/>
      <c r="C151" s="107"/>
      <c r="D151" s="107"/>
      <c r="E151" s="107"/>
      <c r="F151" s="107"/>
      <c r="G151" s="107"/>
      <c r="H151" s="107"/>
      <c r="I151" s="107"/>
      <c r="J151" s="107"/>
      <c r="K151" s="107"/>
      <c r="L151" s="107"/>
      <c r="M151" s="107"/>
      <c r="N151" s="107"/>
      <c r="O151" s="107"/>
      <c r="P151" s="107"/>
      <c r="Q151" s="107"/>
      <c r="R151" s="107"/>
      <c r="S151" s="107"/>
      <c r="T151" s="107"/>
      <c r="U151" s="107"/>
      <c r="V151" s="107"/>
      <c r="W151" s="107"/>
      <c r="X151" s="107"/>
      <c r="Y151" s="107"/>
      <c r="Z151" s="107"/>
      <c r="AA151" s="108"/>
      <c r="AD151" s="1">
        <v>0.12392200974878137</v>
      </c>
      <c r="AF151" s="1">
        <f>AF149+AF150</f>
        <v>162.63999999999999</v>
      </c>
    </row>
    <row r="152" spans="2:32" x14ac:dyDescent="0.3">
      <c r="B152" s="181"/>
      <c r="C152" s="129" t="s">
        <v>12</v>
      </c>
      <c r="D152" s="126">
        <f>'SIMULAÇÃO CENÁRIOS'!$D$8</f>
        <v>1</v>
      </c>
      <c r="E152" s="126">
        <f>'SIMULAÇÃO CENÁRIOS'!$D$8</f>
        <v>1</v>
      </c>
      <c r="F152" s="126">
        <f>'SIMULAÇÃO CENÁRIOS'!$D$8</f>
        <v>1</v>
      </c>
      <c r="G152" s="126">
        <f>'SIMULAÇÃO CENÁRIOS'!$D$8</f>
        <v>1</v>
      </c>
      <c r="H152" s="126">
        <f>'SIMULAÇÃO CENÁRIOS'!$D$8</f>
        <v>1</v>
      </c>
      <c r="I152" s="126">
        <f>'SIMULAÇÃO CENÁRIOS'!$D$8</f>
        <v>1</v>
      </c>
      <c r="J152" s="126">
        <f>'SIMULAÇÃO CENÁRIOS'!$D$8</f>
        <v>1</v>
      </c>
      <c r="K152" s="126">
        <f>'SIMULAÇÃO CENÁRIOS'!$D$8</f>
        <v>1</v>
      </c>
      <c r="L152" s="126">
        <f>'SIMULAÇÃO CENÁRIOS'!$D$8</f>
        <v>1</v>
      </c>
      <c r="M152" s="126">
        <f>'SIMULAÇÃO CENÁRIOS'!$D$8</f>
        <v>1</v>
      </c>
      <c r="N152" s="126">
        <f>'SIMULAÇÃO CENÁRIOS'!$D$8</f>
        <v>1</v>
      </c>
      <c r="O152" s="126">
        <f>'SIMULAÇÃO CENÁRIOS'!$D$8</f>
        <v>1</v>
      </c>
      <c r="P152" s="126">
        <f>'SIMULAÇÃO CENÁRIOS'!$D$8</f>
        <v>1</v>
      </c>
      <c r="Q152" s="126">
        <f>'SIMULAÇÃO CENÁRIOS'!$D$8</f>
        <v>1</v>
      </c>
      <c r="R152" s="126">
        <f>'SIMULAÇÃO CENÁRIOS'!$D$8</f>
        <v>1</v>
      </c>
      <c r="S152" s="126">
        <f>'SIMULAÇÃO CENÁRIOS'!$D$8</f>
        <v>1</v>
      </c>
      <c r="T152" s="126">
        <f>'SIMULAÇÃO CENÁRIOS'!$D$8</f>
        <v>1</v>
      </c>
      <c r="U152" s="126">
        <f>'SIMULAÇÃO CENÁRIOS'!$D$8</f>
        <v>1</v>
      </c>
      <c r="V152" s="126">
        <f>'SIMULAÇÃO CENÁRIOS'!$D$8</f>
        <v>1</v>
      </c>
      <c r="W152" s="126">
        <f>'SIMULAÇÃO CENÁRIOS'!$D$8</f>
        <v>1</v>
      </c>
      <c r="X152" s="126">
        <f>'SIMULAÇÃO CENÁRIOS'!$D$8</f>
        <v>1</v>
      </c>
      <c r="Y152" s="126">
        <f>'SIMULAÇÃO CENÁRIOS'!$D$8</f>
        <v>1</v>
      </c>
      <c r="Z152" s="126">
        <f>'SIMULAÇÃO CENÁRIOS'!$D$8</f>
        <v>1</v>
      </c>
      <c r="AA152" s="126">
        <f>'SIMULAÇÃO CENÁRIOS'!$D$8</f>
        <v>1</v>
      </c>
    </row>
    <row r="153" spans="2:32" x14ac:dyDescent="0.3">
      <c r="B153" s="181"/>
      <c r="C153" s="107"/>
      <c r="D153" s="107"/>
      <c r="E153" s="107"/>
      <c r="F153" s="107"/>
      <c r="G153" s="107"/>
      <c r="H153" s="107"/>
      <c r="I153" s="107"/>
      <c r="J153" s="107"/>
      <c r="K153" s="107"/>
      <c r="L153" s="107"/>
      <c r="M153" s="107"/>
      <c r="N153" s="107"/>
      <c r="O153" s="107"/>
      <c r="P153" s="107"/>
      <c r="Q153" s="107"/>
      <c r="R153" s="107"/>
      <c r="S153" s="107"/>
      <c r="T153" s="107"/>
      <c r="U153" s="107"/>
      <c r="V153" s="107"/>
      <c r="W153" s="107"/>
      <c r="X153" s="107"/>
      <c r="Y153" s="107"/>
      <c r="Z153" s="107"/>
      <c r="AA153" s="108"/>
    </row>
    <row r="154" spans="2:32" x14ac:dyDescent="0.3">
      <c r="B154" s="181"/>
      <c r="C154" s="129" t="s">
        <v>13</v>
      </c>
      <c r="D154" s="9" t="s">
        <v>1</v>
      </c>
      <c r="E154" s="10" t="s">
        <v>1</v>
      </c>
      <c r="F154" s="10" t="s">
        <v>1</v>
      </c>
      <c r="G154" s="10" t="s">
        <v>1</v>
      </c>
      <c r="H154" s="10" t="s">
        <v>1</v>
      </c>
      <c r="I154" s="10" t="s">
        <v>1</v>
      </c>
      <c r="J154" s="9" t="s">
        <v>1</v>
      </c>
      <c r="K154" s="10" t="s">
        <v>1</v>
      </c>
      <c r="L154" s="10" t="s">
        <v>1</v>
      </c>
      <c r="M154" s="10" t="s">
        <v>1</v>
      </c>
      <c r="N154" s="10" t="s">
        <v>1</v>
      </c>
      <c r="O154" s="10" t="s">
        <v>1</v>
      </c>
      <c r="P154" s="9" t="s">
        <v>1</v>
      </c>
      <c r="Q154" s="9" t="s">
        <v>1</v>
      </c>
      <c r="R154" s="9" t="s">
        <v>1</v>
      </c>
      <c r="S154" s="9" t="s">
        <v>1</v>
      </c>
      <c r="T154" s="9" t="s">
        <v>1</v>
      </c>
      <c r="U154" s="9" t="s">
        <v>1</v>
      </c>
      <c r="V154" s="9" t="s">
        <v>1</v>
      </c>
      <c r="W154" s="9" t="s">
        <v>1</v>
      </c>
      <c r="X154" s="9" t="s">
        <v>1</v>
      </c>
      <c r="Y154" s="9" t="s">
        <v>1</v>
      </c>
      <c r="Z154" s="9" t="s">
        <v>1</v>
      </c>
      <c r="AA154" s="9" t="s">
        <v>1</v>
      </c>
      <c r="AF154" s="92">
        <f>AF151*1000</f>
        <v>162640</v>
      </c>
    </row>
    <row r="155" spans="2:32" x14ac:dyDescent="0.3">
      <c r="B155" s="181"/>
      <c r="C155" s="129" t="s">
        <v>14</v>
      </c>
      <c r="D155" s="11" t="s">
        <v>42</v>
      </c>
      <c r="E155" s="12" t="s">
        <v>42</v>
      </c>
      <c r="F155" s="12" t="s">
        <v>42</v>
      </c>
      <c r="G155" s="12" t="s">
        <v>42</v>
      </c>
      <c r="H155" s="12" t="s">
        <v>42</v>
      </c>
      <c r="I155" s="12" t="s">
        <v>42</v>
      </c>
      <c r="J155" s="11" t="s">
        <v>42</v>
      </c>
      <c r="K155" s="12" t="s">
        <v>42</v>
      </c>
      <c r="L155" s="12" t="s">
        <v>42</v>
      </c>
      <c r="M155" s="12" t="s">
        <v>42</v>
      </c>
      <c r="N155" s="12" t="s">
        <v>42</v>
      </c>
      <c r="O155" s="12" t="s">
        <v>42</v>
      </c>
      <c r="P155" s="12" t="s">
        <v>42</v>
      </c>
      <c r="Q155" s="12" t="s">
        <v>42</v>
      </c>
      <c r="R155" s="12" t="s">
        <v>42</v>
      </c>
      <c r="S155" s="12" t="s">
        <v>42</v>
      </c>
      <c r="T155" s="12" t="s">
        <v>42</v>
      </c>
      <c r="U155" s="12" t="s">
        <v>42</v>
      </c>
      <c r="V155" s="12" t="s">
        <v>42</v>
      </c>
      <c r="W155" s="12" t="s">
        <v>42</v>
      </c>
      <c r="X155" s="12" t="s">
        <v>42</v>
      </c>
      <c r="Y155" s="12" t="s">
        <v>42</v>
      </c>
      <c r="Z155" s="12" t="s">
        <v>42</v>
      </c>
      <c r="AA155" s="12" t="s">
        <v>42</v>
      </c>
      <c r="AF155" s="92">
        <f>AF154/100</f>
        <v>1626.4</v>
      </c>
    </row>
    <row r="156" spans="2:32" x14ac:dyDescent="0.3">
      <c r="B156" s="181"/>
      <c r="C156" s="129" t="s">
        <v>15</v>
      </c>
      <c r="D156" s="13">
        <v>49.84</v>
      </c>
      <c r="E156" s="14">
        <v>49.84</v>
      </c>
      <c r="F156" s="14">
        <v>49.84</v>
      </c>
      <c r="G156" s="14">
        <v>49.84</v>
      </c>
      <c r="H156" s="14">
        <v>49.84</v>
      </c>
      <c r="I156" s="14">
        <v>49.84</v>
      </c>
      <c r="J156" s="13">
        <v>49.84</v>
      </c>
      <c r="K156" s="14">
        <v>49.84</v>
      </c>
      <c r="L156" s="14">
        <v>49.84</v>
      </c>
      <c r="M156" s="14">
        <v>49.84</v>
      </c>
      <c r="N156" s="14">
        <v>49.84</v>
      </c>
      <c r="O156" s="14">
        <v>49.84</v>
      </c>
      <c r="P156" s="14">
        <v>49.84</v>
      </c>
      <c r="Q156" s="14">
        <v>49.84</v>
      </c>
      <c r="R156" s="14">
        <v>49.84</v>
      </c>
      <c r="S156" s="14">
        <v>49.84</v>
      </c>
      <c r="T156" s="14">
        <v>49.84</v>
      </c>
      <c r="U156" s="14">
        <v>49.84</v>
      </c>
      <c r="V156" s="14">
        <v>49.84</v>
      </c>
      <c r="W156" s="14">
        <v>49.84</v>
      </c>
      <c r="X156" s="14">
        <v>49.84</v>
      </c>
      <c r="Y156" s="14">
        <v>49.84</v>
      </c>
      <c r="Z156" s="14">
        <v>49.84</v>
      </c>
      <c r="AA156" s="14">
        <v>49.84</v>
      </c>
      <c r="AF156" s="1">
        <f>AF155*1.343</f>
        <v>2184.2552000000001</v>
      </c>
    </row>
    <row r="157" spans="2:32" x14ac:dyDescent="0.3">
      <c r="B157" s="181"/>
      <c r="C157" s="129" t="s">
        <v>16</v>
      </c>
      <c r="D157" s="11">
        <v>19.260000000000002</v>
      </c>
      <c r="E157" s="12">
        <v>19.260000000000002</v>
      </c>
      <c r="F157" s="12">
        <v>19.260000000000002</v>
      </c>
      <c r="G157" s="12">
        <v>19.260000000000002</v>
      </c>
      <c r="H157" s="12">
        <v>19.260000000000002</v>
      </c>
      <c r="I157" s="12">
        <v>19.260000000000002</v>
      </c>
      <c r="J157" s="11">
        <v>19.260000000000002</v>
      </c>
      <c r="K157" s="12">
        <v>19.260000000000002</v>
      </c>
      <c r="L157" s="12">
        <v>19.260000000000002</v>
      </c>
      <c r="M157" s="12">
        <v>19.260000000000002</v>
      </c>
      <c r="N157" s="12">
        <v>19.260000000000002</v>
      </c>
      <c r="O157" s="12">
        <v>19.260000000000002</v>
      </c>
      <c r="P157" s="12">
        <v>19.260000000000002</v>
      </c>
      <c r="Q157" s="12">
        <v>19.260000000000002</v>
      </c>
      <c r="R157" s="12">
        <v>19.260000000000002</v>
      </c>
      <c r="S157" s="12">
        <v>19.260000000000002</v>
      </c>
      <c r="T157" s="12">
        <v>19.260000000000002</v>
      </c>
      <c r="U157" s="12">
        <v>19.260000000000002</v>
      </c>
      <c r="V157" s="12">
        <v>19.260000000000002</v>
      </c>
      <c r="W157" s="12">
        <v>19.260000000000002</v>
      </c>
      <c r="X157" s="12">
        <v>19.260000000000002</v>
      </c>
      <c r="Y157" s="12">
        <v>19.260000000000002</v>
      </c>
      <c r="Z157" s="12">
        <v>19.260000000000002</v>
      </c>
      <c r="AA157" s="12">
        <v>19.260000000000002</v>
      </c>
    </row>
    <row r="158" spans="2:32" x14ac:dyDescent="0.3">
      <c r="B158" s="181"/>
      <c r="C158" s="129" t="s">
        <v>17</v>
      </c>
      <c r="D158" s="15">
        <v>1292.96</v>
      </c>
      <c r="E158" s="16">
        <v>1292.96</v>
      </c>
      <c r="F158" s="16">
        <v>1292.96</v>
      </c>
      <c r="G158" s="16">
        <v>1292.96</v>
      </c>
      <c r="H158" s="16">
        <v>1292.96</v>
      </c>
      <c r="I158" s="16">
        <v>1292.96</v>
      </c>
      <c r="J158" s="15">
        <v>1292.96</v>
      </c>
      <c r="K158" s="16">
        <v>1292.96</v>
      </c>
      <c r="L158" s="16">
        <v>1292.96</v>
      </c>
      <c r="M158" s="16">
        <v>1292.96</v>
      </c>
      <c r="N158" s="16">
        <v>1292.96</v>
      </c>
      <c r="O158" s="16">
        <v>1292.96</v>
      </c>
      <c r="P158" s="16">
        <v>1292.96</v>
      </c>
      <c r="Q158" s="16">
        <v>1292.96</v>
      </c>
      <c r="R158" s="16">
        <v>1292.96</v>
      </c>
      <c r="S158" s="16">
        <v>1292.96</v>
      </c>
      <c r="T158" s="16">
        <v>1292.96</v>
      </c>
      <c r="U158" s="16">
        <v>1292.96</v>
      </c>
      <c r="V158" s="16">
        <v>1292.96</v>
      </c>
      <c r="W158" s="16">
        <v>1292.96</v>
      </c>
      <c r="X158" s="16">
        <v>1292.96</v>
      </c>
      <c r="Y158" s="16">
        <v>1292.96</v>
      </c>
      <c r="Z158" s="16">
        <v>1292.96</v>
      </c>
      <c r="AA158" s="16">
        <v>1292.96</v>
      </c>
    </row>
    <row r="159" spans="2:32" x14ac:dyDescent="0.3">
      <c r="B159" s="181"/>
      <c r="C159" s="129" t="s">
        <v>18</v>
      </c>
      <c r="D159" s="17">
        <v>83.39</v>
      </c>
      <c r="E159" s="18">
        <v>83.39</v>
      </c>
      <c r="F159" s="18">
        <v>83.39</v>
      </c>
      <c r="G159" s="18">
        <v>83.39</v>
      </c>
      <c r="H159" s="18">
        <v>83.39</v>
      </c>
      <c r="I159" s="18">
        <v>83.39</v>
      </c>
      <c r="J159" s="17">
        <v>83.39</v>
      </c>
      <c r="K159" s="18">
        <v>83.39</v>
      </c>
      <c r="L159" s="18">
        <v>83.39</v>
      </c>
      <c r="M159" s="18">
        <v>83.39</v>
      </c>
      <c r="N159" s="18">
        <v>83.39</v>
      </c>
      <c r="O159" s="18">
        <v>83.39</v>
      </c>
      <c r="P159" s="18">
        <v>83.39</v>
      </c>
      <c r="Q159" s="18">
        <v>83.39</v>
      </c>
      <c r="R159" s="18">
        <v>83.39</v>
      </c>
      <c r="S159" s="18">
        <v>83.39</v>
      </c>
      <c r="T159" s="18">
        <v>83.39</v>
      </c>
      <c r="U159" s="18">
        <v>83.39</v>
      </c>
      <c r="V159" s="18">
        <v>83.39</v>
      </c>
      <c r="W159" s="18">
        <v>83.39</v>
      </c>
      <c r="X159" s="18">
        <v>83.39</v>
      </c>
      <c r="Y159" s="18">
        <v>83.39</v>
      </c>
      <c r="Z159" s="18">
        <v>83.39</v>
      </c>
      <c r="AA159" s="18">
        <v>83.39</v>
      </c>
    </row>
    <row r="160" spans="2:32" x14ac:dyDescent="0.3">
      <c r="B160" s="181"/>
      <c r="C160" s="129" t="s">
        <v>19</v>
      </c>
      <c r="D160" s="15">
        <v>420.68</v>
      </c>
      <c r="E160" s="16">
        <v>420.68</v>
      </c>
      <c r="F160" s="16">
        <v>420.68</v>
      </c>
      <c r="G160" s="16">
        <v>420.68</v>
      </c>
      <c r="H160" s="16">
        <v>420.68</v>
      </c>
      <c r="I160" s="16">
        <v>420.68</v>
      </c>
      <c r="J160" s="15">
        <v>420.68</v>
      </c>
      <c r="K160" s="16">
        <v>420.68</v>
      </c>
      <c r="L160" s="16">
        <v>420.68</v>
      </c>
      <c r="M160" s="16">
        <v>420.68</v>
      </c>
      <c r="N160" s="16">
        <v>420.68</v>
      </c>
      <c r="O160" s="16">
        <v>420.68</v>
      </c>
      <c r="P160" s="16">
        <v>420.68</v>
      </c>
      <c r="Q160" s="16">
        <v>420.68</v>
      </c>
      <c r="R160" s="16">
        <v>420.68</v>
      </c>
      <c r="S160" s="16">
        <v>420.68</v>
      </c>
      <c r="T160" s="16">
        <v>420.68</v>
      </c>
      <c r="U160" s="16">
        <v>420.68</v>
      </c>
      <c r="V160" s="16">
        <v>420.68</v>
      </c>
      <c r="W160" s="16">
        <v>420.68</v>
      </c>
      <c r="X160" s="16">
        <v>420.68</v>
      </c>
      <c r="Y160" s="16">
        <v>420.68</v>
      </c>
      <c r="Z160" s="16">
        <v>420.68</v>
      </c>
      <c r="AA160" s="16">
        <v>420.68</v>
      </c>
    </row>
    <row r="161" spans="2:27" x14ac:dyDescent="0.3">
      <c r="B161" s="181"/>
      <c r="C161" s="130" t="s">
        <v>20</v>
      </c>
      <c r="D161" s="21">
        <v>251.44</v>
      </c>
      <c r="E161" s="22">
        <v>251.44</v>
      </c>
      <c r="F161" s="22">
        <v>251.44</v>
      </c>
      <c r="G161" s="22">
        <v>251.44</v>
      </c>
      <c r="H161" s="22">
        <v>251.44</v>
      </c>
      <c r="I161" s="22">
        <v>251.44</v>
      </c>
      <c r="J161" s="21">
        <v>251.44</v>
      </c>
      <c r="K161" s="22">
        <v>251.44</v>
      </c>
      <c r="L161" s="22">
        <v>251.44</v>
      </c>
      <c r="M161" s="22">
        <v>251.44</v>
      </c>
      <c r="N161" s="22">
        <v>251.44</v>
      </c>
      <c r="O161" s="22">
        <v>251.44</v>
      </c>
      <c r="P161" s="22">
        <v>251.44</v>
      </c>
      <c r="Q161" s="22">
        <v>251.44</v>
      </c>
      <c r="R161" s="22">
        <v>251.44</v>
      </c>
      <c r="S161" s="22">
        <v>251.44</v>
      </c>
      <c r="T161" s="22">
        <v>251.44</v>
      </c>
      <c r="U161" s="22">
        <v>251.44</v>
      </c>
      <c r="V161" s="22">
        <v>251.44</v>
      </c>
      <c r="W161" s="22">
        <v>251.44</v>
      </c>
      <c r="X161" s="22">
        <v>251.44</v>
      </c>
      <c r="Y161" s="22">
        <v>251.44</v>
      </c>
      <c r="Z161" s="22">
        <v>251.44</v>
      </c>
      <c r="AA161" s="22">
        <v>251.44</v>
      </c>
    </row>
    <row r="162" spans="2:27" x14ac:dyDescent="0.3">
      <c r="B162" s="181"/>
      <c r="C162" s="107"/>
      <c r="D162" s="107"/>
      <c r="E162" s="107"/>
      <c r="F162" s="107"/>
      <c r="G162" s="107"/>
      <c r="H162" s="107"/>
      <c r="I162" s="107"/>
      <c r="J162" s="107"/>
      <c r="K162" s="107"/>
      <c r="L162" s="107"/>
      <c r="M162" s="107"/>
      <c r="N162" s="107"/>
      <c r="O162" s="107"/>
      <c r="P162" s="107"/>
      <c r="Q162" s="107"/>
      <c r="R162" s="107"/>
      <c r="S162" s="107"/>
      <c r="T162" s="107"/>
      <c r="U162" s="107"/>
      <c r="V162" s="107"/>
      <c r="W162" s="107"/>
      <c r="X162" s="107"/>
      <c r="Y162" s="107"/>
      <c r="Z162" s="107"/>
      <c r="AA162" s="23"/>
    </row>
    <row r="163" spans="2:27" x14ac:dyDescent="0.3">
      <c r="B163" s="181"/>
      <c r="C163" s="129" t="s">
        <v>21</v>
      </c>
      <c r="D163" s="24">
        <v>0.27</v>
      </c>
      <c r="E163" s="24">
        <v>0.27</v>
      </c>
      <c r="F163" s="24">
        <v>0.27</v>
      </c>
      <c r="G163" s="24">
        <v>0.27</v>
      </c>
      <c r="H163" s="24">
        <v>0.27</v>
      </c>
      <c r="I163" s="24">
        <v>0.27</v>
      </c>
      <c r="J163" s="24">
        <v>0.27</v>
      </c>
      <c r="K163" s="24">
        <v>0.27</v>
      </c>
      <c r="L163" s="24">
        <v>0.27</v>
      </c>
      <c r="M163" s="24">
        <v>0.27</v>
      </c>
      <c r="N163" s="24">
        <v>0.27</v>
      </c>
      <c r="O163" s="24">
        <v>0.27</v>
      </c>
      <c r="P163" s="24">
        <v>0.27</v>
      </c>
      <c r="Q163" s="24">
        <v>0.27</v>
      </c>
      <c r="R163" s="24">
        <v>0.27</v>
      </c>
      <c r="S163" s="24">
        <v>0.27</v>
      </c>
      <c r="T163" s="24">
        <v>0.27</v>
      </c>
      <c r="U163" s="24">
        <v>0.27</v>
      </c>
      <c r="V163" s="24">
        <v>0.27</v>
      </c>
      <c r="W163" s="24">
        <v>0.27</v>
      </c>
      <c r="X163" s="24">
        <v>0.27</v>
      </c>
      <c r="Y163" s="24">
        <v>0.27</v>
      </c>
      <c r="Z163" s="24">
        <v>0.27</v>
      </c>
      <c r="AA163" s="24">
        <v>0.27</v>
      </c>
    </row>
    <row r="164" spans="2:27" x14ac:dyDescent="0.3">
      <c r="B164" s="181"/>
      <c r="C164" s="129" t="s">
        <v>22</v>
      </c>
      <c r="D164" s="25">
        <v>0.05</v>
      </c>
      <c r="E164" s="26">
        <v>0.05</v>
      </c>
      <c r="F164" s="26">
        <v>0.05</v>
      </c>
      <c r="G164" s="26">
        <v>0.05</v>
      </c>
      <c r="H164" s="26">
        <v>0.05</v>
      </c>
      <c r="I164" s="26">
        <v>0.05</v>
      </c>
      <c r="J164" s="25">
        <v>0.05</v>
      </c>
      <c r="K164" s="26">
        <v>0.05</v>
      </c>
      <c r="L164" s="26">
        <v>0.05</v>
      </c>
      <c r="M164" s="26">
        <v>0.05</v>
      </c>
      <c r="N164" s="26">
        <v>0.05</v>
      </c>
      <c r="O164" s="26">
        <v>0.05</v>
      </c>
      <c r="P164" s="26">
        <v>0.05</v>
      </c>
      <c r="Q164" s="26">
        <v>0.05</v>
      </c>
      <c r="R164" s="26">
        <v>0.05</v>
      </c>
      <c r="S164" s="26">
        <v>0.05</v>
      </c>
      <c r="T164" s="26">
        <v>0.05</v>
      </c>
      <c r="U164" s="26">
        <v>0.05</v>
      </c>
      <c r="V164" s="26">
        <v>0.05</v>
      </c>
      <c r="W164" s="26">
        <v>0.05</v>
      </c>
      <c r="X164" s="26">
        <v>0.05</v>
      </c>
      <c r="Y164" s="26">
        <v>0.05</v>
      </c>
      <c r="Z164" s="26">
        <v>0.05</v>
      </c>
      <c r="AA164" s="26">
        <v>0.05</v>
      </c>
    </row>
    <row r="165" spans="2:27" x14ac:dyDescent="0.3">
      <c r="B165" s="181"/>
      <c r="C165" s="107"/>
      <c r="D165" s="107"/>
      <c r="E165" s="107"/>
      <c r="F165" s="107"/>
      <c r="G165" s="107"/>
      <c r="H165" s="107"/>
      <c r="I165" s="107"/>
      <c r="J165" s="107"/>
      <c r="K165" s="107"/>
      <c r="L165" s="107"/>
      <c r="M165" s="107"/>
      <c r="N165" s="107"/>
      <c r="O165" s="107"/>
      <c r="P165" s="107"/>
      <c r="Q165" s="107"/>
      <c r="R165" s="107"/>
      <c r="S165" s="107"/>
      <c r="T165" s="107"/>
      <c r="U165" s="107"/>
      <c r="V165" s="107"/>
      <c r="W165" s="107"/>
      <c r="X165" s="107"/>
      <c r="Y165" s="107"/>
      <c r="Z165" s="107"/>
      <c r="AA165" s="23"/>
    </row>
    <row r="166" spans="2:27" x14ac:dyDescent="0.3">
      <c r="B166" s="181"/>
      <c r="C166" s="131" t="s">
        <v>23</v>
      </c>
      <c r="D166" s="27">
        <f>IF(D155="Azul",D144*D156*(1-D152),0)</f>
        <v>0</v>
      </c>
      <c r="E166" s="28">
        <f t="shared" ref="E166:O166" si="94">IF(E155="Azul",E144*E156*(1-E152),0)</f>
        <v>0</v>
      </c>
      <c r="F166" s="28">
        <f t="shared" si="94"/>
        <v>0</v>
      </c>
      <c r="G166" s="28">
        <f t="shared" si="94"/>
        <v>0</v>
      </c>
      <c r="H166" s="28">
        <f t="shared" si="94"/>
        <v>0</v>
      </c>
      <c r="I166" s="28">
        <f t="shared" si="94"/>
        <v>0</v>
      </c>
      <c r="J166" s="27">
        <f t="shared" si="94"/>
        <v>0</v>
      </c>
      <c r="K166" s="28">
        <f t="shared" si="94"/>
        <v>0</v>
      </c>
      <c r="L166" s="28">
        <f t="shared" si="94"/>
        <v>0</v>
      </c>
      <c r="M166" s="28">
        <f t="shared" si="94"/>
        <v>0</v>
      </c>
      <c r="N166" s="28">
        <f t="shared" si="94"/>
        <v>0</v>
      </c>
      <c r="O166" s="28">
        <f t="shared" si="94"/>
        <v>0</v>
      </c>
      <c r="P166" s="27">
        <f>IF(P155="Azul",P144*P156*(1-P152),0)</f>
        <v>0</v>
      </c>
      <c r="Q166" s="28">
        <f t="shared" ref="Q166:AA166" si="95">IF(Q155="Azul",Q144*Q156*(1-Q152),0)</f>
        <v>0</v>
      </c>
      <c r="R166" s="28">
        <f t="shared" si="95"/>
        <v>0</v>
      </c>
      <c r="S166" s="28">
        <f t="shared" si="95"/>
        <v>0</v>
      </c>
      <c r="T166" s="28">
        <f t="shared" si="95"/>
        <v>0</v>
      </c>
      <c r="U166" s="28">
        <f t="shared" si="95"/>
        <v>0</v>
      </c>
      <c r="V166" s="28">
        <f t="shared" si="95"/>
        <v>0</v>
      </c>
      <c r="W166" s="28">
        <f t="shared" si="95"/>
        <v>0</v>
      </c>
      <c r="X166" s="28">
        <f t="shared" si="95"/>
        <v>0</v>
      </c>
      <c r="Y166" s="28">
        <f t="shared" si="95"/>
        <v>0</v>
      </c>
      <c r="Z166" s="28">
        <f t="shared" si="95"/>
        <v>0</v>
      </c>
      <c r="AA166" s="28">
        <f t="shared" si="95"/>
        <v>0</v>
      </c>
    </row>
    <row r="167" spans="2:27" x14ac:dyDescent="0.3">
      <c r="B167" s="181"/>
      <c r="C167" s="131" t="s">
        <v>24</v>
      </c>
      <c r="D167" s="29">
        <f>D146*D156*2</f>
        <v>0</v>
      </c>
      <c r="E167" s="30">
        <f t="shared" ref="E167:O167" si="96">E146*E156*2</f>
        <v>0</v>
      </c>
      <c r="F167" s="30">
        <f t="shared" si="96"/>
        <v>0</v>
      </c>
      <c r="G167" s="30">
        <f t="shared" si="96"/>
        <v>0</v>
      </c>
      <c r="H167" s="30">
        <f t="shared" si="96"/>
        <v>0</v>
      </c>
      <c r="I167" s="30">
        <f t="shared" si="96"/>
        <v>0</v>
      </c>
      <c r="J167" s="29">
        <f t="shared" si="96"/>
        <v>0</v>
      </c>
      <c r="K167" s="30">
        <f t="shared" si="96"/>
        <v>0</v>
      </c>
      <c r="L167" s="30">
        <f t="shared" si="96"/>
        <v>0</v>
      </c>
      <c r="M167" s="30">
        <f t="shared" si="96"/>
        <v>0</v>
      </c>
      <c r="N167" s="30">
        <f t="shared" si="96"/>
        <v>0</v>
      </c>
      <c r="O167" s="30">
        <f t="shared" si="96"/>
        <v>0</v>
      </c>
      <c r="P167" s="29">
        <f>P146*P156*2</f>
        <v>0</v>
      </c>
      <c r="Q167" s="30">
        <f t="shared" ref="Q167:AA167" si="97">Q146*Q156*2</f>
        <v>0</v>
      </c>
      <c r="R167" s="30">
        <f t="shared" si="97"/>
        <v>0</v>
      </c>
      <c r="S167" s="30">
        <f t="shared" si="97"/>
        <v>0</v>
      </c>
      <c r="T167" s="30">
        <f t="shared" si="97"/>
        <v>0</v>
      </c>
      <c r="U167" s="30">
        <f t="shared" si="97"/>
        <v>0</v>
      </c>
      <c r="V167" s="30">
        <f t="shared" si="97"/>
        <v>0</v>
      </c>
      <c r="W167" s="30">
        <f t="shared" si="97"/>
        <v>0</v>
      </c>
      <c r="X167" s="30">
        <f t="shared" si="97"/>
        <v>0</v>
      </c>
      <c r="Y167" s="30">
        <f t="shared" si="97"/>
        <v>0</v>
      </c>
      <c r="Z167" s="30">
        <f t="shared" si="97"/>
        <v>0</v>
      </c>
      <c r="AA167" s="30">
        <f t="shared" si="97"/>
        <v>0</v>
      </c>
    </row>
    <row r="168" spans="2:27" x14ac:dyDescent="0.3">
      <c r="B168" s="181"/>
      <c r="C168" s="131" t="s">
        <v>25</v>
      </c>
      <c r="D168" s="31">
        <f>D145*D157*(1-D152)</f>
        <v>0</v>
      </c>
      <c r="E168" s="32">
        <f t="shared" ref="E168:O168" si="98">E145*E157*(1-E152)</f>
        <v>0</v>
      </c>
      <c r="F168" s="32">
        <f t="shared" si="98"/>
        <v>0</v>
      </c>
      <c r="G168" s="32">
        <f t="shared" si="98"/>
        <v>0</v>
      </c>
      <c r="H168" s="32">
        <f t="shared" si="98"/>
        <v>0</v>
      </c>
      <c r="I168" s="32">
        <f t="shared" si="98"/>
        <v>0</v>
      </c>
      <c r="J168" s="31">
        <f t="shared" si="98"/>
        <v>0</v>
      </c>
      <c r="K168" s="32">
        <f t="shared" si="98"/>
        <v>0</v>
      </c>
      <c r="L168" s="32">
        <f t="shared" si="98"/>
        <v>0</v>
      </c>
      <c r="M168" s="32">
        <f t="shared" si="98"/>
        <v>0</v>
      </c>
      <c r="N168" s="32">
        <f t="shared" si="98"/>
        <v>0</v>
      </c>
      <c r="O168" s="32">
        <f t="shared" si="98"/>
        <v>0</v>
      </c>
      <c r="P168" s="31">
        <f>P145*P157*(1-P152)</f>
        <v>0</v>
      </c>
      <c r="Q168" s="32">
        <f t="shared" ref="Q168:AA168" si="99">Q145*Q157*(1-Q152)</f>
        <v>0</v>
      </c>
      <c r="R168" s="32">
        <f t="shared" si="99"/>
        <v>0</v>
      </c>
      <c r="S168" s="32">
        <f t="shared" si="99"/>
        <v>0</v>
      </c>
      <c r="T168" s="32">
        <f t="shared" si="99"/>
        <v>0</v>
      </c>
      <c r="U168" s="32">
        <f t="shared" si="99"/>
        <v>0</v>
      </c>
      <c r="V168" s="32">
        <f t="shared" si="99"/>
        <v>0</v>
      </c>
      <c r="W168" s="32">
        <f t="shared" si="99"/>
        <v>0</v>
      </c>
      <c r="X168" s="32">
        <f t="shared" si="99"/>
        <v>0</v>
      </c>
      <c r="Y168" s="32">
        <f t="shared" si="99"/>
        <v>0</v>
      </c>
      <c r="Z168" s="32">
        <f t="shared" si="99"/>
        <v>0</v>
      </c>
      <c r="AA168" s="32">
        <f t="shared" si="99"/>
        <v>0</v>
      </c>
    </row>
    <row r="169" spans="2:27" x14ac:dyDescent="0.3">
      <c r="B169" s="181"/>
      <c r="C169" s="131" t="s">
        <v>26</v>
      </c>
      <c r="D169" s="29">
        <f>D147*D157*2</f>
        <v>0</v>
      </c>
      <c r="E169" s="30">
        <f t="shared" ref="E169:O169" si="100">E147*E157*2</f>
        <v>0</v>
      </c>
      <c r="F169" s="30">
        <f t="shared" si="100"/>
        <v>0</v>
      </c>
      <c r="G169" s="30">
        <f t="shared" si="100"/>
        <v>0</v>
      </c>
      <c r="H169" s="30">
        <f t="shared" si="100"/>
        <v>0</v>
      </c>
      <c r="I169" s="30">
        <f t="shared" si="100"/>
        <v>0</v>
      </c>
      <c r="J169" s="29">
        <f t="shared" si="100"/>
        <v>0</v>
      </c>
      <c r="K169" s="30">
        <f t="shared" si="100"/>
        <v>0</v>
      </c>
      <c r="L169" s="30">
        <f t="shared" si="100"/>
        <v>0</v>
      </c>
      <c r="M169" s="30">
        <f t="shared" si="100"/>
        <v>0</v>
      </c>
      <c r="N169" s="30">
        <f t="shared" si="100"/>
        <v>0</v>
      </c>
      <c r="O169" s="30">
        <f t="shared" si="100"/>
        <v>0</v>
      </c>
      <c r="P169" s="29">
        <f>P147*P157*2</f>
        <v>0</v>
      </c>
      <c r="Q169" s="30">
        <f t="shared" ref="Q169:AA169" si="101">Q147*Q157*2</f>
        <v>0</v>
      </c>
      <c r="R169" s="30">
        <f t="shared" si="101"/>
        <v>0</v>
      </c>
      <c r="S169" s="30">
        <f t="shared" si="101"/>
        <v>0</v>
      </c>
      <c r="T169" s="30">
        <f t="shared" si="101"/>
        <v>0</v>
      </c>
      <c r="U169" s="30">
        <f t="shared" si="101"/>
        <v>0</v>
      </c>
      <c r="V169" s="30">
        <f t="shared" si="101"/>
        <v>0</v>
      </c>
      <c r="W169" s="30">
        <f t="shared" si="101"/>
        <v>0</v>
      </c>
      <c r="X169" s="30">
        <f t="shared" si="101"/>
        <v>0</v>
      </c>
      <c r="Y169" s="30">
        <f t="shared" si="101"/>
        <v>0</v>
      </c>
      <c r="Z169" s="30">
        <f t="shared" si="101"/>
        <v>0</v>
      </c>
      <c r="AA169" s="30">
        <f t="shared" si="101"/>
        <v>0</v>
      </c>
    </row>
    <row r="170" spans="2:27" x14ac:dyDescent="0.3">
      <c r="B170" s="181"/>
      <c r="C170" s="131" t="s">
        <v>27</v>
      </c>
      <c r="D170" s="31">
        <f>IF(D155="Azul",D148*D159,D148*((D158-D159)*(1-D152)+D159))</f>
        <v>245.16659999999999</v>
      </c>
      <c r="E170" s="32">
        <f t="shared" ref="E170:O170" si="102">IF(E155="Azul",E148*E159,E148*((E158-E159)*(1-E152)+E159))</f>
        <v>315.21420000000001</v>
      </c>
      <c r="F170" s="32">
        <f t="shared" si="102"/>
        <v>367.74990000000003</v>
      </c>
      <c r="G170" s="32">
        <f t="shared" si="102"/>
        <v>350.238</v>
      </c>
      <c r="H170" s="32">
        <f t="shared" si="102"/>
        <v>350.238</v>
      </c>
      <c r="I170" s="32">
        <f t="shared" si="102"/>
        <v>175.119</v>
      </c>
      <c r="J170" s="31">
        <f t="shared" si="102"/>
        <v>245.16659999999999</v>
      </c>
      <c r="K170" s="32">
        <f t="shared" si="102"/>
        <v>262.67849999999999</v>
      </c>
      <c r="L170" s="32">
        <f t="shared" si="102"/>
        <v>402.77370000000002</v>
      </c>
      <c r="M170" s="32">
        <f t="shared" si="102"/>
        <v>472.82130000000001</v>
      </c>
      <c r="N170" s="32">
        <f t="shared" si="102"/>
        <v>332.72610000000003</v>
      </c>
      <c r="O170" s="32">
        <f t="shared" si="102"/>
        <v>437.79750000000001</v>
      </c>
      <c r="P170" s="31">
        <f>IF(P155="Azul",P148*P159,P148*((P158-P159)*(1-P152)+P159))</f>
        <v>315.21420000000001</v>
      </c>
      <c r="Q170" s="32">
        <f t="shared" ref="Q170:AA170" si="103">IF(Q155="Azul",Q148*Q159,Q148*((Q158-Q159)*(1-Q152)+Q159))</f>
        <v>227.65469999999999</v>
      </c>
      <c r="R170" s="32">
        <f t="shared" si="103"/>
        <v>4027.7369999999996</v>
      </c>
      <c r="S170" s="32">
        <f t="shared" si="103"/>
        <v>507.8451</v>
      </c>
      <c r="T170" s="32">
        <f t="shared" si="103"/>
        <v>367.74990000000003</v>
      </c>
      <c r="U170" s="32">
        <f t="shared" si="103"/>
        <v>455.30939999999998</v>
      </c>
      <c r="V170" s="32">
        <f t="shared" si="103"/>
        <v>385.26179999999999</v>
      </c>
      <c r="W170" s="32">
        <f t="shared" si="103"/>
        <v>420.28559999999999</v>
      </c>
      <c r="X170" s="32">
        <f t="shared" si="103"/>
        <v>402.77370000000002</v>
      </c>
      <c r="Y170" s="32">
        <f t="shared" si="103"/>
        <v>281.85820000000001</v>
      </c>
      <c r="Z170" s="32">
        <f t="shared" si="103"/>
        <v>0</v>
      </c>
      <c r="AA170" s="32">
        <f t="shared" si="103"/>
        <v>350.238</v>
      </c>
    </row>
    <row r="171" spans="2:27" x14ac:dyDescent="0.3">
      <c r="B171" s="181"/>
      <c r="C171" s="132" t="s">
        <v>28</v>
      </c>
      <c r="D171" s="33">
        <f>D149*D159</f>
        <v>1488.5115000000001</v>
      </c>
      <c r="E171" s="34">
        <f t="shared" ref="E171:O171" si="104">E149*E159</f>
        <v>1663.6305</v>
      </c>
      <c r="F171" s="34">
        <f t="shared" si="104"/>
        <v>1768.7019</v>
      </c>
      <c r="G171" s="34">
        <f t="shared" si="104"/>
        <v>2048.8923</v>
      </c>
      <c r="H171" s="34">
        <f t="shared" si="104"/>
        <v>1821.2375999999999</v>
      </c>
      <c r="I171" s="34">
        <f t="shared" si="104"/>
        <v>1400.952</v>
      </c>
      <c r="J171" s="33">
        <f t="shared" si="104"/>
        <v>1418.4639000000002</v>
      </c>
      <c r="K171" s="34">
        <f t="shared" si="104"/>
        <v>1453.4876999999999</v>
      </c>
      <c r="L171" s="34">
        <f t="shared" si="104"/>
        <v>1891.2852</v>
      </c>
      <c r="M171" s="34">
        <f t="shared" si="104"/>
        <v>2188.9875000000002</v>
      </c>
      <c r="N171" s="34">
        <f t="shared" si="104"/>
        <v>2241.5232000000001</v>
      </c>
      <c r="O171" s="34">
        <f t="shared" si="104"/>
        <v>2136.4518000000003</v>
      </c>
      <c r="P171" s="33">
        <f>P149*P159</f>
        <v>1996.3566000000001</v>
      </c>
      <c r="Q171" s="34">
        <f t="shared" ref="Q171:AA171" si="105">Q149*Q159</f>
        <v>1891.2852</v>
      </c>
      <c r="R171" s="34">
        <f t="shared" si="105"/>
        <v>1803.7257</v>
      </c>
      <c r="S171" s="34">
        <f t="shared" si="105"/>
        <v>2408.3031999999998</v>
      </c>
      <c r="T171" s="34">
        <f t="shared" si="105"/>
        <v>2171.4755999999998</v>
      </c>
      <c r="U171" s="34">
        <f t="shared" si="105"/>
        <v>1943.8208999999999</v>
      </c>
      <c r="V171" s="34">
        <f t="shared" si="105"/>
        <v>1628.6067</v>
      </c>
      <c r="W171" s="34">
        <f t="shared" si="105"/>
        <v>1646.1185999999998</v>
      </c>
      <c r="X171" s="34">
        <f t="shared" si="105"/>
        <v>2066.4041999999999</v>
      </c>
      <c r="Y171" s="34">
        <f t="shared" si="105"/>
        <v>1838.7495000000001</v>
      </c>
      <c r="Z171" s="34">
        <f t="shared" si="105"/>
        <v>0</v>
      </c>
      <c r="AA171" s="34">
        <f t="shared" si="105"/>
        <v>1716.1661999999999</v>
      </c>
    </row>
    <row r="172" spans="2:27" x14ac:dyDescent="0.3">
      <c r="B172" s="181"/>
      <c r="C172" s="131" t="s">
        <v>29</v>
      </c>
      <c r="D172" s="27">
        <f>SUM(D166:D171)</f>
        <v>1733.6781000000001</v>
      </c>
      <c r="E172" s="28">
        <f>SUM(E166:E171)</f>
        <v>1978.8447000000001</v>
      </c>
      <c r="F172" s="28">
        <f>SUM(F166:F171)</f>
        <v>2136.4517999999998</v>
      </c>
      <c r="G172" s="28">
        <f t="shared" ref="G172:O172" si="106">SUM(G166:G171)</f>
        <v>2399.1302999999998</v>
      </c>
      <c r="H172" s="28">
        <f t="shared" si="106"/>
        <v>2171.4755999999998</v>
      </c>
      <c r="I172" s="28">
        <f t="shared" si="106"/>
        <v>1576.0709999999999</v>
      </c>
      <c r="J172" s="27">
        <f t="shared" si="106"/>
        <v>1663.6305000000002</v>
      </c>
      <c r="K172" s="28">
        <f t="shared" si="106"/>
        <v>1716.1661999999999</v>
      </c>
      <c r="L172" s="28">
        <f t="shared" si="106"/>
        <v>2294.0589</v>
      </c>
      <c r="M172" s="28">
        <f t="shared" si="106"/>
        <v>2661.8088000000002</v>
      </c>
      <c r="N172" s="28">
        <f t="shared" si="106"/>
        <v>2574.2492999999999</v>
      </c>
      <c r="O172" s="28">
        <f t="shared" si="106"/>
        <v>2574.2493000000004</v>
      </c>
      <c r="P172" s="27">
        <f>SUM(P166:P171)</f>
        <v>2311.5708</v>
      </c>
      <c r="Q172" s="28">
        <f t="shared" ref="Q172:AA172" si="107">SUM(Q166:Q171)</f>
        <v>2118.9398999999999</v>
      </c>
      <c r="R172" s="28">
        <f t="shared" si="107"/>
        <v>5831.4627</v>
      </c>
      <c r="S172" s="28">
        <f t="shared" si="107"/>
        <v>2916.1482999999998</v>
      </c>
      <c r="T172" s="28">
        <f t="shared" si="107"/>
        <v>2539.2254999999996</v>
      </c>
      <c r="U172" s="28">
        <f t="shared" si="107"/>
        <v>2399.1302999999998</v>
      </c>
      <c r="V172" s="28">
        <f t="shared" si="107"/>
        <v>2013.8685</v>
      </c>
      <c r="W172" s="28">
        <f t="shared" si="107"/>
        <v>2066.4041999999999</v>
      </c>
      <c r="X172" s="28">
        <f t="shared" si="107"/>
        <v>2469.1779000000001</v>
      </c>
      <c r="Y172" s="28">
        <f t="shared" si="107"/>
        <v>2120.6077</v>
      </c>
      <c r="Z172" s="28">
        <f t="shared" si="107"/>
        <v>0</v>
      </c>
      <c r="AA172" s="28">
        <f t="shared" si="107"/>
        <v>2066.4041999999999</v>
      </c>
    </row>
    <row r="173" spans="2:27" x14ac:dyDescent="0.3">
      <c r="B173" s="181"/>
      <c r="C173" s="131" t="s">
        <v>30</v>
      </c>
      <c r="D173" s="35">
        <f>D172/(1-SUM(D163:D164))*SUM(D163:D164)+((D175+D176+D177)/(1-SUM(D163:D164)))*SUM(D163:D164)</f>
        <v>4664.5712470588242</v>
      </c>
      <c r="E173" s="36">
        <f t="shared" ref="E173:AA173" si="108">E172/(1-SUM(E163:E164))*SUM(E163:E164)+((E175+E176+E177)/(1-SUM(E163:E164)))*SUM(E163:E164)</f>
        <v>5258.0796705882358</v>
      </c>
      <c r="F173" s="36">
        <f t="shared" si="108"/>
        <v>5690.8496470588234</v>
      </c>
      <c r="G173" s="36">
        <f t="shared" si="108"/>
        <v>5694.9290823529418</v>
      </c>
      <c r="H173" s="36">
        <f t="shared" si="108"/>
        <v>5587.7974588235302</v>
      </c>
      <c r="I173" s="36">
        <f t="shared" si="108"/>
        <v>4112.2672941176479</v>
      </c>
      <c r="J173" s="35">
        <f t="shared" si="108"/>
        <v>4631.607670588236</v>
      </c>
      <c r="K173" s="36">
        <f t="shared" si="108"/>
        <v>4775.8643294117655</v>
      </c>
      <c r="L173" s="36">
        <f t="shared" si="108"/>
        <v>6004.0856470588242</v>
      </c>
      <c r="M173" s="36">
        <f t="shared" si="108"/>
        <v>6655.2803294117648</v>
      </c>
      <c r="N173" s="36">
        <f t="shared" si="108"/>
        <v>5657.8040470588248</v>
      </c>
      <c r="O173" s="36">
        <f t="shared" si="108"/>
        <v>6375.007905882353</v>
      </c>
      <c r="P173" s="35">
        <f t="shared" si="108"/>
        <v>5414.6566588235301</v>
      </c>
      <c r="Q173" s="36">
        <f t="shared" si="108"/>
        <v>4726.3369411764716</v>
      </c>
      <c r="R173" s="36">
        <f t="shared" si="108"/>
        <v>32412.279388235296</v>
      </c>
      <c r="S173" s="36">
        <f t="shared" si="108"/>
        <v>7014.03745882353</v>
      </c>
      <c r="T173" s="36">
        <f t="shared" si="108"/>
        <v>5880.3902117647058</v>
      </c>
      <c r="U173" s="36">
        <f t="shared" si="108"/>
        <v>6412.1329411764718</v>
      </c>
      <c r="V173" s="36">
        <f t="shared" si="108"/>
        <v>5752.697364705883</v>
      </c>
      <c r="W173" s="36">
        <f t="shared" si="108"/>
        <v>6016.4880000000003</v>
      </c>
      <c r="X173" s="36">
        <f t="shared" si="108"/>
        <v>6086.4945882352949</v>
      </c>
      <c r="Y173" s="36">
        <f t="shared" si="108"/>
        <v>5097.1079058823534</v>
      </c>
      <c r="Z173" s="36">
        <f t="shared" si="108"/>
        <v>2175.2470588235296</v>
      </c>
      <c r="AA173" s="36">
        <f t="shared" si="108"/>
        <v>5538.3520941176475</v>
      </c>
    </row>
    <row r="174" spans="2:27" x14ac:dyDescent="0.3">
      <c r="B174" s="181"/>
      <c r="C174" s="107"/>
      <c r="D174" s="107"/>
      <c r="E174" s="107"/>
      <c r="F174" s="107"/>
      <c r="G174" s="107"/>
      <c r="H174" s="107"/>
      <c r="I174" s="107"/>
      <c r="J174" s="107"/>
      <c r="K174" s="107"/>
      <c r="L174" s="107"/>
      <c r="M174" s="107"/>
      <c r="N174" s="107"/>
      <c r="O174" s="107"/>
      <c r="P174" s="107"/>
      <c r="Q174" s="107"/>
      <c r="R174" s="107"/>
      <c r="S174" s="107"/>
      <c r="T174" s="107"/>
      <c r="U174" s="107"/>
      <c r="V174" s="107"/>
      <c r="W174" s="107"/>
      <c r="X174" s="107"/>
      <c r="Y174" s="107"/>
      <c r="Z174" s="107"/>
      <c r="AA174" s="37"/>
    </row>
    <row r="175" spans="2:27" x14ac:dyDescent="0.3">
      <c r="B175" s="181"/>
      <c r="C175" s="131" t="s">
        <v>31</v>
      </c>
      <c r="D175" s="9">
        <f>IF(D155="Azul",D144*D156*(D152),0)</f>
        <v>0</v>
      </c>
      <c r="E175" s="10">
        <f t="shared" ref="E175:O175" si="109">IF(E155="Azul",E144*E156*(E152),0)</f>
        <v>0</v>
      </c>
      <c r="F175" s="10">
        <f t="shared" si="109"/>
        <v>0</v>
      </c>
      <c r="G175" s="10">
        <f t="shared" si="109"/>
        <v>0</v>
      </c>
      <c r="H175" s="10">
        <f t="shared" si="109"/>
        <v>0</v>
      </c>
      <c r="I175" s="10">
        <f t="shared" si="109"/>
        <v>0</v>
      </c>
      <c r="J175" s="9">
        <f t="shared" si="109"/>
        <v>0</v>
      </c>
      <c r="K175" s="10">
        <f t="shared" si="109"/>
        <v>0</v>
      </c>
      <c r="L175" s="10">
        <f t="shared" si="109"/>
        <v>0</v>
      </c>
      <c r="M175" s="10">
        <f t="shared" si="109"/>
        <v>0</v>
      </c>
      <c r="N175" s="10">
        <f t="shared" si="109"/>
        <v>0</v>
      </c>
      <c r="O175" s="10">
        <f t="shared" si="109"/>
        <v>0</v>
      </c>
      <c r="P175" s="10">
        <f>IF(P155="Azul",P144*P156*(P152),0)</f>
        <v>0</v>
      </c>
      <c r="Q175" s="10">
        <f t="shared" ref="Q175:AA175" si="110">IF(Q155="Azul",Q144*Q156*(Q152),0)</f>
        <v>0</v>
      </c>
      <c r="R175" s="10">
        <f t="shared" si="110"/>
        <v>0</v>
      </c>
      <c r="S175" s="10">
        <f t="shared" si="110"/>
        <v>0</v>
      </c>
      <c r="T175" s="10">
        <f t="shared" si="110"/>
        <v>0</v>
      </c>
      <c r="U175" s="10">
        <f t="shared" si="110"/>
        <v>0</v>
      </c>
      <c r="V175" s="10">
        <f t="shared" si="110"/>
        <v>0</v>
      </c>
      <c r="W175" s="10">
        <f t="shared" si="110"/>
        <v>0</v>
      </c>
      <c r="X175" s="10">
        <f t="shared" si="110"/>
        <v>0</v>
      </c>
      <c r="Y175" s="10">
        <f t="shared" si="110"/>
        <v>0</v>
      </c>
      <c r="Z175" s="10">
        <f t="shared" si="110"/>
        <v>0</v>
      </c>
      <c r="AA175" s="10">
        <f t="shared" si="110"/>
        <v>0</v>
      </c>
    </row>
    <row r="176" spans="2:27" x14ac:dyDescent="0.3">
      <c r="B176" s="181"/>
      <c r="C176" s="131" t="s">
        <v>32</v>
      </c>
      <c r="D176" s="11">
        <f>D145*D157*(D152)</f>
        <v>4622.4000000000005</v>
      </c>
      <c r="E176" s="12">
        <f t="shared" ref="E176:O176" si="111">E145*E157*(E152)</f>
        <v>4622.4000000000005</v>
      </c>
      <c r="F176" s="12">
        <f t="shared" si="111"/>
        <v>4622.4000000000005</v>
      </c>
      <c r="G176" s="12">
        <f t="shared" si="111"/>
        <v>4622.4000000000005</v>
      </c>
      <c r="H176" s="12">
        <f t="shared" si="111"/>
        <v>4622.4000000000005</v>
      </c>
      <c r="I176" s="12">
        <f t="shared" si="111"/>
        <v>4622.4000000000005</v>
      </c>
      <c r="J176" s="11">
        <f t="shared" si="111"/>
        <v>4622.4000000000005</v>
      </c>
      <c r="K176" s="12">
        <f t="shared" si="111"/>
        <v>4622.4000000000005</v>
      </c>
      <c r="L176" s="12">
        <f t="shared" si="111"/>
        <v>4622.4000000000005</v>
      </c>
      <c r="M176" s="12">
        <f t="shared" si="111"/>
        <v>4622.4000000000005</v>
      </c>
      <c r="N176" s="12">
        <f t="shared" si="111"/>
        <v>4622.4000000000005</v>
      </c>
      <c r="O176" s="12">
        <f t="shared" si="111"/>
        <v>4622.4000000000005</v>
      </c>
      <c r="P176" s="12">
        <f>P145*P157*(P152)</f>
        <v>4622.4000000000005</v>
      </c>
      <c r="Q176" s="12">
        <f t="shared" ref="Q176:AA176" si="112">Q145*Q157*(Q152)</f>
        <v>4622.4000000000005</v>
      </c>
      <c r="R176" s="12">
        <f t="shared" si="112"/>
        <v>4622.4000000000005</v>
      </c>
      <c r="S176" s="12">
        <f t="shared" si="112"/>
        <v>4622.4000000000005</v>
      </c>
      <c r="T176" s="12">
        <f t="shared" si="112"/>
        <v>4622.4000000000005</v>
      </c>
      <c r="U176" s="12">
        <f t="shared" si="112"/>
        <v>4622.4000000000005</v>
      </c>
      <c r="V176" s="12">
        <f t="shared" si="112"/>
        <v>4622.4000000000005</v>
      </c>
      <c r="W176" s="12">
        <f t="shared" si="112"/>
        <v>4622.4000000000005</v>
      </c>
      <c r="X176" s="12">
        <f t="shared" si="112"/>
        <v>4622.4000000000005</v>
      </c>
      <c r="Y176" s="12">
        <f t="shared" si="112"/>
        <v>4622.4000000000005</v>
      </c>
      <c r="Z176" s="12">
        <f t="shared" si="112"/>
        <v>4622.4000000000005</v>
      </c>
      <c r="AA176" s="12">
        <f t="shared" si="112"/>
        <v>4622.4000000000005</v>
      </c>
    </row>
    <row r="177" spans="2:29" x14ac:dyDescent="0.3">
      <c r="B177" s="181"/>
      <c r="C177" s="129" t="s">
        <v>33</v>
      </c>
      <c r="D177" s="19">
        <f>IF(D155="Verde",D148*(D158-D159)*(D152),0)</f>
        <v>3556.1357999999996</v>
      </c>
      <c r="E177" s="20">
        <f t="shared" ref="E177:AA177" si="113">IF(E155="Verde",E148*(E158-E159)*(E152),0)</f>
        <v>4572.1745999999994</v>
      </c>
      <c r="F177" s="20">
        <f t="shared" si="113"/>
        <v>5334.2037</v>
      </c>
      <c r="G177" s="20">
        <f t="shared" si="113"/>
        <v>5080.1939999999995</v>
      </c>
      <c r="H177" s="20">
        <f t="shared" si="113"/>
        <v>5080.1939999999995</v>
      </c>
      <c r="I177" s="20">
        <f t="shared" si="113"/>
        <v>2540.0969999999998</v>
      </c>
      <c r="J177" s="19">
        <f t="shared" si="113"/>
        <v>3556.1357999999996</v>
      </c>
      <c r="K177" s="20">
        <f t="shared" si="113"/>
        <v>3810.1454999999996</v>
      </c>
      <c r="L177" s="20">
        <f t="shared" si="113"/>
        <v>5842.2231000000002</v>
      </c>
      <c r="M177" s="20">
        <f t="shared" si="113"/>
        <v>6858.2618999999995</v>
      </c>
      <c r="N177" s="20">
        <f t="shared" si="113"/>
        <v>4826.1842999999999</v>
      </c>
      <c r="O177" s="20">
        <f t="shared" si="113"/>
        <v>6350.2424999999994</v>
      </c>
      <c r="P177" s="20">
        <f t="shared" si="113"/>
        <v>4572.1745999999994</v>
      </c>
      <c r="Q177" s="20">
        <f t="shared" si="113"/>
        <v>3302.1261</v>
      </c>
      <c r="R177" s="20">
        <f t="shared" si="113"/>
        <v>58422.230999999992</v>
      </c>
      <c r="S177" s="20">
        <f t="shared" si="113"/>
        <v>7366.2812999999996</v>
      </c>
      <c r="T177" s="20">
        <f t="shared" si="113"/>
        <v>5334.2037</v>
      </c>
      <c r="U177" s="20">
        <f t="shared" si="113"/>
        <v>6604.2521999999999</v>
      </c>
      <c r="V177" s="20">
        <f t="shared" si="113"/>
        <v>5588.2133999999996</v>
      </c>
      <c r="W177" s="20">
        <f t="shared" si="113"/>
        <v>6096.2327999999998</v>
      </c>
      <c r="X177" s="20">
        <f t="shared" si="113"/>
        <v>5842.2231000000002</v>
      </c>
      <c r="Y177" s="20">
        <f t="shared" si="113"/>
        <v>4088.3465999999999</v>
      </c>
      <c r="Z177" s="20">
        <f t="shared" si="113"/>
        <v>0</v>
      </c>
      <c r="AA177" s="20">
        <f t="shared" si="113"/>
        <v>5080.1939999999995</v>
      </c>
      <c r="AC177" s="92"/>
    </row>
    <row r="178" spans="2:29" x14ac:dyDescent="0.3">
      <c r="B178" s="181"/>
      <c r="C178" s="109"/>
      <c r="D178" s="109"/>
      <c r="E178" s="109"/>
      <c r="F178" s="109"/>
      <c r="G178" s="109"/>
      <c r="H178" s="109"/>
      <c r="I178" s="109"/>
      <c r="J178" s="109"/>
      <c r="K178" s="109"/>
      <c r="L178" s="109"/>
      <c r="M178" s="109"/>
      <c r="N178" s="109"/>
      <c r="O178" s="109"/>
      <c r="P178" s="109"/>
      <c r="Q178" s="109"/>
      <c r="R178" s="109"/>
      <c r="S178" s="109"/>
      <c r="T178" s="109"/>
      <c r="U178" s="109"/>
      <c r="V178" s="109"/>
      <c r="W178" s="109"/>
      <c r="X178" s="109"/>
      <c r="Y178" s="109"/>
      <c r="Z178" s="109"/>
      <c r="AA178" s="38"/>
    </row>
    <row r="179" spans="2:29" x14ac:dyDescent="0.3">
      <c r="B179" s="181"/>
      <c r="C179" s="129" t="s">
        <v>34</v>
      </c>
      <c r="D179" s="98">
        <f>SUM(D148:D149)/D140</f>
        <v>2.7943548387096777E-2</v>
      </c>
      <c r="E179" s="98">
        <f t="shared" ref="E179:O179" si="114">SUM(E148:E149)/E140</f>
        <v>3.4094827586206897E-2</v>
      </c>
      <c r="F179" s="98">
        <f t="shared" si="114"/>
        <v>3.4435483870967745E-2</v>
      </c>
      <c r="G179" s="98">
        <f t="shared" si="114"/>
        <v>3.9958333333333332E-2</v>
      </c>
      <c r="H179" s="98">
        <f t="shared" si="114"/>
        <v>3.4999999999999996E-2</v>
      </c>
      <c r="I179" s="98">
        <f t="shared" si="114"/>
        <v>2.6250000000000002E-2</v>
      </c>
      <c r="J179" s="98">
        <f t="shared" si="114"/>
        <v>2.6814516129032261E-2</v>
      </c>
      <c r="K179" s="98">
        <f t="shared" si="114"/>
        <v>2.7661290322580644E-2</v>
      </c>
      <c r="L179" s="98">
        <f t="shared" si="114"/>
        <v>3.820833333333333E-2</v>
      </c>
      <c r="M179" s="98">
        <f t="shared" si="114"/>
        <v>4.2903225806451617E-2</v>
      </c>
      <c r="N179" s="98">
        <f t="shared" si="114"/>
        <v>4.2874999999999996E-2</v>
      </c>
      <c r="O179" s="98">
        <f t="shared" si="114"/>
        <v>4.1491935483870972E-2</v>
      </c>
      <c r="P179" s="98">
        <f>SUM(P148:P149)/P140</f>
        <v>3.7258064516129036E-2</v>
      </c>
      <c r="Q179" s="98">
        <f t="shared" ref="Q179:AA179" si="115">SUM(Q148:Q149)/Q140</f>
        <v>3.7812499999999999E-2</v>
      </c>
      <c r="R179" s="98">
        <f t="shared" si="115"/>
        <v>9.3991935483870956E-2</v>
      </c>
      <c r="S179" s="98">
        <f t="shared" si="115"/>
        <v>4.8569444444444443E-2</v>
      </c>
      <c r="T179" s="98">
        <f t="shared" si="115"/>
        <v>4.0927419354838707E-2</v>
      </c>
      <c r="U179" s="98">
        <f t="shared" si="115"/>
        <v>3.9958333333333332E-2</v>
      </c>
      <c r="V179" s="98">
        <f t="shared" si="115"/>
        <v>3.2459677419354842E-2</v>
      </c>
      <c r="W179" s="98">
        <f t="shared" si="115"/>
        <v>3.3306451612903222E-2</v>
      </c>
      <c r="X179" s="98">
        <f t="shared" si="115"/>
        <v>4.1125000000000002E-2</v>
      </c>
      <c r="Y179" s="98">
        <f t="shared" si="115"/>
        <v>3.418010752688172E-2</v>
      </c>
      <c r="Z179" s="98">
        <f t="shared" si="115"/>
        <v>0</v>
      </c>
      <c r="AA179" s="98">
        <f t="shared" si="115"/>
        <v>3.3306451612903222E-2</v>
      </c>
    </row>
    <row r="180" spans="2:29" x14ac:dyDescent="0.3">
      <c r="B180" s="181"/>
      <c r="C180" s="133" t="s">
        <v>35</v>
      </c>
      <c r="D180" s="97">
        <f t="shared" ref="D180:T180" si="116">D179*D140</f>
        <v>20.790000000000003</v>
      </c>
      <c r="E180" s="97">
        <f t="shared" si="116"/>
        <v>23.73</v>
      </c>
      <c r="F180" s="97">
        <f t="shared" si="116"/>
        <v>25.62</v>
      </c>
      <c r="G180" s="97">
        <f t="shared" si="116"/>
        <v>28.77</v>
      </c>
      <c r="H180" s="97">
        <f t="shared" si="116"/>
        <v>26.039999999999996</v>
      </c>
      <c r="I180" s="97">
        <f t="shared" si="116"/>
        <v>18.900000000000002</v>
      </c>
      <c r="J180" s="97">
        <f t="shared" si="116"/>
        <v>19.950000000000003</v>
      </c>
      <c r="K180" s="97">
        <f t="shared" si="116"/>
        <v>20.58</v>
      </c>
      <c r="L180" s="97">
        <f t="shared" si="116"/>
        <v>27.509999999999998</v>
      </c>
      <c r="M180" s="97">
        <f t="shared" si="116"/>
        <v>31.92</v>
      </c>
      <c r="N180" s="97">
        <f t="shared" si="116"/>
        <v>30.869999999999997</v>
      </c>
      <c r="O180" s="97">
        <f t="shared" si="116"/>
        <v>30.870000000000005</v>
      </c>
      <c r="P180" s="97">
        <f t="shared" si="116"/>
        <v>27.720000000000002</v>
      </c>
      <c r="Q180" s="97">
        <f t="shared" si="116"/>
        <v>25.41</v>
      </c>
      <c r="R180" s="97">
        <f t="shared" si="116"/>
        <v>69.929999999999993</v>
      </c>
      <c r="S180" s="97">
        <f t="shared" si="116"/>
        <v>34.97</v>
      </c>
      <c r="T180" s="97">
        <f t="shared" si="116"/>
        <v>30.45</v>
      </c>
      <c r="U180" s="97">
        <f>U179*U140</f>
        <v>28.77</v>
      </c>
      <c r="V180" s="97">
        <f t="shared" ref="V180:AA180" si="117">V179*V140</f>
        <v>24.150000000000002</v>
      </c>
      <c r="W180" s="97">
        <f t="shared" si="117"/>
        <v>24.779999999999998</v>
      </c>
      <c r="X180" s="97">
        <f t="shared" si="117"/>
        <v>29.610000000000003</v>
      </c>
      <c r="Y180" s="97">
        <f t="shared" si="117"/>
        <v>25.43</v>
      </c>
      <c r="Z180" s="97">
        <f t="shared" si="117"/>
        <v>0</v>
      </c>
      <c r="AA180" s="97">
        <f t="shared" si="117"/>
        <v>24.779999999999998</v>
      </c>
    </row>
    <row r="181" spans="2:29" x14ac:dyDescent="0.3">
      <c r="B181" s="181"/>
      <c r="C181" s="129" t="s">
        <v>36</v>
      </c>
      <c r="D181" s="39">
        <f t="shared" ref="D181:AA181" si="118">D180*1.1</f>
        <v>22.869000000000003</v>
      </c>
      <c r="E181" s="39">
        <f t="shared" si="118"/>
        <v>26.103000000000002</v>
      </c>
      <c r="F181" s="39">
        <f t="shared" si="118"/>
        <v>28.182000000000002</v>
      </c>
      <c r="G181" s="39">
        <f t="shared" si="118"/>
        <v>31.647000000000002</v>
      </c>
      <c r="H181" s="39">
        <f t="shared" si="118"/>
        <v>28.643999999999998</v>
      </c>
      <c r="I181" s="39">
        <f t="shared" si="118"/>
        <v>20.790000000000003</v>
      </c>
      <c r="J181" s="39">
        <f t="shared" si="118"/>
        <v>21.945000000000004</v>
      </c>
      <c r="K181" s="39">
        <f t="shared" si="118"/>
        <v>22.638000000000002</v>
      </c>
      <c r="L181" s="39">
        <f t="shared" si="118"/>
        <v>30.260999999999999</v>
      </c>
      <c r="M181" s="39">
        <f t="shared" si="118"/>
        <v>35.112000000000002</v>
      </c>
      <c r="N181" s="39">
        <f t="shared" si="118"/>
        <v>33.957000000000001</v>
      </c>
      <c r="O181" s="39">
        <f t="shared" si="118"/>
        <v>33.957000000000008</v>
      </c>
      <c r="P181" s="39">
        <f t="shared" si="118"/>
        <v>30.492000000000004</v>
      </c>
      <c r="Q181" s="39">
        <f t="shared" si="118"/>
        <v>27.951000000000004</v>
      </c>
      <c r="R181" s="39">
        <f t="shared" si="118"/>
        <v>76.923000000000002</v>
      </c>
      <c r="S181" s="39">
        <f t="shared" si="118"/>
        <v>38.466999999999999</v>
      </c>
      <c r="T181" s="39">
        <f t="shared" si="118"/>
        <v>33.495000000000005</v>
      </c>
      <c r="U181" s="39">
        <f t="shared" si="118"/>
        <v>31.647000000000002</v>
      </c>
      <c r="V181" s="39">
        <f t="shared" si="118"/>
        <v>26.565000000000005</v>
      </c>
      <c r="W181" s="39">
        <f t="shared" si="118"/>
        <v>27.257999999999999</v>
      </c>
      <c r="X181" s="39">
        <f t="shared" si="118"/>
        <v>32.571000000000005</v>
      </c>
      <c r="Y181" s="39">
        <f t="shared" si="118"/>
        <v>27.973000000000003</v>
      </c>
      <c r="Z181" s="39">
        <f t="shared" si="118"/>
        <v>0</v>
      </c>
      <c r="AA181" s="39">
        <f t="shared" si="118"/>
        <v>27.257999999999999</v>
      </c>
    </row>
    <row r="182" spans="2:29" x14ac:dyDescent="0.3">
      <c r="B182" s="181"/>
      <c r="C182" s="129" t="s">
        <v>37</v>
      </c>
      <c r="D182" s="40">
        <f t="shared" ref="D182:AA182" si="119">D180*0.9</f>
        <v>18.711000000000002</v>
      </c>
      <c r="E182" s="40">
        <f t="shared" si="119"/>
        <v>21.356999999999999</v>
      </c>
      <c r="F182" s="40">
        <f t="shared" si="119"/>
        <v>23.058</v>
      </c>
      <c r="G182" s="40">
        <f t="shared" si="119"/>
        <v>25.893000000000001</v>
      </c>
      <c r="H182" s="40">
        <f t="shared" si="119"/>
        <v>23.435999999999996</v>
      </c>
      <c r="I182" s="40">
        <f t="shared" si="119"/>
        <v>17.010000000000002</v>
      </c>
      <c r="J182" s="40">
        <f t="shared" si="119"/>
        <v>17.955000000000002</v>
      </c>
      <c r="K182" s="40">
        <f t="shared" si="119"/>
        <v>18.521999999999998</v>
      </c>
      <c r="L182" s="40">
        <f t="shared" si="119"/>
        <v>24.759</v>
      </c>
      <c r="M182" s="40">
        <f t="shared" si="119"/>
        <v>28.728000000000002</v>
      </c>
      <c r="N182" s="40">
        <f t="shared" si="119"/>
        <v>27.782999999999998</v>
      </c>
      <c r="O182" s="40">
        <f t="shared" si="119"/>
        <v>27.783000000000005</v>
      </c>
      <c r="P182" s="40">
        <f t="shared" si="119"/>
        <v>24.948000000000004</v>
      </c>
      <c r="Q182" s="40">
        <f t="shared" si="119"/>
        <v>22.869</v>
      </c>
      <c r="R182" s="40">
        <f t="shared" si="119"/>
        <v>62.936999999999998</v>
      </c>
      <c r="S182" s="40">
        <f t="shared" si="119"/>
        <v>31.472999999999999</v>
      </c>
      <c r="T182" s="40">
        <f t="shared" si="119"/>
        <v>27.405000000000001</v>
      </c>
      <c r="U182" s="40">
        <f t="shared" si="119"/>
        <v>25.893000000000001</v>
      </c>
      <c r="V182" s="40">
        <f t="shared" si="119"/>
        <v>21.735000000000003</v>
      </c>
      <c r="W182" s="40">
        <f t="shared" si="119"/>
        <v>22.302</v>
      </c>
      <c r="X182" s="40">
        <f t="shared" si="119"/>
        <v>26.649000000000004</v>
      </c>
      <c r="Y182" s="40">
        <f t="shared" si="119"/>
        <v>22.887</v>
      </c>
      <c r="Z182" s="40">
        <f t="shared" si="119"/>
        <v>0</v>
      </c>
      <c r="AA182" s="40">
        <f t="shared" si="119"/>
        <v>22.302</v>
      </c>
    </row>
    <row r="183" spans="2:29" x14ac:dyDescent="0.3">
      <c r="B183" s="181"/>
      <c r="C183" s="101"/>
      <c r="D183" s="101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1"/>
      <c r="AA183" s="41"/>
    </row>
    <row r="184" spans="2:29" x14ac:dyDescent="0.3">
      <c r="B184" s="181"/>
      <c r="C184" s="129" t="s">
        <v>38</v>
      </c>
      <c r="D184" s="43">
        <f t="shared" ref="D184:O184" si="120">D180</f>
        <v>20.790000000000003</v>
      </c>
      <c r="E184" s="43">
        <f t="shared" si="120"/>
        <v>23.73</v>
      </c>
      <c r="F184" s="43">
        <f t="shared" si="120"/>
        <v>25.62</v>
      </c>
      <c r="G184" s="43">
        <f t="shared" si="120"/>
        <v>28.77</v>
      </c>
      <c r="H184" s="43">
        <f t="shared" si="120"/>
        <v>26.039999999999996</v>
      </c>
      <c r="I184" s="43">
        <f t="shared" si="120"/>
        <v>18.900000000000002</v>
      </c>
      <c r="J184" s="43">
        <f t="shared" si="120"/>
        <v>19.950000000000003</v>
      </c>
      <c r="K184" s="43">
        <f t="shared" si="120"/>
        <v>20.58</v>
      </c>
      <c r="L184" s="43">
        <f t="shared" si="120"/>
        <v>27.509999999999998</v>
      </c>
      <c r="M184" s="43">
        <f t="shared" si="120"/>
        <v>31.92</v>
      </c>
      <c r="N184" s="43">
        <f t="shared" si="120"/>
        <v>30.869999999999997</v>
      </c>
      <c r="O184" s="43">
        <f t="shared" si="120"/>
        <v>30.870000000000005</v>
      </c>
      <c r="P184" s="43">
        <f>P180</f>
        <v>27.720000000000002</v>
      </c>
      <c r="Q184" s="43">
        <f t="shared" ref="Q184:AA184" si="121">Q180</f>
        <v>25.41</v>
      </c>
      <c r="R184" s="43">
        <f t="shared" si="121"/>
        <v>69.929999999999993</v>
      </c>
      <c r="S184" s="43">
        <f t="shared" si="121"/>
        <v>34.97</v>
      </c>
      <c r="T184" s="43">
        <f t="shared" si="121"/>
        <v>30.45</v>
      </c>
      <c r="U184" s="43">
        <f t="shared" si="121"/>
        <v>28.77</v>
      </c>
      <c r="V184" s="43">
        <f t="shared" si="121"/>
        <v>24.150000000000002</v>
      </c>
      <c r="W184" s="43">
        <f t="shared" si="121"/>
        <v>24.779999999999998</v>
      </c>
      <c r="X184" s="43">
        <f t="shared" si="121"/>
        <v>29.610000000000003</v>
      </c>
      <c r="Y184" s="43">
        <f t="shared" si="121"/>
        <v>25.43</v>
      </c>
      <c r="Z184" s="43">
        <f t="shared" si="121"/>
        <v>0</v>
      </c>
      <c r="AA184" s="43">
        <f t="shared" si="121"/>
        <v>24.779999999999998</v>
      </c>
    </row>
    <row r="185" spans="2:29" x14ac:dyDescent="0.3">
      <c r="B185" s="181"/>
      <c r="C185" s="129" t="s">
        <v>39</v>
      </c>
      <c r="D185" s="127">
        <f>'SIMULAÇÃO CENÁRIOS'!$E$8</f>
        <v>310</v>
      </c>
      <c r="E185" s="127">
        <f>'SIMULAÇÃO CENÁRIOS'!$E$8</f>
        <v>310</v>
      </c>
      <c r="F185" s="127">
        <f>'SIMULAÇÃO CENÁRIOS'!$E$8</f>
        <v>310</v>
      </c>
      <c r="G185" s="127">
        <f>'SIMULAÇÃO CENÁRIOS'!$E$8</f>
        <v>310</v>
      </c>
      <c r="H185" s="127">
        <f>'SIMULAÇÃO CENÁRIOS'!$E$8</f>
        <v>310</v>
      </c>
      <c r="I185" s="127">
        <f>'SIMULAÇÃO CENÁRIOS'!$E$8</f>
        <v>310</v>
      </c>
      <c r="J185" s="127">
        <f>'SIMULAÇÃO CENÁRIOS'!$E$8</f>
        <v>310</v>
      </c>
      <c r="K185" s="127">
        <f>'SIMULAÇÃO CENÁRIOS'!$E$8</f>
        <v>310</v>
      </c>
      <c r="L185" s="127">
        <f>'SIMULAÇÃO CENÁRIOS'!$E$8</f>
        <v>310</v>
      </c>
      <c r="M185" s="127">
        <f>'SIMULAÇÃO CENÁRIOS'!$E$8</f>
        <v>310</v>
      </c>
      <c r="N185" s="127">
        <f>'SIMULAÇÃO CENÁRIOS'!$E$8</f>
        <v>310</v>
      </c>
      <c r="O185" s="127">
        <f>'SIMULAÇÃO CENÁRIOS'!$E$8</f>
        <v>310</v>
      </c>
      <c r="P185" s="127">
        <f>'SIMULAÇÃO CENÁRIOS'!$E$8</f>
        <v>310</v>
      </c>
      <c r="Q185" s="127">
        <f>'SIMULAÇÃO CENÁRIOS'!$E$8</f>
        <v>310</v>
      </c>
      <c r="R185" s="127">
        <f>'SIMULAÇÃO CENÁRIOS'!$E$8</f>
        <v>310</v>
      </c>
      <c r="S185" s="127">
        <f>'SIMULAÇÃO CENÁRIOS'!$E$8</f>
        <v>310</v>
      </c>
      <c r="T185" s="127">
        <f>'SIMULAÇÃO CENÁRIOS'!$E$8</f>
        <v>310</v>
      </c>
      <c r="U185" s="127">
        <f>'SIMULAÇÃO CENÁRIOS'!$E$8</f>
        <v>310</v>
      </c>
      <c r="V185" s="127">
        <f>'SIMULAÇÃO CENÁRIOS'!$E$8</f>
        <v>310</v>
      </c>
      <c r="W185" s="127">
        <f>'SIMULAÇÃO CENÁRIOS'!$E$8</f>
        <v>310</v>
      </c>
      <c r="X185" s="127">
        <f>'SIMULAÇÃO CENÁRIOS'!$E$8</f>
        <v>310</v>
      </c>
      <c r="Y185" s="127">
        <f>'SIMULAÇÃO CENÁRIOS'!$E$8</f>
        <v>310</v>
      </c>
      <c r="Z185" s="127">
        <f>'SIMULAÇÃO CENÁRIOS'!$E$8</f>
        <v>310</v>
      </c>
      <c r="AA185" s="127">
        <f>'SIMULAÇÃO CENÁRIOS'!$E$8</f>
        <v>310</v>
      </c>
    </row>
    <row r="186" spans="2:29" x14ac:dyDescent="0.3">
      <c r="B186" s="181"/>
      <c r="C186" s="129" t="s">
        <v>40</v>
      </c>
      <c r="D186" s="44">
        <f t="shared" ref="D186:O186" si="122">D184*D185/(1-$P$27)</f>
        <v>8828.6301369863031</v>
      </c>
      <c r="E186" s="44">
        <f t="shared" si="122"/>
        <v>10077.123287671233</v>
      </c>
      <c r="F186" s="44">
        <f t="shared" si="122"/>
        <v>10879.726027397262</v>
      </c>
      <c r="G186" s="44">
        <f t="shared" si="122"/>
        <v>12217.397260273974</v>
      </c>
      <c r="H186" s="44">
        <f t="shared" si="122"/>
        <v>11058.082191780821</v>
      </c>
      <c r="I186" s="44">
        <f t="shared" si="122"/>
        <v>8026.0273972602754</v>
      </c>
      <c r="J186" s="44">
        <f t="shared" si="122"/>
        <v>8471.9178082191793</v>
      </c>
      <c r="K186" s="44">
        <f t="shared" si="122"/>
        <v>8739.4520547945194</v>
      </c>
      <c r="L186" s="44">
        <f t="shared" si="122"/>
        <v>11682.328767123287</v>
      </c>
      <c r="M186" s="44">
        <f t="shared" si="122"/>
        <v>13555.068493150686</v>
      </c>
      <c r="N186" s="44">
        <f t="shared" si="122"/>
        <v>13109.17808219178</v>
      </c>
      <c r="O186" s="44">
        <f t="shared" si="122"/>
        <v>13109.178082191782</v>
      </c>
      <c r="P186" s="44">
        <f>P184*P185/(1-$P$27)</f>
        <v>11771.50684931507</v>
      </c>
      <c r="Q186" s="44">
        <f t="shared" ref="Q186:AA186" si="123">Q184*Q185/(1-$P$27)</f>
        <v>10790.547945205481</v>
      </c>
      <c r="R186" s="44">
        <f t="shared" si="123"/>
        <v>29696.301369863013</v>
      </c>
      <c r="S186" s="44">
        <f t="shared" si="123"/>
        <v>14850.273972602739</v>
      </c>
      <c r="T186" s="44">
        <f t="shared" si="123"/>
        <v>12930.82191780822</v>
      </c>
      <c r="U186" s="44">
        <f t="shared" si="123"/>
        <v>12217.397260273974</v>
      </c>
      <c r="V186" s="44">
        <f t="shared" si="123"/>
        <v>10255.479452054797</v>
      </c>
      <c r="W186" s="44">
        <f t="shared" si="123"/>
        <v>10523.013698630137</v>
      </c>
      <c r="X186" s="44">
        <f t="shared" si="123"/>
        <v>12574.109589041096</v>
      </c>
      <c r="Y186" s="44">
        <f t="shared" si="123"/>
        <v>10799.041095890412</v>
      </c>
      <c r="Z186" s="44">
        <f t="shared" si="123"/>
        <v>0</v>
      </c>
      <c r="AA186" s="44">
        <f t="shared" si="123"/>
        <v>10523.013698630137</v>
      </c>
    </row>
    <row r="187" spans="2:29" ht="17.25" thickBot="1" x14ac:dyDescent="0.35">
      <c r="B187" s="181"/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1"/>
      <c r="AA187" s="45"/>
    </row>
    <row r="188" spans="2:29" ht="17.25" thickBot="1" x14ac:dyDescent="0.35">
      <c r="B188" s="181"/>
      <c r="C188" s="134" t="s">
        <v>98</v>
      </c>
      <c r="D188" s="46">
        <f t="shared" ref="D188:O188" si="124">+D186+D173+D172</f>
        <v>15226.879484045126</v>
      </c>
      <c r="E188" s="46">
        <f t="shared" si="124"/>
        <v>17314.047658259471</v>
      </c>
      <c r="F188" s="46">
        <f t="shared" si="124"/>
        <v>18707.027474456085</v>
      </c>
      <c r="G188" s="46">
        <f t="shared" si="124"/>
        <v>20311.456642626916</v>
      </c>
      <c r="H188" s="46">
        <f t="shared" si="124"/>
        <v>18817.355250604349</v>
      </c>
      <c r="I188" s="46">
        <f t="shared" si="124"/>
        <v>13714.365691377923</v>
      </c>
      <c r="J188" s="46">
        <f t="shared" si="124"/>
        <v>14767.155978807416</v>
      </c>
      <c r="K188" s="46">
        <f t="shared" si="124"/>
        <v>15231.482584206286</v>
      </c>
      <c r="L188" s="46">
        <f t="shared" si="124"/>
        <v>19980.473314182109</v>
      </c>
      <c r="M188" s="46">
        <f t="shared" si="124"/>
        <v>22872.157622562449</v>
      </c>
      <c r="N188" s="46">
        <f t="shared" si="124"/>
        <v>21341.231429250605</v>
      </c>
      <c r="O188" s="46">
        <f t="shared" si="124"/>
        <v>22058.435288074135</v>
      </c>
      <c r="P188" s="46">
        <f>+P186+P173+P172</f>
        <v>19497.734308138603</v>
      </c>
      <c r="Q188" s="46">
        <f t="shared" ref="Q188:AA188" si="125">+Q186+Q173+Q172</f>
        <v>17635.824786381952</v>
      </c>
      <c r="R188" s="46">
        <f t="shared" si="125"/>
        <v>67940.043458098313</v>
      </c>
      <c r="S188" s="46">
        <f t="shared" si="125"/>
        <v>24780.459731426272</v>
      </c>
      <c r="T188" s="46">
        <f t="shared" si="125"/>
        <v>21350.437629572927</v>
      </c>
      <c r="U188" s="46">
        <f t="shared" si="125"/>
        <v>21028.660501450446</v>
      </c>
      <c r="V188" s="46">
        <f t="shared" si="125"/>
        <v>18022.045316760679</v>
      </c>
      <c r="W188" s="46">
        <f t="shared" si="125"/>
        <v>18605.905898630139</v>
      </c>
      <c r="X188" s="46">
        <f t="shared" si="125"/>
        <v>21129.782077276392</v>
      </c>
      <c r="Y188" s="46">
        <f t="shared" si="125"/>
        <v>18016.756701772767</v>
      </c>
      <c r="Z188" s="46">
        <f t="shared" si="125"/>
        <v>2175.2470588235296</v>
      </c>
      <c r="AA188" s="46">
        <f t="shared" si="125"/>
        <v>18127.769992747784</v>
      </c>
      <c r="AC188" s="47">
        <f>SUM(D188:AA188)</f>
        <v>488652.73587953264</v>
      </c>
    </row>
    <row r="189" spans="2:29" x14ac:dyDescent="0.3">
      <c r="B189" s="181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100"/>
    </row>
    <row r="190" spans="2:29" ht="45.75" x14ac:dyDescent="0.3">
      <c r="B190" s="181"/>
      <c r="C190" s="172" t="s">
        <v>99</v>
      </c>
      <c r="D190" s="172"/>
      <c r="E190" s="172"/>
      <c r="F190" s="172"/>
      <c r="G190" s="172"/>
      <c r="H190" s="172"/>
      <c r="I190" s="172"/>
      <c r="J190" s="172"/>
      <c r="K190" s="172"/>
      <c r="L190" s="172"/>
      <c r="M190" s="172"/>
      <c r="N190" s="172"/>
      <c r="O190" s="172"/>
      <c r="P190" s="172"/>
      <c r="Q190" s="172"/>
      <c r="R190" s="172"/>
      <c r="S190" s="172"/>
      <c r="T190" s="172"/>
      <c r="U190" s="172"/>
      <c r="V190" s="172"/>
      <c r="W190" s="172"/>
      <c r="X190" s="172"/>
      <c r="Y190" s="172"/>
      <c r="Z190" s="172"/>
      <c r="AA190" s="173"/>
    </row>
    <row r="191" spans="2:29" x14ac:dyDescent="0.3">
      <c r="B191" s="181"/>
      <c r="C191" s="129" t="s">
        <v>101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3">
        <v>0</v>
      </c>
      <c r="R191" s="43">
        <v>0</v>
      </c>
      <c r="S191" s="43">
        <v>0</v>
      </c>
      <c r="T191" s="43">
        <v>0</v>
      </c>
      <c r="U191" s="43">
        <v>0</v>
      </c>
      <c r="V191" s="43">
        <v>0</v>
      </c>
      <c r="W191" s="43">
        <v>0</v>
      </c>
      <c r="X191" s="43">
        <v>0</v>
      </c>
      <c r="Y191" s="43">
        <v>0</v>
      </c>
      <c r="Z191" s="43">
        <v>0</v>
      </c>
      <c r="AA191" s="43">
        <v>0</v>
      </c>
    </row>
    <row r="192" spans="2:29" x14ac:dyDescent="0.3">
      <c r="B192" s="181"/>
      <c r="C192" s="129" t="s">
        <v>102</v>
      </c>
      <c r="D192" s="17">
        <f t="shared" ref="D192:O192" si="126">D145*D157+D147*D157*2</f>
        <v>4622.4000000000005</v>
      </c>
      <c r="E192" s="17">
        <f t="shared" si="126"/>
        <v>4622.4000000000005</v>
      </c>
      <c r="F192" s="17">
        <f t="shared" si="126"/>
        <v>4622.4000000000005</v>
      </c>
      <c r="G192" s="17">
        <f t="shared" si="126"/>
        <v>4622.4000000000005</v>
      </c>
      <c r="H192" s="17">
        <f t="shared" si="126"/>
        <v>4622.4000000000005</v>
      </c>
      <c r="I192" s="17">
        <f t="shared" si="126"/>
        <v>4622.4000000000005</v>
      </c>
      <c r="J192" s="17">
        <f t="shared" si="126"/>
        <v>4622.4000000000005</v>
      </c>
      <c r="K192" s="17">
        <f t="shared" si="126"/>
        <v>4622.4000000000005</v>
      </c>
      <c r="L192" s="17">
        <f t="shared" si="126"/>
        <v>4622.4000000000005</v>
      </c>
      <c r="M192" s="17">
        <f t="shared" si="126"/>
        <v>4622.4000000000005</v>
      </c>
      <c r="N192" s="17">
        <f t="shared" si="126"/>
        <v>4622.4000000000005</v>
      </c>
      <c r="O192" s="17">
        <f t="shared" si="126"/>
        <v>4622.4000000000005</v>
      </c>
      <c r="P192" s="17">
        <f>P145*P157+P147*P157*2</f>
        <v>4622.4000000000005</v>
      </c>
      <c r="Q192" s="18">
        <f t="shared" ref="Q192:AA192" si="127">Q145*Q157+Q147*Q157*2</f>
        <v>4622.4000000000005</v>
      </c>
      <c r="R192" s="18">
        <f t="shared" si="127"/>
        <v>4622.4000000000005</v>
      </c>
      <c r="S192" s="18">
        <f t="shared" si="127"/>
        <v>4622.4000000000005</v>
      </c>
      <c r="T192" s="18">
        <f t="shared" si="127"/>
        <v>4622.4000000000005</v>
      </c>
      <c r="U192" s="18">
        <f t="shared" si="127"/>
        <v>4622.4000000000005</v>
      </c>
      <c r="V192" s="18">
        <f t="shared" si="127"/>
        <v>4622.4000000000005</v>
      </c>
      <c r="W192" s="18">
        <f t="shared" si="127"/>
        <v>4622.4000000000005</v>
      </c>
      <c r="X192" s="18">
        <f t="shared" si="127"/>
        <v>4622.4000000000005</v>
      </c>
      <c r="Y192" s="18">
        <f t="shared" si="127"/>
        <v>4622.4000000000005</v>
      </c>
      <c r="Z192" s="18">
        <f t="shared" si="127"/>
        <v>4622.4000000000005</v>
      </c>
      <c r="AA192" s="18">
        <f t="shared" si="127"/>
        <v>4622.4000000000005</v>
      </c>
    </row>
    <row r="193" spans="2:29" x14ac:dyDescent="0.3">
      <c r="B193" s="181"/>
      <c r="C193" s="129" t="s">
        <v>103</v>
      </c>
      <c r="D193" s="102">
        <f t="shared" ref="D193:O193" si="128">D148*D158</f>
        <v>3801.3024</v>
      </c>
      <c r="E193" s="102">
        <f t="shared" si="128"/>
        <v>4887.3887999999997</v>
      </c>
      <c r="F193" s="102">
        <f t="shared" si="128"/>
        <v>5701.9536000000007</v>
      </c>
      <c r="G193" s="102">
        <f t="shared" si="128"/>
        <v>5430.4320000000007</v>
      </c>
      <c r="H193" s="102">
        <f t="shared" si="128"/>
        <v>5430.4320000000007</v>
      </c>
      <c r="I193" s="102">
        <f t="shared" si="128"/>
        <v>2715.2160000000003</v>
      </c>
      <c r="J193" s="102">
        <f t="shared" si="128"/>
        <v>3801.3024</v>
      </c>
      <c r="K193" s="102">
        <f t="shared" si="128"/>
        <v>4072.8240000000001</v>
      </c>
      <c r="L193" s="102">
        <f t="shared" si="128"/>
        <v>6244.9967999999999</v>
      </c>
      <c r="M193" s="102">
        <f t="shared" si="128"/>
        <v>7331.0832</v>
      </c>
      <c r="N193" s="102">
        <f t="shared" si="128"/>
        <v>5158.9104000000007</v>
      </c>
      <c r="O193" s="102">
        <f t="shared" si="128"/>
        <v>6788.04</v>
      </c>
      <c r="P193" s="102">
        <f>P148*P158</f>
        <v>4887.3887999999997</v>
      </c>
      <c r="Q193" s="103">
        <f t="shared" ref="Q193:AA193" si="129">Q148*Q158</f>
        <v>3529.7808</v>
      </c>
      <c r="R193" s="103">
        <f t="shared" si="129"/>
        <v>62449.968000000001</v>
      </c>
      <c r="S193" s="103">
        <f t="shared" si="129"/>
        <v>7874.1264000000001</v>
      </c>
      <c r="T193" s="103">
        <f t="shared" si="129"/>
        <v>5701.9536000000007</v>
      </c>
      <c r="U193" s="103">
        <f t="shared" si="129"/>
        <v>7059.5616</v>
      </c>
      <c r="V193" s="103">
        <f t="shared" si="129"/>
        <v>5973.4751999999999</v>
      </c>
      <c r="W193" s="103">
        <f t="shared" si="129"/>
        <v>6516.5183999999999</v>
      </c>
      <c r="X193" s="103">
        <f t="shared" si="129"/>
        <v>6244.9967999999999</v>
      </c>
      <c r="Y193" s="103">
        <f t="shared" si="129"/>
        <v>4370.2048000000004</v>
      </c>
      <c r="Z193" s="103">
        <f t="shared" si="129"/>
        <v>0</v>
      </c>
      <c r="AA193" s="103">
        <f t="shared" si="129"/>
        <v>5430.4320000000007</v>
      </c>
    </row>
    <row r="194" spans="2:29" x14ac:dyDescent="0.3">
      <c r="B194" s="181"/>
      <c r="C194" s="129" t="s">
        <v>104</v>
      </c>
      <c r="D194" s="17">
        <f t="shared" ref="D194:O194" si="130">D149*D159</f>
        <v>1488.5115000000001</v>
      </c>
      <c r="E194" s="17">
        <f t="shared" si="130"/>
        <v>1663.6305</v>
      </c>
      <c r="F194" s="17">
        <f t="shared" si="130"/>
        <v>1768.7019</v>
      </c>
      <c r="G194" s="17">
        <f t="shared" si="130"/>
        <v>2048.8923</v>
      </c>
      <c r="H194" s="17">
        <f t="shared" si="130"/>
        <v>1821.2375999999999</v>
      </c>
      <c r="I194" s="17">
        <f t="shared" si="130"/>
        <v>1400.952</v>
      </c>
      <c r="J194" s="17">
        <f t="shared" si="130"/>
        <v>1418.4639000000002</v>
      </c>
      <c r="K194" s="17">
        <f t="shared" si="130"/>
        <v>1453.4876999999999</v>
      </c>
      <c r="L194" s="17">
        <f t="shared" si="130"/>
        <v>1891.2852</v>
      </c>
      <c r="M194" s="17">
        <f t="shared" si="130"/>
        <v>2188.9875000000002</v>
      </c>
      <c r="N194" s="17">
        <f t="shared" si="130"/>
        <v>2241.5232000000001</v>
      </c>
      <c r="O194" s="17">
        <f t="shared" si="130"/>
        <v>2136.4518000000003</v>
      </c>
      <c r="P194" s="17">
        <f>P149*P159</f>
        <v>1996.3566000000001</v>
      </c>
      <c r="Q194" s="18">
        <f t="shared" ref="Q194:AA194" si="131">Q149*Q159</f>
        <v>1891.2852</v>
      </c>
      <c r="R194" s="18">
        <f t="shared" si="131"/>
        <v>1803.7257</v>
      </c>
      <c r="S194" s="18">
        <f t="shared" si="131"/>
        <v>2408.3031999999998</v>
      </c>
      <c r="T194" s="18">
        <f t="shared" si="131"/>
        <v>2171.4755999999998</v>
      </c>
      <c r="U194" s="18">
        <f t="shared" si="131"/>
        <v>1943.8208999999999</v>
      </c>
      <c r="V194" s="18">
        <f t="shared" si="131"/>
        <v>1628.6067</v>
      </c>
      <c r="W194" s="18">
        <f t="shared" si="131"/>
        <v>1646.1185999999998</v>
      </c>
      <c r="X194" s="18">
        <f t="shared" si="131"/>
        <v>2066.4041999999999</v>
      </c>
      <c r="Y194" s="18">
        <f t="shared" si="131"/>
        <v>1838.7495000000001</v>
      </c>
      <c r="Z194" s="18">
        <f t="shared" si="131"/>
        <v>0</v>
      </c>
      <c r="AA194" s="18">
        <f t="shared" si="131"/>
        <v>1716.1661999999999</v>
      </c>
    </row>
    <row r="195" spans="2:29" x14ac:dyDescent="0.3">
      <c r="B195" s="181"/>
      <c r="C195" s="129" t="s">
        <v>105</v>
      </c>
      <c r="D195" s="102">
        <f t="shared" ref="D195:O195" si="132">D148*D160</f>
        <v>1236.7991999999999</v>
      </c>
      <c r="E195" s="102">
        <f t="shared" si="132"/>
        <v>1590.1704</v>
      </c>
      <c r="F195" s="102">
        <f t="shared" si="132"/>
        <v>1855.1988000000001</v>
      </c>
      <c r="G195" s="102">
        <f t="shared" si="132"/>
        <v>1766.856</v>
      </c>
      <c r="H195" s="102">
        <f t="shared" si="132"/>
        <v>1766.856</v>
      </c>
      <c r="I195" s="102">
        <f t="shared" si="132"/>
        <v>883.428</v>
      </c>
      <c r="J195" s="102">
        <f t="shared" si="132"/>
        <v>1236.7991999999999</v>
      </c>
      <c r="K195" s="102">
        <f t="shared" si="132"/>
        <v>1325.1420000000001</v>
      </c>
      <c r="L195" s="102">
        <f t="shared" si="132"/>
        <v>2031.8844000000001</v>
      </c>
      <c r="M195" s="102">
        <f t="shared" si="132"/>
        <v>2385.2556</v>
      </c>
      <c r="N195" s="102">
        <f t="shared" si="132"/>
        <v>1678.5132000000001</v>
      </c>
      <c r="O195" s="102">
        <f t="shared" si="132"/>
        <v>2208.5700000000002</v>
      </c>
      <c r="P195" s="102">
        <f>P148*P160</f>
        <v>1590.1704</v>
      </c>
      <c r="Q195" s="103">
        <f t="shared" ref="Q195:AA195" si="133">Q148*Q160</f>
        <v>1148.4564</v>
      </c>
      <c r="R195" s="103">
        <f t="shared" si="133"/>
        <v>20318.843999999997</v>
      </c>
      <c r="S195" s="103">
        <f t="shared" si="133"/>
        <v>2561.9412000000002</v>
      </c>
      <c r="T195" s="103">
        <f t="shared" si="133"/>
        <v>1855.1988000000001</v>
      </c>
      <c r="U195" s="103">
        <f t="shared" si="133"/>
        <v>2296.9128000000001</v>
      </c>
      <c r="V195" s="103">
        <f t="shared" si="133"/>
        <v>1943.5416</v>
      </c>
      <c r="W195" s="103">
        <f t="shared" si="133"/>
        <v>2120.2272000000003</v>
      </c>
      <c r="X195" s="103">
        <f t="shared" si="133"/>
        <v>2031.8844000000001</v>
      </c>
      <c r="Y195" s="103">
        <f t="shared" si="133"/>
        <v>1421.8984</v>
      </c>
      <c r="Z195" s="103">
        <f t="shared" si="133"/>
        <v>0</v>
      </c>
      <c r="AA195" s="103">
        <f t="shared" si="133"/>
        <v>1766.856</v>
      </c>
    </row>
    <row r="196" spans="2:29" x14ac:dyDescent="0.3">
      <c r="B196" s="181"/>
      <c r="C196" s="129" t="s">
        <v>106</v>
      </c>
      <c r="D196" s="17">
        <f t="shared" ref="D196:O196" si="134">D149*D161</f>
        <v>4488.2040000000006</v>
      </c>
      <c r="E196" s="17">
        <f t="shared" si="134"/>
        <v>5016.2280000000001</v>
      </c>
      <c r="F196" s="17">
        <f t="shared" si="134"/>
        <v>5333.0424000000003</v>
      </c>
      <c r="G196" s="17">
        <f t="shared" si="134"/>
        <v>6177.8807999999999</v>
      </c>
      <c r="H196" s="17">
        <f t="shared" si="134"/>
        <v>5491.4495999999999</v>
      </c>
      <c r="I196" s="17">
        <f t="shared" si="134"/>
        <v>4224.192</v>
      </c>
      <c r="J196" s="17">
        <f t="shared" si="134"/>
        <v>4276.9944000000005</v>
      </c>
      <c r="K196" s="17">
        <f t="shared" si="134"/>
        <v>4382.5991999999997</v>
      </c>
      <c r="L196" s="17">
        <f t="shared" si="134"/>
        <v>5702.6592000000001</v>
      </c>
      <c r="M196" s="17">
        <f t="shared" si="134"/>
        <v>6600.3</v>
      </c>
      <c r="N196" s="17">
        <f t="shared" si="134"/>
        <v>6758.7071999999998</v>
      </c>
      <c r="O196" s="17">
        <f t="shared" si="134"/>
        <v>6441.8928000000005</v>
      </c>
      <c r="P196" s="17">
        <f>P149*P161</f>
        <v>6019.4736000000003</v>
      </c>
      <c r="Q196" s="18">
        <f t="shared" ref="Q196:AA196" si="135">Q149*Q161</f>
        <v>5702.6592000000001</v>
      </c>
      <c r="R196" s="18">
        <f t="shared" si="135"/>
        <v>5438.6471999999994</v>
      </c>
      <c r="S196" s="18">
        <f t="shared" si="135"/>
        <v>7261.5871999999999</v>
      </c>
      <c r="T196" s="18">
        <f t="shared" si="135"/>
        <v>6547.4975999999997</v>
      </c>
      <c r="U196" s="18">
        <f t="shared" si="135"/>
        <v>5861.0663999999997</v>
      </c>
      <c r="V196" s="18">
        <f t="shared" si="135"/>
        <v>4910.6232</v>
      </c>
      <c r="W196" s="18">
        <f t="shared" si="135"/>
        <v>4963.4255999999996</v>
      </c>
      <c r="X196" s="18">
        <f t="shared" si="135"/>
        <v>6230.6832000000004</v>
      </c>
      <c r="Y196" s="18">
        <f t="shared" si="135"/>
        <v>5544.2520000000004</v>
      </c>
      <c r="Z196" s="18">
        <f t="shared" si="135"/>
        <v>0</v>
      </c>
      <c r="AA196" s="18">
        <f t="shared" si="135"/>
        <v>5174.6351999999997</v>
      </c>
    </row>
    <row r="197" spans="2:29" x14ac:dyDescent="0.3">
      <c r="B197" s="181"/>
      <c r="C197" s="130" t="s">
        <v>107</v>
      </c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3"/>
      <c r="R197" s="103"/>
      <c r="S197" s="103"/>
      <c r="T197" s="103"/>
      <c r="U197" s="103"/>
      <c r="V197" s="103"/>
      <c r="W197" s="103"/>
      <c r="X197" s="103"/>
      <c r="Y197" s="103"/>
      <c r="Z197" s="103"/>
      <c r="AA197" s="103"/>
    </row>
    <row r="198" spans="2:29" x14ac:dyDescent="0.3">
      <c r="B198" s="181"/>
      <c r="C198" s="130" t="s">
        <v>110</v>
      </c>
      <c r="D198" s="21">
        <f t="shared" ref="D198:O198" si="136">SUM(D191:D197)/(1-SUM(D163:D164))*SUM(D163:D164)</f>
        <v>7358.6904000000013</v>
      </c>
      <c r="E198" s="21">
        <f t="shared" si="136"/>
        <v>8366.9730352941187</v>
      </c>
      <c r="F198" s="21">
        <f t="shared" si="136"/>
        <v>9073.5513882352952</v>
      </c>
      <c r="G198" s="21">
        <f t="shared" si="136"/>
        <v>9433.6287529411766</v>
      </c>
      <c r="H198" s="21">
        <f t="shared" si="136"/>
        <v>9003.4706823529432</v>
      </c>
      <c r="I198" s="21">
        <f t="shared" si="136"/>
        <v>6515.8531764705904</v>
      </c>
      <c r="J198" s="21">
        <f t="shared" si="136"/>
        <v>7226.3340705882365</v>
      </c>
      <c r="K198" s="21">
        <f t="shared" si="136"/>
        <v>7461.860188235295</v>
      </c>
      <c r="L198" s="21">
        <f t="shared" si="136"/>
        <v>9643.8708705882364</v>
      </c>
      <c r="M198" s="21">
        <f t="shared" si="136"/>
        <v>10883.777082352943</v>
      </c>
      <c r="N198" s="21">
        <f t="shared" si="136"/>
        <v>9628.2607058823542</v>
      </c>
      <c r="O198" s="21">
        <f t="shared" si="136"/>
        <v>10445.813929411766</v>
      </c>
      <c r="P198" s="21">
        <f>SUM(P191:P197)/(1-SUM(P163:P164))*SUM(P163:P164)</f>
        <v>8995.6656000000021</v>
      </c>
      <c r="Q198" s="22">
        <f t="shared" ref="Q198:AA198" si="137">SUM(Q191:Q197)/(1-SUM(Q163:Q164))*SUM(Q163:Q164)</f>
        <v>7950.3913411764706</v>
      </c>
      <c r="R198" s="22">
        <f t="shared" si="137"/>
        <v>44533.451717647054</v>
      </c>
      <c r="S198" s="22">
        <f t="shared" si="137"/>
        <v>11636.874352941179</v>
      </c>
      <c r="T198" s="22">
        <f t="shared" si="137"/>
        <v>9834.6002823529434</v>
      </c>
      <c r="U198" s="22">
        <f t="shared" si="137"/>
        <v>10251.181976470591</v>
      </c>
      <c r="V198" s="22">
        <f t="shared" si="137"/>
        <v>8978.1866823529435</v>
      </c>
      <c r="W198" s="22">
        <f t="shared" si="137"/>
        <v>9349.9716705882365</v>
      </c>
      <c r="X198" s="22">
        <f t="shared" si="137"/>
        <v>9974.7616941176493</v>
      </c>
      <c r="Y198" s="22">
        <f t="shared" si="137"/>
        <v>8375.2963294117671</v>
      </c>
      <c r="Z198" s="22">
        <f t="shared" si="137"/>
        <v>2175.2470588235296</v>
      </c>
      <c r="AA198" s="22">
        <f t="shared" si="137"/>
        <v>8804.936188235295</v>
      </c>
    </row>
    <row r="199" spans="2:29" ht="17.25" thickBot="1" x14ac:dyDescent="0.35">
      <c r="B199" s="181"/>
      <c r="C199" s="101"/>
      <c r="D199" s="101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  <c r="Z199" s="101"/>
      <c r="AA199" s="45"/>
    </row>
    <row r="200" spans="2:29" ht="17.25" thickBot="1" x14ac:dyDescent="0.35">
      <c r="B200" s="181"/>
      <c r="C200" s="134" t="s">
        <v>109</v>
      </c>
      <c r="D200" s="46">
        <f t="shared" ref="D200:O200" si="138">+SUM(D191:D198)</f>
        <v>22995.907500000001</v>
      </c>
      <c r="E200" s="46">
        <f t="shared" si="138"/>
        <v>26146.790735294118</v>
      </c>
      <c r="F200" s="46">
        <f t="shared" si="138"/>
        <v>28354.848088235296</v>
      </c>
      <c r="G200" s="46">
        <f t="shared" si="138"/>
        <v>29480.089852941179</v>
      </c>
      <c r="H200" s="46">
        <f t="shared" si="138"/>
        <v>28135.845882352944</v>
      </c>
      <c r="I200" s="46">
        <f t="shared" si="138"/>
        <v>20362.041176470593</v>
      </c>
      <c r="J200" s="46">
        <f t="shared" si="138"/>
        <v>22582.293970588238</v>
      </c>
      <c r="K200" s="46">
        <f t="shared" si="138"/>
        <v>23318.313088235296</v>
      </c>
      <c r="L200" s="46">
        <f t="shared" si="138"/>
        <v>30137.096470588236</v>
      </c>
      <c r="M200" s="46">
        <f t="shared" si="138"/>
        <v>34011.80338235294</v>
      </c>
      <c r="N200" s="46">
        <f t="shared" si="138"/>
        <v>30088.314705882352</v>
      </c>
      <c r="O200" s="46">
        <f t="shared" si="138"/>
        <v>32643.168529411771</v>
      </c>
      <c r="P200" s="46">
        <f>+SUM(P191:P198)</f>
        <v>28111.455000000002</v>
      </c>
      <c r="Q200" s="46">
        <f t="shared" ref="Q200:AA200" si="139">+SUM(Q191:Q198)</f>
        <v>24844.972941176467</v>
      </c>
      <c r="R200" s="46">
        <f t="shared" si="139"/>
        <v>139167.03661764704</v>
      </c>
      <c r="S200" s="46">
        <f t="shared" si="139"/>
        <v>36365.232352941181</v>
      </c>
      <c r="T200" s="46">
        <f t="shared" si="139"/>
        <v>30733.125882352942</v>
      </c>
      <c r="U200" s="46">
        <f t="shared" si="139"/>
        <v>32034.943676470593</v>
      </c>
      <c r="V200" s="46">
        <f t="shared" si="139"/>
        <v>28056.833382352947</v>
      </c>
      <c r="W200" s="46">
        <f t="shared" si="139"/>
        <v>29218.661470588238</v>
      </c>
      <c r="X200" s="46">
        <f t="shared" si="139"/>
        <v>31171.130294117651</v>
      </c>
      <c r="Y200" s="46">
        <f t="shared" si="139"/>
        <v>26172.80102941177</v>
      </c>
      <c r="Z200" s="46">
        <f t="shared" si="139"/>
        <v>6797.6470588235297</v>
      </c>
      <c r="AA200" s="46">
        <f t="shared" si="139"/>
        <v>27515.425588235295</v>
      </c>
      <c r="AC200" s="47">
        <f>SUM(D200:AA200)</f>
        <v>768445.77867647051</v>
      </c>
    </row>
    <row r="201" spans="2:29" ht="17.25" thickBot="1" x14ac:dyDescent="0.35">
      <c r="B201" s="181"/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101"/>
      <c r="AA201" s="41"/>
    </row>
    <row r="202" spans="2:29" ht="17.25" thickBot="1" x14ac:dyDescent="0.35">
      <c r="B202" s="181"/>
      <c r="C202" s="134" t="s">
        <v>111</v>
      </c>
      <c r="D202" s="46">
        <f t="shared" ref="D202:O202" si="140">D200-D188</f>
        <v>7769.0280159548747</v>
      </c>
      <c r="E202" s="46">
        <f t="shared" si="140"/>
        <v>8832.7430770346473</v>
      </c>
      <c r="F202" s="46">
        <f t="shared" si="140"/>
        <v>9647.8206137792113</v>
      </c>
      <c r="G202" s="46">
        <f t="shared" si="140"/>
        <v>9168.6332103142631</v>
      </c>
      <c r="H202" s="46">
        <f t="shared" si="140"/>
        <v>9318.4906317485948</v>
      </c>
      <c r="I202" s="46">
        <f t="shared" si="140"/>
        <v>6647.67548509267</v>
      </c>
      <c r="J202" s="46">
        <f t="shared" si="140"/>
        <v>7815.1379917808226</v>
      </c>
      <c r="K202" s="46">
        <f t="shared" si="140"/>
        <v>8086.8305040290106</v>
      </c>
      <c r="L202" s="46">
        <f t="shared" si="140"/>
        <v>10156.623156406127</v>
      </c>
      <c r="M202" s="46">
        <f t="shared" si="140"/>
        <v>11139.645759790492</v>
      </c>
      <c r="N202" s="46">
        <f t="shared" si="140"/>
        <v>8747.0832766317471</v>
      </c>
      <c r="O202" s="46">
        <f t="shared" si="140"/>
        <v>10584.733241337635</v>
      </c>
      <c r="P202" s="46">
        <f>P200-P188</f>
        <v>8613.7206918613992</v>
      </c>
      <c r="Q202" s="46">
        <f t="shared" ref="Q202:AA202" si="141">Q200-Q188</f>
        <v>7209.148154794515</v>
      </c>
      <c r="R202" s="46">
        <f t="shared" si="141"/>
        <v>71226.993159548729</v>
      </c>
      <c r="S202" s="46">
        <f t="shared" si="141"/>
        <v>11584.772621514909</v>
      </c>
      <c r="T202" s="46">
        <f t="shared" si="141"/>
        <v>9382.6882527800153</v>
      </c>
      <c r="U202" s="46">
        <f t="shared" si="141"/>
        <v>11006.283175020148</v>
      </c>
      <c r="V202" s="46">
        <f t="shared" si="141"/>
        <v>10034.788065592267</v>
      </c>
      <c r="W202" s="46">
        <f t="shared" si="141"/>
        <v>10612.7555719581</v>
      </c>
      <c r="X202" s="46">
        <f t="shared" si="141"/>
        <v>10041.348216841259</v>
      </c>
      <c r="Y202" s="46">
        <f t="shared" si="141"/>
        <v>8156.0443276390033</v>
      </c>
      <c r="Z202" s="46">
        <f t="shared" si="141"/>
        <v>4622.3999999999996</v>
      </c>
      <c r="AA202" s="46">
        <f t="shared" si="141"/>
        <v>9387.6555954875112</v>
      </c>
      <c r="AC202" s="47">
        <f>AC200-AC188</f>
        <v>279793.04279693787</v>
      </c>
    </row>
    <row r="203" spans="2:29" ht="17.25" thickBot="1" x14ac:dyDescent="0.35">
      <c r="B203" s="182"/>
      <c r="C203" s="134" t="s">
        <v>112</v>
      </c>
      <c r="D203" s="105">
        <f t="shared" ref="D203:O203" si="142">D202/D200</f>
        <v>0.33784394096883869</v>
      </c>
      <c r="E203" s="105">
        <f t="shared" si="142"/>
        <v>0.33781366005701846</v>
      </c>
      <c r="F203" s="105">
        <f t="shared" si="142"/>
        <v>0.34025294664802619</v>
      </c>
      <c r="G203" s="105">
        <f t="shared" si="142"/>
        <v>0.31101103341445629</v>
      </c>
      <c r="H203" s="105">
        <f t="shared" si="142"/>
        <v>0.33119639163197279</v>
      </c>
      <c r="I203" s="105">
        <f t="shared" si="142"/>
        <v>0.32647392407664944</v>
      </c>
      <c r="J203" s="105">
        <f t="shared" si="142"/>
        <v>0.34607369835675061</v>
      </c>
      <c r="K203" s="105">
        <f t="shared" si="142"/>
        <v>0.34680169502094171</v>
      </c>
      <c r="L203" s="105">
        <f t="shared" si="142"/>
        <v>0.33701399092372097</v>
      </c>
      <c r="M203" s="105">
        <f t="shared" si="142"/>
        <v>0.32752293768610663</v>
      </c>
      <c r="N203" s="105">
        <f t="shared" si="142"/>
        <v>0.29071363292147656</v>
      </c>
      <c r="O203" s="105">
        <f t="shared" si="142"/>
        <v>0.32425569324867165</v>
      </c>
      <c r="P203" s="105">
        <f>P202/P200</f>
        <v>0.3064131931933583</v>
      </c>
      <c r="Q203" s="105">
        <f>Q202/Q200</f>
        <v>0.29016526489535976</v>
      </c>
      <c r="R203" s="105">
        <f t="shared" ref="R203:AA203" si="143">R202/R200</f>
        <v>0.51180936873176763</v>
      </c>
      <c r="S203" s="105">
        <f t="shared" si="143"/>
        <v>0.3185672652680836</v>
      </c>
      <c r="T203" s="105">
        <f t="shared" si="143"/>
        <v>0.30529560477177442</v>
      </c>
      <c r="U203" s="105">
        <f t="shared" si="143"/>
        <v>0.34357117297209966</v>
      </c>
      <c r="V203" s="105">
        <f t="shared" si="143"/>
        <v>0.35765932415965018</v>
      </c>
      <c r="W203" s="105">
        <f t="shared" si="143"/>
        <v>0.36321840350698448</v>
      </c>
      <c r="X203" s="105">
        <f t="shared" si="143"/>
        <v>0.32213616003318868</v>
      </c>
      <c r="Y203" s="105">
        <f t="shared" si="143"/>
        <v>0.31162290648500413</v>
      </c>
      <c r="Z203" s="105">
        <f t="shared" si="143"/>
        <v>0.67999999999999994</v>
      </c>
      <c r="AA203" s="105">
        <f t="shared" si="143"/>
        <v>0.34117791728801639</v>
      </c>
      <c r="AC203" s="106">
        <f>AC202/AC200</f>
        <v>0.36410251778445357</v>
      </c>
    </row>
    <row r="204" spans="2:29" x14ac:dyDescent="0.3"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"/>
    </row>
    <row r="205" spans="2:29" x14ac:dyDescent="0.3"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"/>
    </row>
    <row r="206" spans="2:29" x14ac:dyDescent="0.3"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"/>
    </row>
    <row r="207" spans="2:29" x14ac:dyDescent="0.3"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"/>
    </row>
    <row r="208" spans="2:29" x14ac:dyDescent="0.3"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"/>
    </row>
    <row r="209" spans="2:27" x14ac:dyDescent="0.3"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"/>
    </row>
    <row r="210" spans="2:27" x14ac:dyDescent="0.3"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"/>
    </row>
    <row r="211" spans="2:27" x14ac:dyDescent="0.3"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"/>
    </row>
    <row r="212" spans="2:27" x14ac:dyDescent="0.3"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"/>
    </row>
    <row r="213" spans="2:27" x14ac:dyDescent="0.3"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"/>
    </row>
    <row r="214" spans="2:27" x14ac:dyDescent="0.3"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"/>
    </row>
    <row r="215" spans="2:27" x14ac:dyDescent="0.3"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"/>
    </row>
    <row r="216" spans="2:27" x14ac:dyDescent="0.3"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"/>
    </row>
    <row r="217" spans="2:27" x14ac:dyDescent="0.3"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"/>
    </row>
    <row r="218" spans="2:27" x14ac:dyDescent="0.3"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"/>
    </row>
    <row r="219" spans="2:27" x14ac:dyDescent="0.3"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"/>
    </row>
    <row r="220" spans="2:27" x14ac:dyDescent="0.3"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"/>
    </row>
    <row r="221" spans="2:27" x14ac:dyDescent="0.3"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"/>
    </row>
    <row r="222" spans="2:27" x14ac:dyDescent="0.3"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"/>
    </row>
    <row r="223" spans="2:27" x14ac:dyDescent="0.3"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"/>
    </row>
    <row r="224" spans="2:27" x14ac:dyDescent="0.3"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"/>
    </row>
    <row r="225" spans="2:27" x14ac:dyDescent="0.3"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"/>
    </row>
    <row r="226" spans="2:27" x14ac:dyDescent="0.3"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"/>
    </row>
    <row r="227" spans="2:27" x14ac:dyDescent="0.3"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"/>
    </row>
    <row r="228" spans="2:27" x14ac:dyDescent="0.3"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"/>
    </row>
    <row r="229" spans="2:27" x14ac:dyDescent="0.3"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"/>
    </row>
    <row r="230" spans="2:27" x14ac:dyDescent="0.3"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"/>
    </row>
    <row r="231" spans="2:27" x14ac:dyDescent="0.3"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"/>
    </row>
    <row r="232" spans="2:27" x14ac:dyDescent="0.3"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"/>
    </row>
    <row r="233" spans="2:27" x14ac:dyDescent="0.3"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"/>
    </row>
    <row r="234" spans="2:27" x14ac:dyDescent="0.3"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"/>
    </row>
    <row r="235" spans="2:27" x14ac:dyDescent="0.3"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"/>
    </row>
    <row r="236" spans="2:27" x14ac:dyDescent="0.3"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"/>
    </row>
    <row r="237" spans="2:27" x14ac:dyDescent="0.3"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"/>
    </row>
    <row r="238" spans="2:27" x14ac:dyDescent="0.3"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"/>
    </row>
    <row r="239" spans="2:27" x14ac:dyDescent="0.3"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"/>
    </row>
    <row r="240" spans="2:27" x14ac:dyDescent="0.3"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"/>
    </row>
    <row r="241" spans="2:27" x14ac:dyDescent="0.3"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"/>
    </row>
    <row r="242" spans="2:27" x14ac:dyDescent="0.3"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"/>
    </row>
    <row r="243" spans="2:27" x14ac:dyDescent="0.3"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"/>
    </row>
    <row r="244" spans="2:27" x14ac:dyDescent="0.3"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"/>
    </row>
    <row r="245" spans="2:27" x14ac:dyDescent="0.3"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"/>
    </row>
    <row r="246" spans="2:27" x14ac:dyDescent="0.3"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"/>
    </row>
    <row r="247" spans="2:27" x14ac:dyDescent="0.3"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"/>
    </row>
    <row r="248" spans="2:27" x14ac:dyDescent="0.3"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"/>
    </row>
    <row r="249" spans="2:27" x14ac:dyDescent="0.3"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"/>
    </row>
    <row r="250" spans="2:27" x14ac:dyDescent="0.3"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"/>
    </row>
    <row r="251" spans="2:27" x14ac:dyDescent="0.3"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"/>
    </row>
    <row r="252" spans="2:27" x14ac:dyDescent="0.3"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"/>
    </row>
    <row r="253" spans="2:27" x14ac:dyDescent="0.3"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"/>
    </row>
    <row r="254" spans="2:27" x14ac:dyDescent="0.3"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"/>
    </row>
    <row r="255" spans="2:27" x14ac:dyDescent="0.3"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"/>
    </row>
    <row r="256" spans="2:27" x14ac:dyDescent="0.3"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"/>
    </row>
    <row r="257" spans="2:27" x14ac:dyDescent="0.3"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"/>
    </row>
    <row r="258" spans="2:27" x14ac:dyDescent="0.3"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"/>
    </row>
    <row r="259" spans="2:27" x14ac:dyDescent="0.3"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"/>
    </row>
    <row r="260" spans="2:27" x14ac:dyDescent="0.3"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"/>
    </row>
    <row r="261" spans="2:27" x14ac:dyDescent="0.3"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"/>
    </row>
    <row r="262" spans="2:27" x14ac:dyDescent="0.3"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"/>
    </row>
    <row r="263" spans="2:27" x14ac:dyDescent="0.3"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"/>
    </row>
    <row r="264" spans="2:27" x14ac:dyDescent="0.3"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"/>
    </row>
    <row r="265" spans="2:27" x14ac:dyDescent="0.3"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"/>
    </row>
    <row r="266" spans="2:27" x14ac:dyDescent="0.3"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"/>
    </row>
    <row r="267" spans="2:27" x14ac:dyDescent="0.3"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"/>
    </row>
    <row r="268" spans="2:27" x14ac:dyDescent="0.3"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"/>
    </row>
    <row r="269" spans="2:27" x14ac:dyDescent="0.3"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"/>
    </row>
    <row r="270" spans="2:27" x14ac:dyDescent="0.3"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"/>
    </row>
    <row r="271" spans="2:27" x14ac:dyDescent="0.3"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"/>
    </row>
    <row r="272" spans="2:27" x14ac:dyDescent="0.3"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"/>
    </row>
    <row r="273" spans="2:27" x14ac:dyDescent="0.3"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"/>
    </row>
    <row r="274" spans="2:27" x14ac:dyDescent="0.3"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"/>
    </row>
    <row r="275" spans="2:27" x14ac:dyDescent="0.3"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"/>
    </row>
    <row r="276" spans="2:27" x14ac:dyDescent="0.3"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"/>
    </row>
    <row r="277" spans="2:27" x14ac:dyDescent="0.3"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"/>
    </row>
    <row r="278" spans="2:27" x14ac:dyDescent="0.3"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"/>
    </row>
    <row r="279" spans="2:27" x14ac:dyDescent="0.3"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"/>
    </row>
    <row r="280" spans="2:27" x14ac:dyDescent="0.3"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"/>
    </row>
    <row r="281" spans="2:27" x14ac:dyDescent="0.3"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"/>
    </row>
    <row r="282" spans="2:27" x14ac:dyDescent="0.3"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"/>
    </row>
    <row r="283" spans="2:27" x14ac:dyDescent="0.3"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"/>
    </row>
    <row r="284" spans="2:27" x14ac:dyDescent="0.3"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"/>
    </row>
    <row r="285" spans="2:27" x14ac:dyDescent="0.3"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"/>
    </row>
    <row r="286" spans="2:27" x14ac:dyDescent="0.3"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"/>
    </row>
    <row r="287" spans="2:27" x14ac:dyDescent="0.3"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"/>
    </row>
    <row r="288" spans="2:27" x14ac:dyDescent="0.3"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"/>
    </row>
    <row r="289" spans="2:27" x14ac:dyDescent="0.3"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"/>
    </row>
    <row r="290" spans="2:27" x14ac:dyDescent="0.3"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"/>
    </row>
    <row r="291" spans="2:27" x14ac:dyDescent="0.3"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"/>
    </row>
    <row r="292" spans="2:27" x14ac:dyDescent="0.3"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"/>
    </row>
    <row r="293" spans="2:27" x14ac:dyDescent="0.3"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"/>
    </row>
    <row r="294" spans="2:27" x14ac:dyDescent="0.3"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"/>
    </row>
    <row r="295" spans="2:27" x14ac:dyDescent="0.3"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"/>
    </row>
    <row r="296" spans="2:27" x14ac:dyDescent="0.3"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"/>
    </row>
    <row r="297" spans="2:27" x14ac:dyDescent="0.3"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"/>
    </row>
    <row r="298" spans="2:27" x14ac:dyDescent="0.3"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"/>
    </row>
    <row r="299" spans="2:27" x14ac:dyDescent="0.3"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"/>
    </row>
    <row r="300" spans="2:27" x14ac:dyDescent="0.3"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"/>
    </row>
    <row r="301" spans="2:27" x14ac:dyDescent="0.3"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"/>
    </row>
    <row r="302" spans="2:27" x14ac:dyDescent="0.3"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"/>
    </row>
    <row r="303" spans="2:27" x14ac:dyDescent="0.3"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"/>
    </row>
    <row r="304" spans="2:27" x14ac:dyDescent="0.3"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"/>
    </row>
    <row r="305" spans="2:27" x14ac:dyDescent="0.3"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"/>
    </row>
    <row r="306" spans="2:27" x14ac:dyDescent="0.3"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"/>
    </row>
    <row r="307" spans="2:27" x14ac:dyDescent="0.3"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"/>
    </row>
    <row r="308" spans="2:27" x14ac:dyDescent="0.3"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"/>
    </row>
    <row r="309" spans="2:27" x14ac:dyDescent="0.3"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"/>
    </row>
    <row r="310" spans="2:27" x14ac:dyDescent="0.3"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"/>
    </row>
    <row r="311" spans="2:27" x14ac:dyDescent="0.3"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"/>
    </row>
    <row r="312" spans="2:27" x14ac:dyDescent="0.3"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"/>
    </row>
    <row r="313" spans="2:27" x14ac:dyDescent="0.3"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"/>
    </row>
    <row r="314" spans="2:27" x14ac:dyDescent="0.3"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"/>
    </row>
    <row r="315" spans="2:27" x14ac:dyDescent="0.3"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"/>
    </row>
    <row r="316" spans="2:27" x14ac:dyDescent="0.3"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"/>
    </row>
    <row r="317" spans="2:27" x14ac:dyDescent="0.3"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"/>
    </row>
    <row r="318" spans="2:27" x14ac:dyDescent="0.3"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"/>
    </row>
    <row r="319" spans="2:27" x14ac:dyDescent="0.3"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"/>
    </row>
    <row r="320" spans="2:27" x14ac:dyDescent="0.3"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"/>
    </row>
    <row r="321" spans="2:27" x14ac:dyDescent="0.3"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"/>
    </row>
    <row r="322" spans="2:27" x14ac:dyDescent="0.3"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"/>
    </row>
    <row r="323" spans="2:27" x14ac:dyDescent="0.3"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"/>
    </row>
    <row r="324" spans="2:27" x14ac:dyDescent="0.3"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"/>
    </row>
    <row r="325" spans="2:27" x14ac:dyDescent="0.3"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"/>
    </row>
    <row r="326" spans="2:27" x14ac:dyDescent="0.3"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"/>
    </row>
    <row r="327" spans="2:27" x14ac:dyDescent="0.3"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"/>
    </row>
    <row r="328" spans="2:27" x14ac:dyDescent="0.3"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"/>
    </row>
    <row r="329" spans="2:27" x14ac:dyDescent="0.3"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"/>
    </row>
    <row r="330" spans="2:27" x14ac:dyDescent="0.3"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"/>
    </row>
    <row r="331" spans="2:27" x14ac:dyDescent="0.3"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"/>
    </row>
    <row r="332" spans="2:27" x14ac:dyDescent="0.3"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"/>
    </row>
    <row r="333" spans="2:27" x14ac:dyDescent="0.3"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"/>
    </row>
    <row r="334" spans="2:27" x14ac:dyDescent="0.3"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"/>
    </row>
    <row r="335" spans="2:27" x14ac:dyDescent="0.3"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"/>
    </row>
    <row r="336" spans="2:27" x14ac:dyDescent="0.3"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"/>
    </row>
    <row r="337" spans="2:27" x14ac:dyDescent="0.3"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"/>
    </row>
    <row r="338" spans="2:27" x14ac:dyDescent="0.3"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"/>
    </row>
    <row r="339" spans="2:27" x14ac:dyDescent="0.3"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"/>
    </row>
    <row r="340" spans="2:27" x14ac:dyDescent="0.3"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"/>
    </row>
    <row r="341" spans="2:27" x14ac:dyDescent="0.3"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"/>
    </row>
    <row r="342" spans="2:27" x14ac:dyDescent="0.3"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"/>
    </row>
    <row r="343" spans="2:27" x14ac:dyDescent="0.3"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"/>
    </row>
    <row r="344" spans="2:27" x14ac:dyDescent="0.3"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"/>
    </row>
    <row r="345" spans="2:27" x14ac:dyDescent="0.3"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"/>
    </row>
    <row r="346" spans="2:27" x14ac:dyDescent="0.3"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"/>
    </row>
    <row r="347" spans="2:27" x14ac:dyDescent="0.3"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"/>
    </row>
    <row r="348" spans="2:27" x14ac:dyDescent="0.3"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"/>
    </row>
    <row r="349" spans="2:27" x14ac:dyDescent="0.3"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"/>
    </row>
    <row r="350" spans="2:27" x14ac:dyDescent="0.3"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"/>
    </row>
    <row r="351" spans="2:27" x14ac:dyDescent="0.3"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"/>
    </row>
    <row r="352" spans="2:27" x14ac:dyDescent="0.3"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"/>
    </row>
    <row r="353" spans="2:27" x14ac:dyDescent="0.3"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"/>
    </row>
    <row r="354" spans="2:27" x14ac:dyDescent="0.3"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"/>
    </row>
    <row r="355" spans="2:27" x14ac:dyDescent="0.3"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"/>
    </row>
    <row r="356" spans="2:27" x14ac:dyDescent="0.3"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"/>
    </row>
    <row r="357" spans="2:27" x14ac:dyDescent="0.3"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"/>
    </row>
    <row r="358" spans="2:27" x14ac:dyDescent="0.3"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"/>
    </row>
    <row r="359" spans="2:27" x14ac:dyDescent="0.3"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"/>
    </row>
    <row r="360" spans="2:27" x14ac:dyDescent="0.3"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"/>
    </row>
    <row r="361" spans="2:27" x14ac:dyDescent="0.3"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"/>
    </row>
    <row r="362" spans="2:27" x14ac:dyDescent="0.3"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"/>
    </row>
    <row r="363" spans="2:27" x14ac:dyDescent="0.3"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"/>
    </row>
    <row r="364" spans="2:27" x14ac:dyDescent="0.3"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"/>
    </row>
    <row r="365" spans="2:27" x14ac:dyDescent="0.3"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"/>
    </row>
    <row r="366" spans="2:27" x14ac:dyDescent="0.3"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"/>
    </row>
    <row r="367" spans="2:27" x14ac:dyDescent="0.3"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"/>
    </row>
    <row r="368" spans="2:27" x14ac:dyDescent="0.3"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"/>
    </row>
    <row r="369" spans="2:27" x14ac:dyDescent="0.3"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"/>
    </row>
    <row r="370" spans="2:27" x14ac:dyDescent="0.3"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"/>
    </row>
    <row r="371" spans="2:27" x14ac:dyDescent="0.3"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"/>
    </row>
    <row r="372" spans="2:27" x14ac:dyDescent="0.3"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"/>
    </row>
    <row r="373" spans="2:27" x14ac:dyDescent="0.3"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"/>
    </row>
    <row r="374" spans="2:27" x14ac:dyDescent="0.3"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"/>
    </row>
    <row r="375" spans="2:27" x14ac:dyDescent="0.3"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"/>
    </row>
    <row r="376" spans="2:27" x14ac:dyDescent="0.3"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"/>
    </row>
    <row r="377" spans="2:27" x14ac:dyDescent="0.3"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"/>
    </row>
    <row r="378" spans="2:27" x14ac:dyDescent="0.3"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"/>
    </row>
    <row r="379" spans="2:27" x14ac:dyDescent="0.3"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"/>
    </row>
    <row r="380" spans="2:27" x14ac:dyDescent="0.3"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"/>
    </row>
    <row r="381" spans="2:27" x14ac:dyDescent="0.3"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"/>
    </row>
    <row r="382" spans="2:27" x14ac:dyDescent="0.3"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"/>
    </row>
    <row r="383" spans="2:27" x14ac:dyDescent="0.3"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"/>
    </row>
    <row r="384" spans="2:27" x14ac:dyDescent="0.3"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"/>
    </row>
    <row r="385" spans="2:27" x14ac:dyDescent="0.3"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"/>
    </row>
    <row r="386" spans="2:27" x14ac:dyDescent="0.3"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"/>
    </row>
    <row r="387" spans="2:27" x14ac:dyDescent="0.3"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"/>
    </row>
    <row r="388" spans="2:27" x14ac:dyDescent="0.3"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"/>
    </row>
    <row r="389" spans="2:27" x14ac:dyDescent="0.3"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"/>
    </row>
    <row r="390" spans="2:27" x14ac:dyDescent="0.3"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"/>
    </row>
    <row r="391" spans="2:27" x14ac:dyDescent="0.3"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"/>
    </row>
    <row r="392" spans="2:27" x14ac:dyDescent="0.3"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"/>
    </row>
    <row r="393" spans="2:27" x14ac:dyDescent="0.3"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"/>
    </row>
    <row r="394" spans="2:27" x14ac:dyDescent="0.3"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"/>
    </row>
    <row r="395" spans="2:27" x14ac:dyDescent="0.3"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"/>
    </row>
    <row r="396" spans="2:27" x14ac:dyDescent="0.3"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"/>
    </row>
    <row r="397" spans="2:27" x14ac:dyDescent="0.3"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"/>
    </row>
    <row r="398" spans="2:27" x14ac:dyDescent="0.3"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"/>
    </row>
    <row r="399" spans="2:27" x14ac:dyDescent="0.3"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"/>
    </row>
    <row r="400" spans="2:27" x14ac:dyDescent="0.3"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"/>
    </row>
    <row r="401" spans="2:27" x14ac:dyDescent="0.3"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"/>
    </row>
    <row r="402" spans="2:27" x14ac:dyDescent="0.3"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"/>
    </row>
    <row r="403" spans="2:27" x14ac:dyDescent="0.3"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"/>
    </row>
    <row r="404" spans="2:27" x14ac:dyDescent="0.3"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"/>
    </row>
    <row r="405" spans="2:27" x14ac:dyDescent="0.3"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"/>
    </row>
    <row r="406" spans="2:27" x14ac:dyDescent="0.3"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"/>
    </row>
    <row r="407" spans="2:27" x14ac:dyDescent="0.3"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"/>
    </row>
    <row r="408" spans="2:27" x14ac:dyDescent="0.3"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"/>
    </row>
    <row r="409" spans="2:27" x14ac:dyDescent="0.3"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"/>
    </row>
    <row r="410" spans="2:27" x14ac:dyDescent="0.3"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"/>
    </row>
    <row r="411" spans="2:27" x14ac:dyDescent="0.3"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"/>
    </row>
    <row r="412" spans="2:27" x14ac:dyDescent="0.3"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"/>
    </row>
    <row r="413" spans="2:27" x14ac:dyDescent="0.3"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"/>
    </row>
    <row r="414" spans="2:27" x14ac:dyDescent="0.3"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"/>
    </row>
    <row r="415" spans="2:27" x14ac:dyDescent="0.3"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"/>
    </row>
    <row r="416" spans="2:27" x14ac:dyDescent="0.3"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"/>
    </row>
    <row r="417" spans="2:27" x14ac:dyDescent="0.3"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"/>
    </row>
    <row r="418" spans="2:27" x14ac:dyDescent="0.3"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"/>
    </row>
    <row r="419" spans="2:27" x14ac:dyDescent="0.3"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"/>
    </row>
    <row r="420" spans="2:27" x14ac:dyDescent="0.3"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"/>
    </row>
    <row r="421" spans="2:27" x14ac:dyDescent="0.3"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"/>
    </row>
    <row r="422" spans="2:27" x14ac:dyDescent="0.3"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"/>
    </row>
    <row r="423" spans="2:27" x14ac:dyDescent="0.3"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"/>
    </row>
    <row r="424" spans="2:27" x14ac:dyDescent="0.3"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"/>
    </row>
    <row r="425" spans="2:27" x14ac:dyDescent="0.3"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"/>
    </row>
    <row r="426" spans="2:27" x14ac:dyDescent="0.3"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"/>
    </row>
    <row r="427" spans="2:27" x14ac:dyDescent="0.3"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"/>
    </row>
    <row r="428" spans="2:27" x14ac:dyDescent="0.3"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"/>
    </row>
    <row r="429" spans="2:27" x14ac:dyDescent="0.3"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"/>
    </row>
    <row r="430" spans="2:27" x14ac:dyDescent="0.3"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"/>
    </row>
    <row r="431" spans="2:27" x14ac:dyDescent="0.3"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"/>
    </row>
    <row r="432" spans="2:27" x14ac:dyDescent="0.3"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"/>
    </row>
    <row r="433" spans="2:27" x14ac:dyDescent="0.3"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"/>
    </row>
    <row r="434" spans="2:27" x14ac:dyDescent="0.3"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"/>
    </row>
    <row r="435" spans="2:27" x14ac:dyDescent="0.3"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"/>
    </row>
    <row r="436" spans="2:27" x14ac:dyDescent="0.3"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"/>
    </row>
    <row r="437" spans="2:27" x14ac:dyDescent="0.3"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"/>
    </row>
    <row r="438" spans="2:27" x14ac:dyDescent="0.3"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"/>
    </row>
    <row r="439" spans="2:27" x14ac:dyDescent="0.3"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"/>
    </row>
    <row r="440" spans="2:27" x14ac:dyDescent="0.3"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"/>
    </row>
    <row r="441" spans="2:27" x14ac:dyDescent="0.3"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"/>
    </row>
    <row r="442" spans="2:27" x14ac:dyDescent="0.3"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"/>
    </row>
    <row r="443" spans="2:27" x14ac:dyDescent="0.3"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"/>
    </row>
    <row r="444" spans="2:27" x14ac:dyDescent="0.3"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"/>
    </row>
    <row r="445" spans="2:27" x14ac:dyDescent="0.3"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"/>
    </row>
    <row r="446" spans="2:27" x14ac:dyDescent="0.3"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"/>
    </row>
    <row r="447" spans="2:27" x14ac:dyDescent="0.3"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"/>
    </row>
    <row r="448" spans="2:27" x14ac:dyDescent="0.3"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"/>
    </row>
    <row r="449" spans="2:27" x14ac:dyDescent="0.3"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"/>
    </row>
    <row r="450" spans="2:27" x14ac:dyDescent="0.3"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"/>
    </row>
    <row r="451" spans="2:27" x14ac:dyDescent="0.3"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"/>
    </row>
    <row r="452" spans="2:27" x14ac:dyDescent="0.3"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"/>
    </row>
    <row r="453" spans="2:27" x14ac:dyDescent="0.3"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"/>
    </row>
    <row r="454" spans="2:27" x14ac:dyDescent="0.3"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"/>
    </row>
    <row r="455" spans="2:27" x14ac:dyDescent="0.3"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"/>
    </row>
    <row r="456" spans="2:27" x14ac:dyDescent="0.3"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"/>
    </row>
    <row r="457" spans="2:27" x14ac:dyDescent="0.3"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"/>
    </row>
    <row r="458" spans="2:27" x14ac:dyDescent="0.3"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"/>
    </row>
    <row r="459" spans="2:27" x14ac:dyDescent="0.3"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"/>
    </row>
    <row r="460" spans="2:27" x14ac:dyDescent="0.3"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"/>
    </row>
    <row r="461" spans="2:27" x14ac:dyDescent="0.3"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"/>
    </row>
    <row r="462" spans="2:27" x14ac:dyDescent="0.3"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"/>
    </row>
    <row r="463" spans="2:27" x14ac:dyDescent="0.3"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"/>
    </row>
    <row r="464" spans="2:27" x14ac:dyDescent="0.3"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"/>
    </row>
    <row r="465" spans="2:27" x14ac:dyDescent="0.3"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"/>
    </row>
    <row r="466" spans="2:27" x14ac:dyDescent="0.3"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"/>
    </row>
    <row r="467" spans="2:27" x14ac:dyDescent="0.3"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"/>
    </row>
    <row r="468" spans="2:27" x14ac:dyDescent="0.3"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"/>
    </row>
    <row r="469" spans="2:27" x14ac:dyDescent="0.3"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"/>
    </row>
    <row r="470" spans="2:27" x14ac:dyDescent="0.3"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"/>
    </row>
    <row r="471" spans="2:27" x14ac:dyDescent="0.3"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"/>
    </row>
    <row r="472" spans="2:27" x14ac:dyDescent="0.3"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"/>
    </row>
    <row r="473" spans="2:27" x14ac:dyDescent="0.3"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"/>
    </row>
    <row r="474" spans="2:27" x14ac:dyDescent="0.3"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"/>
    </row>
    <row r="475" spans="2:27" x14ac:dyDescent="0.3"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"/>
    </row>
    <row r="476" spans="2:27" x14ac:dyDescent="0.3"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"/>
    </row>
    <row r="477" spans="2:27" x14ac:dyDescent="0.3"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"/>
    </row>
    <row r="478" spans="2:27" x14ac:dyDescent="0.3"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"/>
    </row>
    <row r="479" spans="2:27" x14ac:dyDescent="0.3"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"/>
    </row>
    <row r="480" spans="2:27" x14ac:dyDescent="0.3"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"/>
    </row>
    <row r="481" spans="2:27" x14ac:dyDescent="0.3"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"/>
    </row>
    <row r="482" spans="2:27" x14ac:dyDescent="0.3"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"/>
    </row>
    <row r="483" spans="2:27" x14ac:dyDescent="0.3"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"/>
    </row>
    <row r="484" spans="2:27" x14ac:dyDescent="0.3"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"/>
    </row>
    <row r="485" spans="2:27" x14ac:dyDescent="0.3"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"/>
    </row>
    <row r="486" spans="2:27" x14ac:dyDescent="0.3"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"/>
    </row>
    <row r="487" spans="2:27" x14ac:dyDescent="0.3"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"/>
    </row>
    <row r="488" spans="2:27" x14ac:dyDescent="0.3"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"/>
    </row>
    <row r="489" spans="2:27" x14ac:dyDescent="0.3"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"/>
    </row>
    <row r="490" spans="2:27" x14ac:dyDescent="0.3"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"/>
    </row>
    <row r="491" spans="2:27" x14ac:dyDescent="0.3"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"/>
    </row>
    <row r="492" spans="2:27" x14ac:dyDescent="0.3"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"/>
    </row>
    <row r="493" spans="2:27" x14ac:dyDescent="0.3"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"/>
    </row>
    <row r="494" spans="2:27" x14ac:dyDescent="0.3"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"/>
    </row>
    <row r="495" spans="2:27" x14ac:dyDescent="0.3"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"/>
    </row>
    <row r="496" spans="2:27" x14ac:dyDescent="0.3"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"/>
    </row>
    <row r="497" spans="2:27" x14ac:dyDescent="0.3"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"/>
    </row>
    <row r="498" spans="2:27" x14ac:dyDescent="0.3"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"/>
    </row>
    <row r="499" spans="2:27" x14ac:dyDescent="0.3"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"/>
    </row>
    <row r="500" spans="2:27" x14ac:dyDescent="0.3"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"/>
    </row>
    <row r="501" spans="2:27" x14ac:dyDescent="0.3"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"/>
    </row>
    <row r="502" spans="2:27" x14ac:dyDescent="0.3"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"/>
    </row>
    <row r="503" spans="2:27" x14ac:dyDescent="0.3"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"/>
    </row>
    <row r="504" spans="2:27" x14ac:dyDescent="0.3"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"/>
    </row>
    <row r="505" spans="2:27" x14ac:dyDescent="0.3"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"/>
    </row>
    <row r="506" spans="2:27" x14ac:dyDescent="0.3"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"/>
    </row>
    <row r="507" spans="2:27" x14ac:dyDescent="0.3"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"/>
    </row>
    <row r="508" spans="2:27" x14ac:dyDescent="0.3"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"/>
    </row>
    <row r="509" spans="2:27" x14ac:dyDescent="0.3"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"/>
    </row>
    <row r="510" spans="2:27" x14ac:dyDescent="0.3"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"/>
    </row>
    <row r="511" spans="2:27" x14ac:dyDescent="0.3"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"/>
    </row>
    <row r="512" spans="2:27" x14ac:dyDescent="0.3"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"/>
    </row>
    <row r="513" spans="2:27" x14ac:dyDescent="0.3"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"/>
    </row>
    <row r="514" spans="2:27" x14ac:dyDescent="0.3"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"/>
    </row>
    <row r="515" spans="2:27" x14ac:dyDescent="0.3"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"/>
    </row>
    <row r="516" spans="2:27" x14ac:dyDescent="0.3"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"/>
    </row>
    <row r="517" spans="2:27" x14ac:dyDescent="0.3"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"/>
    </row>
    <row r="518" spans="2:27" x14ac:dyDescent="0.3"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"/>
    </row>
    <row r="519" spans="2:27" x14ac:dyDescent="0.3"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"/>
    </row>
    <row r="520" spans="2:27" x14ac:dyDescent="0.3"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"/>
    </row>
    <row r="521" spans="2:27" x14ac:dyDescent="0.3"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"/>
    </row>
    <row r="522" spans="2:27" x14ac:dyDescent="0.3"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"/>
    </row>
    <row r="523" spans="2:27" x14ac:dyDescent="0.3"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"/>
    </row>
    <row r="524" spans="2:27" x14ac:dyDescent="0.3"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"/>
    </row>
    <row r="525" spans="2:27" x14ac:dyDescent="0.3"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"/>
    </row>
    <row r="526" spans="2:27" x14ac:dyDescent="0.3"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"/>
    </row>
    <row r="527" spans="2:27" x14ac:dyDescent="0.3"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"/>
    </row>
    <row r="528" spans="2:27" x14ac:dyDescent="0.3"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"/>
    </row>
    <row r="529" spans="2:27" x14ac:dyDescent="0.3"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"/>
    </row>
    <row r="530" spans="2:27" x14ac:dyDescent="0.3"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"/>
    </row>
    <row r="531" spans="2:27" x14ac:dyDescent="0.3"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"/>
    </row>
    <row r="532" spans="2:27" x14ac:dyDescent="0.3"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"/>
    </row>
    <row r="533" spans="2:27" x14ac:dyDescent="0.3"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"/>
    </row>
    <row r="534" spans="2:27" x14ac:dyDescent="0.3"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"/>
    </row>
    <row r="535" spans="2:27" x14ac:dyDescent="0.3"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"/>
    </row>
    <row r="536" spans="2:27" x14ac:dyDescent="0.3"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"/>
    </row>
    <row r="537" spans="2:27" x14ac:dyDescent="0.3"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"/>
    </row>
    <row r="538" spans="2:27" x14ac:dyDescent="0.3"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"/>
    </row>
    <row r="539" spans="2:27" x14ac:dyDescent="0.3"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"/>
    </row>
    <row r="540" spans="2:27" x14ac:dyDescent="0.3"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"/>
    </row>
    <row r="541" spans="2:27" x14ac:dyDescent="0.3"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"/>
    </row>
    <row r="542" spans="2:27" x14ac:dyDescent="0.3"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"/>
    </row>
    <row r="543" spans="2:27" x14ac:dyDescent="0.3"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"/>
    </row>
    <row r="544" spans="2:27" x14ac:dyDescent="0.3"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"/>
    </row>
    <row r="545" spans="2:27" x14ac:dyDescent="0.3"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"/>
    </row>
    <row r="546" spans="2:27" x14ac:dyDescent="0.3"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"/>
    </row>
    <row r="547" spans="2:27" x14ac:dyDescent="0.3"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"/>
    </row>
    <row r="548" spans="2:27" x14ac:dyDescent="0.3"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"/>
    </row>
    <row r="549" spans="2:27" x14ac:dyDescent="0.3"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"/>
    </row>
    <row r="550" spans="2:27" x14ac:dyDescent="0.3"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"/>
    </row>
    <row r="551" spans="2:27" x14ac:dyDescent="0.3"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"/>
    </row>
    <row r="552" spans="2:27" x14ac:dyDescent="0.3"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"/>
    </row>
    <row r="553" spans="2:27" x14ac:dyDescent="0.3"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"/>
    </row>
    <row r="554" spans="2:27" x14ac:dyDescent="0.3"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"/>
    </row>
    <row r="555" spans="2:27" x14ac:dyDescent="0.3"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"/>
    </row>
    <row r="556" spans="2:27" x14ac:dyDescent="0.3"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"/>
    </row>
    <row r="557" spans="2:27" x14ac:dyDescent="0.3"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"/>
    </row>
    <row r="558" spans="2:27" x14ac:dyDescent="0.3"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"/>
    </row>
    <row r="559" spans="2:27" x14ac:dyDescent="0.3"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"/>
    </row>
    <row r="560" spans="2:27" x14ac:dyDescent="0.3"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"/>
    </row>
    <row r="561" spans="2:27" x14ac:dyDescent="0.3"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"/>
    </row>
    <row r="562" spans="2:27" x14ac:dyDescent="0.3"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"/>
    </row>
    <row r="563" spans="2:27" x14ac:dyDescent="0.3"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"/>
    </row>
    <row r="564" spans="2:27" x14ac:dyDescent="0.3"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"/>
    </row>
    <row r="565" spans="2:27" x14ac:dyDescent="0.3"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"/>
    </row>
    <row r="566" spans="2:27" x14ac:dyDescent="0.3"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"/>
    </row>
    <row r="567" spans="2:27" x14ac:dyDescent="0.3"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"/>
    </row>
    <row r="568" spans="2:27" x14ac:dyDescent="0.3"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"/>
    </row>
    <row r="569" spans="2:27" x14ac:dyDescent="0.3"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"/>
    </row>
    <row r="570" spans="2:27" x14ac:dyDescent="0.3"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"/>
    </row>
    <row r="670" spans="2:27" x14ac:dyDescent="0.3"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"/>
    </row>
    <row r="671" spans="2:27" x14ac:dyDescent="0.3"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"/>
    </row>
    <row r="672" spans="2:27" x14ac:dyDescent="0.3"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"/>
    </row>
    <row r="673" spans="2:27" x14ac:dyDescent="0.3"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"/>
    </row>
    <row r="674" spans="2:27" x14ac:dyDescent="0.3"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"/>
    </row>
    <row r="675" spans="2:27" x14ac:dyDescent="0.3"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"/>
    </row>
    <row r="676" spans="2:27" x14ac:dyDescent="0.3"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"/>
    </row>
    <row r="677" spans="2:27" x14ac:dyDescent="0.3"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"/>
    </row>
    <row r="678" spans="2:27" x14ac:dyDescent="0.3"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"/>
    </row>
    <row r="679" spans="2:27" x14ac:dyDescent="0.3"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"/>
    </row>
    <row r="680" spans="2:27" x14ac:dyDescent="0.3"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"/>
    </row>
    <row r="681" spans="2:27" x14ac:dyDescent="0.3"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"/>
    </row>
    <row r="682" spans="2:27" x14ac:dyDescent="0.3"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"/>
    </row>
    <row r="683" spans="2:27" x14ac:dyDescent="0.3"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"/>
    </row>
    <row r="684" spans="2:27" x14ac:dyDescent="0.3"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"/>
    </row>
    <row r="685" spans="2:27" x14ac:dyDescent="0.3"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"/>
    </row>
    <row r="686" spans="2:27" x14ac:dyDescent="0.3"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"/>
    </row>
    <row r="687" spans="2:27" x14ac:dyDescent="0.3"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"/>
    </row>
    <row r="688" spans="2:27" x14ac:dyDescent="0.3"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"/>
    </row>
    <row r="689" spans="2:27" x14ac:dyDescent="0.3"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"/>
    </row>
    <row r="690" spans="2:27" x14ac:dyDescent="0.3"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"/>
    </row>
    <row r="691" spans="2:27" x14ac:dyDescent="0.3"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"/>
    </row>
    <row r="692" spans="2:27" x14ac:dyDescent="0.3"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"/>
    </row>
    <row r="693" spans="2:27" x14ac:dyDescent="0.3"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"/>
    </row>
    <row r="694" spans="2:27" x14ac:dyDescent="0.3"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"/>
    </row>
    <row r="695" spans="2:27" x14ac:dyDescent="0.3"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"/>
    </row>
    <row r="696" spans="2:27" x14ac:dyDescent="0.3"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"/>
    </row>
    <row r="697" spans="2:27" x14ac:dyDescent="0.3"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"/>
    </row>
    <row r="698" spans="2:27" x14ac:dyDescent="0.3"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"/>
    </row>
    <row r="699" spans="2:27" x14ac:dyDescent="0.3"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"/>
    </row>
    <row r="700" spans="2:27" x14ac:dyDescent="0.3"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"/>
    </row>
    <row r="701" spans="2:27" x14ac:dyDescent="0.3"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"/>
    </row>
    <row r="702" spans="2:27" x14ac:dyDescent="0.3"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"/>
    </row>
    <row r="703" spans="2:27" x14ac:dyDescent="0.3"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"/>
    </row>
    <row r="704" spans="2:27" x14ac:dyDescent="0.3"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"/>
    </row>
    <row r="705" spans="2:27" x14ac:dyDescent="0.3"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"/>
    </row>
    <row r="706" spans="2:27" x14ac:dyDescent="0.3"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"/>
    </row>
    <row r="707" spans="2:27" x14ac:dyDescent="0.3"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"/>
    </row>
    <row r="708" spans="2:27" x14ac:dyDescent="0.3"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"/>
    </row>
    <row r="709" spans="2:27" x14ac:dyDescent="0.3"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"/>
    </row>
    <row r="710" spans="2:27" x14ac:dyDescent="0.3"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"/>
    </row>
    <row r="711" spans="2:27" x14ac:dyDescent="0.3"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"/>
    </row>
    <row r="712" spans="2:27" x14ac:dyDescent="0.3"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"/>
    </row>
    <row r="713" spans="2:27" x14ac:dyDescent="0.3"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"/>
    </row>
    <row r="714" spans="2:27" x14ac:dyDescent="0.3"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"/>
    </row>
    <row r="715" spans="2:27" x14ac:dyDescent="0.3"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"/>
    </row>
    <row r="716" spans="2:27" x14ac:dyDescent="0.3"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"/>
    </row>
    <row r="717" spans="2:27" x14ac:dyDescent="0.3"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"/>
    </row>
    <row r="718" spans="2:27" x14ac:dyDescent="0.3"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"/>
    </row>
    <row r="719" spans="2:27" x14ac:dyDescent="0.3"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"/>
    </row>
    <row r="720" spans="2:27" x14ac:dyDescent="0.3"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"/>
    </row>
    <row r="721" spans="2:27" x14ac:dyDescent="0.3"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"/>
    </row>
    <row r="722" spans="2:27" x14ac:dyDescent="0.3"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"/>
    </row>
    <row r="723" spans="2:27" x14ac:dyDescent="0.3"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"/>
    </row>
    <row r="724" spans="2:27" x14ac:dyDescent="0.3"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"/>
    </row>
    <row r="725" spans="2:27" x14ac:dyDescent="0.3"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"/>
    </row>
    <row r="726" spans="2:27" x14ac:dyDescent="0.3"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"/>
    </row>
    <row r="727" spans="2:27" x14ac:dyDescent="0.3"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"/>
    </row>
    <row r="728" spans="2:27" x14ac:dyDescent="0.3"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"/>
    </row>
    <row r="729" spans="2:27" x14ac:dyDescent="0.3"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"/>
    </row>
    <row r="730" spans="2:27" x14ac:dyDescent="0.3"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"/>
    </row>
    <row r="731" spans="2:27" x14ac:dyDescent="0.3"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"/>
    </row>
    <row r="732" spans="2:27" x14ac:dyDescent="0.3"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"/>
    </row>
    <row r="733" spans="2:27" x14ac:dyDescent="0.3"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"/>
    </row>
    <row r="734" spans="2:27" x14ac:dyDescent="0.3"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"/>
    </row>
    <row r="735" spans="2:27" x14ac:dyDescent="0.3"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"/>
    </row>
    <row r="736" spans="2:27" x14ac:dyDescent="0.3"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"/>
    </row>
    <row r="737" spans="2:27" x14ac:dyDescent="0.3"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"/>
    </row>
    <row r="738" spans="2:27" x14ac:dyDescent="0.3"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"/>
    </row>
    <row r="739" spans="2:27" x14ac:dyDescent="0.3"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"/>
    </row>
    <row r="740" spans="2:27" x14ac:dyDescent="0.3">
      <c r="AA740" s="4"/>
    </row>
    <row r="741" spans="2:27" x14ac:dyDescent="0.3">
      <c r="AA741" s="4"/>
    </row>
    <row r="742" spans="2:27" x14ac:dyDescent="0.3">
      <c r="AA742" s="4"/>
    </row>
    <row r="743" spans="2:27" x14ac:dyDescent="0.3">
      <c r="AA743" s="4"/>
    </row>
    <row r="744" spans="2:27" x14ac:dyDescent="0.3">
      <c r="AA744" s="4"/>
    </row>
    <row r="745" spans="2:27" x14ac:dyDescent="0.3">
      <c r="AA745" s="4"/>
    </row>
    <row r="746" spans="2:27" x14ac:dyDescent="0.3">
      <c r="AA746" s="4"/>
    </row>
    <row r="747" spans="2:27" x14ac:dyDescent="0.3">
      <c r="AA747" s="4"/>
    </row>
    <row r="748" spans="2:27" x14ac:dyDescent="0.3">
      <c r="AA748" s="4"/>
    </row>
    <row r="749" spans="2:27" x14ac:dyDescent="0.3">
      <c r="AA749" s="4"/>
    </row>
    <row r="750" spans="2:27" x14ac:dyDescent="0.3">
      <c r="AA750" s="4"/>
    </row>
    <row r="751" spans="2:27" x14ac:dyDescent="0.3">
      <c r="AA751" s="4"/>
    </row>
    <row r="752" spans="2:27" x14ac:dyDescent="0.3">
      <c r="AA752" s="4"/>
    </row>
    <row r="753" spans="27:27" x14ac:dyDescent="0.3">
      <c r="AA753" s="4"/>
    </row>
    <row r="754" spans="27:27" x14ac:dyDescent="0.3">
      <c r="AA754" s="4"/>
    </row>
    <row r="755" spans="27:27" x14ac:dyDescent="0.3">
      <c r="AA755" s="4"/>
    </row>
    <row r="756" spans="27:27" x14ac:dyDescent="0.3">
      <c r="AA756" s="4"/>
    </row>
    <row r="757" spans="27:27" x14ac:dyDescent="0.3">
      <c r="AA757" s="4"/>
    </row>
    <row r="758" spans="27:27" x14ac:dyDescent="0.3">
      <c r="AA758" s="4"/>
    </row>
    <row r="759" spans="27:27" x14ac:dyDescent="0.3">
      <c r="AA759" s="4"/>
    </row>
    <row r="760" spans="27:27" x14ac:dyDescent="0.3">
      <c r="AA760" s="4"/>
    </row>
    <row r="761" spans="27:27" x14ac:dyDescent="0.3">
      <c r="AA761" s="4"/>
    </row>
    <row r="762" spans="27:27" x14ac:dyDescent="0.3">
      <c r="AA762" s="4"/>
    </row>
    <row r="763" spans="27:27" x14ac:dyDescent="0.3">
      <c r="AA763" s="4"/>
    </row>
    <row r="764" spans="27:27" x14ac:dyDescent="0.3">
      <c r="AA764" s="4"/>
    </row>
    <row r="765" spans="27:27" x14ac:dyDescent="0.3">
      <c r="AA765" s="4"/>
    </row>
    <row r="766" spans="27:27" x14ac:dyDescent="0.3">
      <c r="AA766" s="4"/>
    </row>
    <row r="767" spans="27:27" x14ac:dyDescent="0.3">
      <c r="AA767" s="4"/>
    </row>
    <row r="768" spans="27:27" x14ac:dyDescent="0.3">
      <c r="AA768" s="4"/>
    </row>
    <row r="769" spans="27:27" x14ac:dyDescent="0.3">
      <c r="AA769" s="4"/>
    </row>
    <row r="770" spans="27:27" x14ac:dyDescent="0.3">
      <c r="AA770" s="4"/>
    </row>
    <row r="771" spans="27:27" x14ac:dyDescent="0.3">
      <c r="AA771" s="4"/>
    </row>
    <row r="772" spans="27:27" x14ac:dyDescent="0.3">
      <c r="AA772" s="4"/>
    </row>
    <row r="773" spans="27:27" x14ac:dyDescent="0.3">
      <c r="AA773" s="4"/>
    </row>
    <row r="774" spans="27:27" x14ac:dyDescent="0.3">
      <c r="AA774" s="4"/>
    </row>
    <row r="775" spans="27:27" x14ac:dyDescent="0.3">
      <c r="AA775" s="4"/>
    </row>
    <row r="776" spans="27:27" x14ac:dyDescent="0.3">
      <c r="AA776" s="4"/>
    </row>
    <row r="777" spans="27:27" x14ac:dyDescent="0.3">
      <c r="AA777" s="4"/>
    </row>
    <row r="778" spans="27:27" x14ac:dyDescent="0.3">
      <c r="AA778" s="4"/>
    </row>
    <row r="779" spans="27:27" x14ac:dyDescent="0.3">
      <c r="AA779" s="4"/>
    </row>
    <row r="780" spans="27:27" x14ac:dyDescent="0.3">
      <c r="AA780" s="4"/>
    </row>
    <row r="781" spans="27:27" x14ac:dyDescent="0.3">
      <c r="AA781" s="4"/>
    </row>
    <row r="782" spans="27:27" x14ac:dyDescent="0.3">
      <c r="AA782" s="4"/>
    </row>
    <row r="783" spans="27:27" x14ac:dyDescent="0.3">
      <c r="AA783" s="4"/>
    </row>
    <row r="784" spans="27:27" x14ac:dyDescent="0.3">
      <c r="AA784" s="4"/>
    </row>
    <row r="785" spans="27:27" x14ac:dyDescent="0.3">
      <c r="AA785" s="4"/>
    </row>
    <row r="786" spans="27:27" x14ac:dyDescent="0.3">
      <c r="AA786" s="4"/>
    </row>
    <row r="787" spans="27:27" x14ac:dyDescent="0.3">
      <c r="AA787" s="4"/>
    </row>
    <row r="788" spans="27:27" x14ac:dyDescent="0.3">
      <c r="AA788" s="4"/>
    </row>
    <row r="789" spans="27:27" x14ac:dyDescent="0.3">
      <c r="AA789" s="4"/>
    </row>
    <row r="790" spans="27:27" x14ac:dyDescent="0.3">
      <c r="AA790" s="4"/>
    </row>
    <row r="791" spans="27:27" x14ac:dyDescent="0.3">
      <c r="AA791" s="4"/>
    </row>
    <row r="792" spans="27:27" x14ac:dyDescent="0.3">
      <c r="AA792" s="4"/>
    </row>
    <row r="793" spans="27:27" x14ac:dyDescent="0.3">
      <c r="AA793" s="4"/>
    </row>
    <row r="794" spans="27:27" x14ac:dyDescent="0.3">
      <c r="AA794" s="4"/>
    </row>
    <row r="795" spans="27:27" x14ac:dyDescent="0.3">
      <c r="AA795" s="4"/>
    </row>
    <row r="796" spans="27:27" x14ac:dyDescent="0.3">
      <c r="AA796" s="4"/>
    </row>
    <row r="797" spans="27:27" x14ac:dyDescent="0.3">
      <c r="AA797" s="4"/>
    </row>
    <row r="798" spans="27:27" x14ac:dyDescent="0.3">
      <c r="AA798" s="4"/>
    </row>
    <row r="799" spans="27:27" x14ac:dyDescent="0.3">
      <c r="AA799" s="4"/>
    </row>
    <row r="800" spans="27:27" x14ac:dyDescent="0.3">
      <c r="AA800" s="4"/>
    </row>
    <row r="801" spans="27:27" x14ac:dyDescent="0.3">
      <c r="AA801" s="4"/>
    </row>
    <row r="802" spans="27:27" x14ac:dyDescent="0.3">
      <c r="AA802" s="4"/>
    </row>
    <row r="803" spans="27:27" x14ac:dyDescent="0.3">
      <c r="AA803" s="4"/>
    </row>
    <row r="804" spans="27:27" x14ac:dyDescent="0.3">
      <c r="AA804" s="4"/>
    </row>
    <row r="805" spans="27:27" x14ac:dyDescent="0.3">
      <c r="AA805" s="4"/>
    </row>
    <row r="806" spans="27:27" x14ac:dyDescent="0.3">
      <c r="AA806" s="4"/>
    </row>
    <row r="807" spans="27:27" x14ac:dyDescent="0.3">
      <c r="AA807" s="4"/>
    </row>
    <row r="808" spans="27:27" x14ac:dyDescent="0.3">
      <c r="AA808" s="4"/>
    </row>
    <row r="809" spans="27:27" x14ac:dyDescent="0.3">
      <c r="AA809" s="4"/>
    </row>
    <row r="810" spans="27:27" x14ac:dyDescent="0.3">
      <c r="AA810" s="4"/>
    </row>
    <row r="811" spans="27:27" x14ac:dyDescent="0.3">
      <c r="AA811" s="4"/>
    </row>
    <row r="812" spans="27:27" x14ac:dyDescent="0.3">
      <c r="AA812" s="4"/>
    </row>
    <row r="813" spans="27:27" x14ac:dyDescent="0.3">
      <c r="AA813" s="4"/>
    </row>
    <row r="814" spans="27:27" x14ac:dyDescent="0.3">
      <c r="AA814" s="4"/>
    </row>
    <row r="815" spans="27:27" x14ac:dyDescent="0.3">
      <c r="AA815" s="4"/>
    </row>
    <row r="816" spans="27:27" x14ac:dyDescent="0.3">
      <c r="AA816" s="4"/>
    </row>
    <row r="817" spans="27:27" x14ac:dyDescent="0.3">
      <c r="AA817" s="4"/>
    </row>
    <row r="818" spans="27:27" x14ac:dyDescent="0.3">
      <c r="AA818" s="4"/>
    </row>
    <row r="819" spans="27:27" x14ac:dyDescent="0.3">
      <c r="AA819" s="4"/>
    </row>
    <row r="820" spans="27:27" x14ac:dyDescent="0.3">
      <c r="AA820" s="4"/>
    </row>
    <row r="821" spans="27:27" x14ac:dyDescent="0.3">
      <c r="AA821" s="4"/>
    </row>
    <row r="822" spans="27:27" x14ac:dyDescent="0.3">
      <c r="AA822" s="4"/>
    </row>
    <row r="823" spans="27:27" x14ac:dyDescent="0.3">
      <c r="AA823" s="4"/>
    </row>
    <row r="824" spans="27:27" x14ac:dyDescent="0.3">
      <c r="AA824" s="4"/>
    </row>
    <row r="825" spans="27:27" x14ac:dyDescent="0.3">
      <c r="AA825" s="4"/>
    </row>
    <row r="826" spans="27:27" x14ac:dyDescent="0.3">
      <c r="AA826" s="4"/>
    </row>
    <row r="827" spans="27:27" x14ac:dyDescent="0.3">
      <c r="AA827" s="4"/>
    </row>
    <row r="828" spans="27:27" x14ac:dyDescent="0.3">
      <c r="AA828" s="4"/>
    </row>
    <row r="829" spans="27:27" x14ac:dyDescent="0.3">
      <c r="AA829" s="4"/>
    </row>
    <row r="830" spans="27:27" x14ac:dyDescent="0.3">
      <c r="AA830" s="4"/>
    </row>
    <row r="831" spans="27:27" x14ac:dyDescent="0.3">
      <c r="AA831" s="4"/>
    </row>
    <row r="832" spans="27:27" x14ac:dyDescent="0.3">
      <c r="AA832" s="4"/>
    </row>
    <row r="833" spans="27:27" x14ac:dyDescent="0.3">
      <c r="AA833" s="4"/>
    </row>
    <row r="834" spans="27:27" x14ac:dyDescent="0.3">
      <c r="AA834" s="4"/>
    </row>
    <row r="835" spans="27:27" x14ac:dyDescent="0.3">
      <c r="AA835" s="4"/>
    </row>
    <row r="836" spans="27:27" x14ac:dyDescent="0.3">
      <c r="AA836" s="4"/>
    </row>
    <row r="837" spans="27:27" x14ac:dyDescent="0.3">
      <c r="AA837" s="4"/>
    </row>
    <row r="838" spans="27:27" x14ac:dyDescent="0.3">
      <c r="AA838" s="4"/>
    </row>
    <row r="839" spans="27:27" x14ac:dyDescent="0.3">
      <c r="AA839" s="4"/>
    </row>
    <row r="840" spans="27:27" x14ac:dyDescent="0.3">
      <c r="AA840" s="4"/>
    </row>
    <row r="841" spans="27:27" x14ac:dyDescent="0.3">
      <c r="AA841" s="4"/>
    </row>
    <row r="842" spans="27:27" x14ac:dyDescent="0.3">
      <c r="AA842" s="4"/>
    </row>
    <row r="843" spans="27:27" x14ac:dyDescent="0.3">
      <c r="AA843" s="4"/>
    </row>
    <row r="844" spans="27:27" x14ac:dyDescent="0.3">
      <c r="AA844" s="4"/>
    </row>
    <row r="845" spans="27:27" x14ac:dyDescent="0.3">
      <c r="AA845" s="4"/>
    </row>
    <row r="846" spans="27:27" x14ac:dyDescent="0.3">
      <c r="AA846" s="4"/>
    </row>
    <row r="847" spans="27:27" x14ac:dyDescent="0.3">
      <c r="AA847" s="4"/>
    </row>
    <row r="848" spans="27:27" x14ac:dyDescent="0.3">
      <c r="AA848" s="4"/>
    </row>
    <row r="849" spans="27:27" x14ac:dyDescent="0.3">
      <c r="AA849" s="4"/>
    </row>
    <row r="850" spans="27:27" x14ac:dyDescent="0.3">
      <c r="AA850" s="4"/>
    </row>
    <row r="851" spans="27:27" x14ac:dyDescent="0.3">
      <c r="AA851" s="4"/>
    </row>
    <row r="852" spans="27:27" x14ac:dyDescent="0.3">
      <c r="AA852" s="4"/>
    </row>
    <row r="853" spans="27:27" x14ac:dyDescent="0.3">
      <c r="AA853" s="4"/>
    </row>
    <row r="854" spans="27:27" x14ac:dyDescent="0.3">
      <c r="AA854" s="4"/>
    </row>
    <row r="855" spans="27:27" x14ac:dyDescent="0.3">
      <c r="AA855" s="4"/>
    </row>
    <row r="856" spans="27:27" x14ac:dyDescent="0.3">
      <c r="AA856" s="4"/>
    </row>
    <row r="857" spans="27:27" x14ac:dyDescent="0.3">
      <c r="AA857" s="4"/>
    </row>
    <row r="858" spans="27:27" x14ac:dyDescent="0.3">
      <c r="AA858" s="4"/>
    </row>
    <row r="859" spans="27:27" x14ac:dyDescent="0.3">
      <c r="AA859" s="4"/>
    </row>
    <row r="860" spans="27:27" x14ac:dyDescent="0.3">
      <c r="AA860" s="4"/>
    </row>
    <row r="861" spans="27:27" x14ac:dyDescent="0.3">
      <c r="AA861" s="4"/>
    </row>
    <row r="862" spans="27:27" x14ac:dyDescent="0.3">
      <c r="AA862" s="4"/>
    </row>
    <row r="863" spans="27:27" x14ac:dyDescent="0.3">
      <c r="AA863" s="4"/>
    </row>
    <row r="864" spans="27:27" x14ac:dyDescent="0.3">
      <c r="AA864" s="4"/>
    </row>
    <row r="865" spans="27:27" x14ac:dyDescent="0.3">
      <c r="AA865" s="4"/>
    </row>
    <row r="866" spans="27:27" x14ac:dyDescent="0.3">
      <c r="AA866" s="4"/>
    </row>
    <row r="867" spans="27:27" x14ac:dyDescent="0.3">
      <c r="AA867" s="4"/>
    </row>
    <row r="868" spans="27:27" x14ac:dyDescent="0.3">
      <c r="AA868" s="4"/>
    </row>
    <row r="869" spans="27:27" x14ac:dyDescent="0.3">
      <c r="AA869" s="4"/>
    </row>
    <row r="870" spans="27:27" x14ac:dyDescent="0.3">
      <c r="AA870" s="4"/>
    </row>
    <row r="871" spans="27:27" x14ac:dyDescent="0.3">
      <c r="AA871" s="4"/>
    </row>
    <row r="872" spans="27:27" x14ac:dyDescent="0.3">
      <c r="AA872" s="4"/>
    </row>
    <row r="873" spans="27:27" x14ac:dyDescent="0.3">
      <c r="AA873" s="4"/>
    </row>
    <row r="874" spans="27:27" x14ac:dyDescent="0.3">
      <c r="AA874" s="4"/>
    </row>
    <row r="875" spans="27:27" x14ac:dyDescent="0.3">
      <c r="AA875" s="4"/>
    </row>
    <row r="876" spans="27:27" x14ac:dyDescent="0.3">
      <c r="AA876" s="4"/>
    </row>
    <row r="877" spans="27:27" x14ac:dyDescent="0.3">
      <c r="AA877" s="4"/>
    </row>
    <row r="878" spans="27:27" x14ac:dyDescent="0.3">
      <c r="AA878" s="4"/>
    </row>
    <row r="879" spans="27:27" x14ac:dyDescent="0.3">
      <c r="AA879" s="4"/>
    </row>
    <row r="880" spans="27:27" x14ac:dyDescent="0.3">
      <c r="AA880" s="4"/>
    </row>
    <row r="881" spans="27:27" x14ac:dyDescent="0.3">
      <c r="AA881" s="4"/>
    </row>
    <row r="882" spans="27:27" x14ac:dyDescent="0.3">
      <c r="AA882" s="4"/>
    </row>
    <row r="883" spans="27:27" x14ac:dyDescent="0.3">
      <c r="AA883" s="4"/>
    </row>
    <row r="884" spans="27:27" x14ac:dyDescent="0.3">
      <c r="AA884" s="4"/>
    </row>
    <row r="885" spans="27:27" x14ac:dyDescent="0.3">
      <c r="AA885" s="4"/>
    </row>
    <row r="886" spans="27:27" x14ac:dyDescent="0.3">
      <c r="AA886" s="4"/>
    </row>
    <row r="887" spans="27:27" x14ac:dyDescent="0.3">
      <c r="AA887" s="4"/>
    </row>
    <row r="888" spans="27:27" x14ac:dyDescent="0.3">
      <c r="AA888" s="4"/>
    </row>
    <row r="889" spans="27:27" x14ac:dyDescent="0.3">
      <c r="AA889" s="4"/>
    </row>
    <row r="890" spans="27:27" x14ac:dyDescent="0.3">
      <c r="AA890" s="4"/>
    </row>
    <row r="891" spans="27:27" x14ac:dyDescent="0.3">
      <c r="AA891" s="4"/>
    </row>
    <row r="892" spans="27:27" x14ac:dyDescent="0.3">
      <c r="AA892" s="4"/>
    </row>
    <row r="893" spans="27:27" x14ac:dyDescent="0.3">
      <c r="AA893" s="4"/>
    </row>
    <row r="894" spans="27:27" x14ac:dyDescent="0.3">
      <c r="AA894" s="4"/>
    </row>
    <row r="895" spans="27:27" x14ac:dyDescent="0.3">
      <c r="AA895" s="4"/>
    </row>
    <row r="896" spans="27:27" x14ac:dyDescent="0.3">
      <c r="AA896" s="4"/>
    </row>
    <row r="897" spans="27:27" x14ac:dyDescent="0.3">
      <c r="AA897" s="4"/>
    </row>
    <row r="898" spans="27:27" x14ac:dyDescent="0.3">
      <c r="AA898" s="4"/>
    </row>
    <row r="899" spans="27:27" x14ac:dyDescent="0.3">
      <c r="AA899" s="4"/>
    </row>
    <row r="900" spans="27:27" x14ac:dyDescent="0.3">
      <c r="AA900" s="4"/>
    </row>
    <row r="901" spans="27:27" x14ac:dyDescent="0.3">
      <c r="AA901" s="4"/>
    </row>
    <row r="902" spans="27:27" x14ac:dyDescent="0.3">
      <c r="AA902" s="4"/>
    </row>
    <row r="903" spans="27:27" x14ac:dyDescent="0.3">
      <c r="AA903" s="4"/>
    </row>
    <row r="904" spans="27:27" x14ac:dyDescent="0.3">
      <c r="AA904" s="4"/>
    </row>
    <row r="905" spans="27:27" x14ac:dyDescent="0.3">
      <c r="AA905" s="4"/>
    </row>
    <row r="906" spans="27:27" x14ac:dyDescent="0.3">
      <c r="AA906" s="4"/>
    </row>
    <row r="907" spans="27:27" x14ac:dyDescent="0.3">
      <c r="AA907" s="4"/>
    </row>
    <row r="908" spans="27:27" x14ac:dyDescent="0.3">
      <c r="AA908" s="4"/>
    </row>
    <row r="909" spans="27:27" x14ac:dyDescent="0.3">
      <c r="AA909" s="4"/>
    </row>
    <row r="910" spans="27:27" x14ac:dyDescent="0.3">
      <c r="AA910" s="4"/>
    </row>
    <row r="911" spans="27:27" x14ac:dyDescent="0.3">
      <c r="AA911" s="4"/>
    </row>
    <row r="912" spans="27:27" x14ac:dyDescent="0.3">
      <c r="AA912" s="4"/>
    </row>
    <row r="913" spans="27:27" x14ac:dyDescent="0.3">
      <c r="AA913" s="4"/>
    </row>
    <row r="914" spans="27:27" x14ac:dyDescent="0.3">
      <c r="AA914" s="4"/>
    </row>
    <row r="915" spans="27:27" x14ac:dyDescent="0.3">
      <c r="AA915" s="4"/>
    </row>
    <row r="916" spans="27:27" x14ac:dyDescent="0.3">
      <c r="AA916" s="4"/>
    </row>
    <row r="917" spans="27:27" x14ac:dyDescent="0.3">
      <c r="AA917" s="4"/>
    </row>
    <row r="918" spans="27:27" x14ac:dyDescent="0.3">
      <c r="AA918" s="4"/>
    </row>
    <row r="919" spans="27:27" x14ac:dyDescent="0.3">
      <c r="AA919" s="4"/>
    </row>
    <row r="920" spans="27:27" x14ac:dyDescent="0.3">
      <c r="AA920" s="4"/>
    </row>
    <row r="921" spans="27:27" x14ac:dyDescent="0.3">
      <c r="AA921" s="4"/>
    </row>
    <row r="922" spans="27:27" x14ac:dyDescent="0.3">
      <c r="AA922" s="4"/>
    </row>
    <row r="923" spans="27:27" x14ac:dyDescent="0.3">
      <c r="AA923" s="4"/>
    </row>
    <row r="924" spans="27:27" x14ac:dyDescent="0.3">
      <c r="AA924" s="4"/>
    </row>
    <row r="925" spans="27:27" x14ac:dyDescent="0.3">
      <c r="AA925" s="4"/>
    </row>
    <row r="926" spans="27:27" x14ac:dyDescent="0.3">
      <c r="AA926" s="4"/>
    </row>
    <row r="927" spans="27:27" x14ac:dyDescent="0.3">
      <c r="AA927" s="4"/>
    </row>
    <row r="928" spans="27:27" x14ac:dyDescent="0.3">
      <c r="AA928" s="4"/>
    </row>
    <row r="929" spans="27:27" x14ac:dyDescent="0.3">
      <c r="AA929" s="4"/>
    </row>
    <row r="930" spans="27:27" x14ac:dyDescent="0.3">
      <c r="AA930" s="4"/>
    </row>
    <row r="931" spans="27:27" x14ac:dyDescent="0.3">
      <c r="AA931" s="4"/>
    </row>
    <row r="932" spans="27:27" x14ac:dyDescent="0.3">
      <c r="AA932" s="4"/>
    </row>
    <row r="933" spans="27:27" x14ac:dyDescent="0.3">
      <c r="AA933" s="4"/>
    </row>
    <row r="934" spans="27:27" x14ac:dyDescent="0.3">
      <c r="AA934" s="4"/>
    </row>
    <row r="935" spans="27:27" x14ac:dyDescent="0.3">
      <c r="AA935" s="4"/>
    </row>
    <row r="936" spans="27:27" x14ac:dyDescent="0.3">
      <c r="AA936" s="4"/>
    </row>
    <row r="937" spans="27:27" x14ac:dyDescent="0.3">
      <c r="AA937" s="4"/>
    </row>
    <row r="938" spans="27:27" x14ac:dyDescent="0.3">
      <c r="AA938" s="4"/>
    </row>
    <row r="939" spans="27:27" x14ac:dyDescent="0.3">
      <c r="AA939" s="4"/>
    </row>
    <row r="940" spans="27:27" x14ac:dyDescent="0.3">
      <c r="AA940" s="4"/>
    </row>
    <row r="941" spans="27:27" x14ac:dyDescent="0.3">
      <c r="AA941" s="4"/>
    </row>
    <row r="942" spans="27:27" x14ac:dyDescent="0.3">
      <c r="AA942" s="4"/>
    </row>
    <row r="943" spans="27:27" x14ac:dyDescent="0.3">
      <c r="AA943" s="4"/>
    </row>
    <row r="944" spans="27:27" x14ac:dyDescent="0.3">
      <c r="AA944" s="4"/>
    </row>
    <row r="945" spans="27:27" x14ac:dyDescent="0.3">
      <c r="AA945" s="4"/>
    </row>
    <row r="946" spans="27:27" x14ac:dyDescent="0.3">
      <c r="AA946" s="4"/>
    </row>
    <row r="947" spans="27:27" x14ac:dyDescent="0.3">
      <c r="AA947" s="4"/>
    </row>
    <row r="948" spans="27:27" x14ac:dyDescent="0.3">
      <c r="AA948" s="4"/>
    </row>
    <row r="949" spans="27:27" x14ac:dyDescent="0.3">
      <c r="AA949" s="4"/>
    </row>
    <row r="950" spans="27:27" x14ac:dyDescent="0.3">
      <c r="AA950" s="4"/>
    </row>
    <row r="951" spans="27:27" x14ac:dyDescent="0.3">
      <c r="AA951" s="4"/>
    </row>
    <row r="952" spans="27:27" x14ac:dyDescent="0.3">
      <c r="AA952" s="4"/>
    </row>
    <row r="953" spans="27:27" x14ac:dyDescent="0.3">
      <c r="AA953" s="4"/>
    </row>
    <row r="954" spans="27:27" x14ac:dyDescent="0.3">
      <c r="AA954" s="4"/>
    </row>
    <row r="955" spans="27:27" x14ac:dyDescent="0.3">
      <c r="AA955" s="4"/>
    </row>
    <row r="956" spans="27:27" x14ac:dyDescent="0.3">
      <c r="AA956" s="4"/>
    </row>
    <row r="957" spans="27:27" x14ac:dyDescent="0.3">
      <c r="AA957" s="4"/>
    </row>
    <row r="958" spans="27:27" x14ac:dyDescent="0.3">
      <c r="AA958" s="4"/>
    </row>
    <row r="959" spans="27:27" x14ac:dyDescent="0.3">
      <c r="AA959" s="4"/>
    </row>
    <row r="960" spans="27:27" x14ac:dyDescent="0.3">
      <c r="AA960" s="4"/>
    </row>
    <row r="961" spans="27:27" x14ac:dyDescent="0.3">
      <c r="AA961" s="4"/>
    </row>
    <row r="962" spans="27:27" x14ac:dyDescent="0.3">
      <c r="AA962" s="4"/>
    </row>
    <row r="963" spans="27:27" x14ac:dyDescent="0.3">
      <c r="AA963" s="4"/>
    </row>
    <row r="964" spans="27:27" x14ac:dyDescent="0.3">
      <c r="AA964" s="4"/>
    </row>
    <row r="965" spans="27:27" x14ac:dyDescent="0.3">
      <c r="AA965" s="4"/>
    </row>
    <row r="966" spans="27:27" x14ac:dyDescent="0.3">
      <c r="AA966" s="4"/>
    </row>
    <row r="967" spans="27:27" x14ac:dyDescent="0.3">
      <c r="AA967" s="4"/>
    </row>
    <row r="968" spans="27:27" x14ac:dyDescent="0.3">
      <c r="AA968" s="4"/>
    </row>
    <row r="969" spans="27:27" x14ac:dyDescent="0.3">
      <c r="AA969" s="4"/>
    </row>
    <row r="970" spans="27:27" x14ac:dyDescent="0.3">
      <c r="AA970" s="4"/>
    </row>
    <row r="971" spans="27:27" x14ac:dyDescent="0.3">
      <c r="AA971" s="4"/>
    </row>
    <row r="972" spans="27:27" x14ac:dyDescent="0.3">
      <c r="AA972" s="4"/>
    </row>
    <row r="973" spans="27:27" x14ac:dyDescent="0.3">
      <c r="AA973" s="4"/>
    </row>
    <row r="974" spans="27:27" x14ac:dyDescent="0.3">
      <c r="AA974" s="4"/>
    </row>
    <row r="975" spans="27:27" x14ac:dyDescent="0.3">
      <c r="AA975" s="4"/>
    </row>
    <row r="976" spans="27:27" x14ac:dyDescent="0.3">
      <c r="AA976" s="4"/>
    </row>
    <row r="977" spans="27:27" x14ac:dyDescent="0.3">
      <c r="AA977" s="4"/>
    </row>
    <row r="978" spans="27:27" x14ac:dyDescent="0.3">
      <c r="AA978" s="4"/>
    </row>
    <row r="979" spans="27:27" x14ac:dyDescent="0.3">
      <c r="AA979" s="4"/>
    </row>
    <row r="980" spans="27:27" x14ac:dyDescent="0.3">
      <c r="AA980" s="4"/>
    </row>
    <row r="981" spans="27:27" x14ac:dyDescent="0.3">
      <c r="AA981" s="4"/>
    </row>
    <row r="982" spans="27:27" x14ac:dyDescent="0.3">
      <c r="AA982" s="4"/>
    </row>
    <row r="983" spans="27:27" x14ac:dyDescent="0.3">
      <c r="AA983" s="4"/>
    </row>
    <row r="984" spans="27:27" x14ac:dyDescent="0.3">
      <c r="AA984" s="4"/>
    </row>
    <row r="985" spans="27:27" x14ac:dyDescent="0.3">
      <c r="AA985" s="4"/>
    </row>
    <row r="986" spans="27:27" x14ac:dyDescent="0.3">
      <c r="AA986" s="4"/>
    </row>
    <row r="987" spans="27:27" x14ac:dyDescent="0.3">
      <c r="AA987" s="4"/>
    </row>
    <row r="988" spans="27:27" x14ac:dyDescent="0.3">
      <c r="AA988" s="4"/>
    </row>
    <row r="989" spans="27:27" x14ac:dyDescent="0.3">
      <c r="AA989" s="4"/>
    </row>
    <row r="990" spans="27:27" x14ac:dyDescent="0.3">
      <c r="AA990" s="4"/>
    </row>
    <row r="991" spans="27:27" x14ac:dyDescent="0.3">
      <c r="AA991" s="4"/>
    </row>
    <row r="992" spans="27:27" x14ac:dyDescent="0.3">
      <c r="AA992" s="4"/>
    </row>
    <row r="993" spans="27:27" x14ac:dyDescent="0.3">
      <c r="AA993" s="4"/>
    </row>
    <row r="994" spans="27:27" x14ac:dyDescent="0.3">
      <c r="AA994" s="4"/>
    </row>
    <row r="995" spans="27:27" x14ac:dyDescent="0.3">
      <c r="AA995" s="4"/>
    </row>
    <row r="996" spans="27:27" x14ac:dyDescent="0.3">
      <c r="AA996" s="4"/>
    </row>
    <row r="997" spans="27:27" x14ac:dyDescent="0.3">
      <c r="AA997" s="4"/>
    </row>
    <row r="998" spans="27:27" x14ac:dyDescent="0.3">
      <c r="AA998" s="4"/>
    </row>
    <row r="999" spans="27:27" x14ac:dyDescent="0.3">
      <c r="AA999" s="4"/>
    </row>
    <row r="1000" spans="27:27" x14ac:dyDescent="0.3">
      <c r="AA1000" s="4"/>
    </row>
    <row r="1001" spans="27:27" x14ac:dyDescent="0.3">
      <c r="AA1001" s="4"/>
    </row>
    <row r="1002" spans="27:27" x14ac:dyDescent="0.3">
      <c r="AA1002" s="4"/>
    </row>
    <row r="1003" spans="27:27" x14ac:dyDescent="0.3">
      <c r="AA1003" s="4"/>
    </row>
    <row r="1004" spans="27:27" x14ac:dyDescent="0.3">
      <c r="AA1004" s="4"/>
    </row>
    <row r="1005" spans="27:27" x14ac:dyDescent="0.3">
      <c r="AA1005" s="4"/>
    </row>
    <row r="1006" spans="27:27" x14ac:dyDescent="0.3">
      <c r="AA1006" s="4"/>
    </row>
    <row r="1007" spans="27:27" x14ac:dyDescent="0.3">
      <c r="AA1007" s="4"/>
    </row>
    <row r="1008" spans="27:27" x14ac:dyDescent="0.3">
      <c r="AA1008" s="4"/>
    </row>
    <row r="1009" spans="27:27" x14ac:dyDescent="0.3">
      <c r="AA1009" s="4"/>
    </row>
  </sheetData>
  <mergeCells count="9">
    <mergeCell ref="B138:B203"/>
    <mergeCell ref="C138:AA138"/>
    <mergeCell ref="C190:AA190"/>
    <mergeCell ref="C2:AA2"/>
    <mergeCell ref="C54:AA54"/>
    <mergeCell ref="B2:B67"/>
    <mergeCell ref="B70:B135"/>
    <mergeCell ref="C70:AA70"/>
    <mergeCell ref="C122:AA122"/>
  </mergeCells>
  <pageMargins left="0.51181102362204722" right="0.51181102362204722" top="0.78740157480314965" bottom="0.78740157480314965" header="0.31496062992125984" footer="0.31496062992125984"/>
  <pageSetup paperSize="9" scale="23" orientation="landscape" horizontalDpi="4294967295" verticalDpi="4294967295" r:id="rId1"/>
  <colBreaks count="5" manualBreakCount="5">
    <brk id="28" max="47" man="1"/>
    <brk id="34" max="47" man="1"/>
    <brk id="51" max="47" man="1"/>
    <brk id="103" max="47" man="1"/>
    <brk id="144" max="47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1003"/>
  <sheetViews>
    <sheetView showGridLines="0" view="pageBreakPreview" topLeftCell="B7" zoomScaleNormal="85" zoomScaleSheetLayoutView="100" workbookViewId="0">
      <selection activeCell="D29" sqref="D29"/>
    </sheetView>
  </sheetViews>
  <sheetFormatPr defaultRowHeight="16.5" x14ac:dyDescent="0.3"/>
  <cols>
    <col min="1" max="1" width="1.875" style="52" hidden="1" customWidth="1"/>
    <col min="2" max="2" width="3.25" style="52" customWidth="1"/>
    <col min="3" max="3" width="18.75" style="52" bestFit="1" customWidth="1"/>
    <col min="4" max="10" width="12.125" style="52" customWidth="1"/>
    <col min="11" max="11" width="7.375" style="52" customWidth="1"/>
    <col min="12" max="12" width="39.125" style="52" bestFit="1" customWidth="1"/>
    <col min="13" max="13" width="12.5" style="52" bestFit="1" customWidth="1"/>
    <col min="14" max="14" width="7.375" style="52" customWidth="1"/>
    <col min="15" max="15" width="12.125" style="52" bestFit="1" customWidth="1"/>
    <col min="16" max="17" width="8" style="52" customWidth="1"/>
    <col min="18" max="23" width="9.125" style="52" customWidth="1"/>
    <col min="24" max="25" width="8" style="52" customWidth="1"/>
    <col min="26" max="30" width="8.875" style="52" customWidth="1"/>
    <col min="31" max="16384" width="9" style="52"/>
  </cols>
  <sheetData>
    <row r="1" spans="1:40" ht="16.5" customHeight="1" x14ac:dyDescent="0.3">
      <c r="A1" s="50">
        <f ca="1">TODAY()</f>
        <v>44217</v>
      </c>
      <c r="B1" s="51">
        <f>DAY(D3)</f>
        <v>8</v>
      </c>
      <c r="O1" s="53">
        <f>D26*E25/1000</f>
        <v>514.65</v>
      </c>
      <c r="P1" s="53" t="s">
        <v>46</v>
      </c>
      <c r="Q1" s="53">
        <f>E25</f>
        <v>705</v>
      </c>
      <c r="R1" s="54">
        <v>2020</v>
      </c>
      <c r="S1" s="54">
        <v>2021</v>
      </c>
      <c r="T1" s="54">
        <v>2022</v>
      </c>
      <c r="U1" s="54">
        <v>2023</v>
      </c>
      <c r="V1" s="54">
        <v>2024</v>
      </c>
      <c r="W1" s="53"/>
      <c r="Y1" s="53">
        <v>1000</v>
      </c>
      <c r="Z1" s="54">
        <v>2020</v>
      </c>
      <c r="AA1" s="54">
        <v>2021</v>
      </c>
      <c r="AB1" s="54">
        <v>2022</v>
      </c>
      <c r="AC1" s="54">
        <v>2023</v>
      </c>
      <c r="AD1" s="54">
        <v>2024</v>
      </c>
    </row>
    <row r="2" spans="1:40" x14ac:dyDescent="0.3">
      <c r="A2" s="53">
        <f ca="1">MONTH(A1)</f>
        <v>1</v>
      </c>
      <c r="C2" s="55" t="s">
        <v>0</v>
      </c>
      <c r="D2" s="56" t="s">
        <v>47</v>
      </c>
      <c r="J2" s="57" t="s">
        <v>48</v>
      </c>
      <c r="O2" s="53" t="s">
        <v>49</v>
      </c>
      <c r="P2" s="53" t="s">
        <v>50</v>
      </c>
      <c r="Q2" s="58" t="s">
        <v>51</v>
      </c>
      <c r="R2" s="59" t="s">
        <v>49</v>
      </c>
      <c r="S2" s="59" t="s">
        <v>49</v>
      </c>
      <c r="T2" s="59" t="s">
        <v>49</v>
      </c>
      <c r="U2" s="59" t="s">
        <v>49</v>
      </c>
      <c r="V2" s="59" t="s">
        <v>49</v>
      </c>
      <c r="W2" s="59"/>
      <c r="X2" s="53" t="s">
        <v>52</v>
      </c>
      <c r="Y2" s="53" t="s">
        <v>53</v>
      </c>
      <c r="Z2" s="54" t="s">
        <v>52</v>
      </c>
      <c r="AA2" s="54" t="s">
        <v>52</v>
      </c>
      <c r="AB2" s="54" t="s">
        <v>52</v>
      </c>
      <c r="AC2" s="54" t="s">
        <v>52</v>
      </c>
      <c r="AD2" s="54" t="s">
        <v>52</v>
      </c>
      <c r="AG2" s="53">
        <v>1</v>
      </c>
      <c r="AH2" s="53">
        <v>744</v>
      </c>
      <c r="AI2" s="53">
        <f>AH2/24</f>
        <v>31</v>
      </c>
    </row>
    <row r="3" spans="1:40" x14ac:dyDescent="0.3">
      <c r="A3" s="53">
        <f ca="1">YEAR(A1)</f>
        <v>2021</v>
      </c>
      <c r="C3" s="55" t="s">
        <v>54</v>
      </c>
      <c r="D3" s="60">
        <f>VLOOKUP(D2,'[3]BANCO DE DADOS'!U:X,4,0)</f>
        <v>43929</v>
      </c>
      <c r="J3" s="57"/>
      <c r="O3" s="61">
        <v>0.05</v>
      </c>
      <c r="P3" s="61">
        <f t="shared" ref="P3:P66" si="0">Y3*1000/($Q$1*66)</f>
        <v>7.521212121212123E-2</v>
      </c>
      <c r="Q3" s="53">
        <f>O3*$O$1</f>
        <v>25.732500000000002</v>
      </c>
      <c r="R3" s="62">
        <f t="shared" ref="R3:R66" si="1">(($D$25*$E$8+$E$25*$E$9)*(0.5))/$Q3</f>
        <v>946.57534246575347</v>
      </c>
      <c r="S3" s="62">
        <f t="shared" ref="S3:S66" si="2">(($D$25*$F$8+$E$25*$F$9)*(0.5))/$Q3</f>
        <v>1220.2739726027396</v>
      </c>
      <c r="T3" s="62">
        <f t="shared" ref="T3:T66" si="3">(($D$25*$G$8+$E$25*$G$9)*(0.5))/$Q3</f>
        <v>1359.0410958904106</v>
      </c>
      <c r="U3" s="62">
        <f t="shared" ref="U3:U66" si="4">(($D$25*$H$8+$E$25*$H$9)*(0.5))/$Q3</f>
        <v>1314.6575342465753</v>
      </c>
      <c r="V3" s="62">
        <f t="shared" ref="V3:V66" si="5">(($D$25*$I$8+$E$25*$I$9)*(0.5))/$Q3</f>
        <v>1280.2739726027396</v>
      </c>
      <c r="W3" s="62"/>
      <c r="X3" s="61">
        <f t="shared" ref="X3:X66" si="6">ROUND(Q3/$O$1,2)</f>
        <v>0.05</v>
      </c>
      <c r="Y3" s="53">
        <f t="shared" ref="Y3:Y66" si="7">$D$28*Q3</f>
        <v>3.4996200000000006</v>
      </c>
      <c r="Z3" s="62">
        <f t="shared" ref="Z3:Z66" si="8">((($Q$1*$E$18)*(0.5))+((($E$19-$E$20)*0.5))*$Y3)/$Q3</f>
        <v>346.08637643835618</v>
      </c>
      <c r="AA3" s="62">
        <f t="shared" ref="AA3:AA66" si="9">((($Q$1*$F$18)*(0.5))+((($F$19-$F$20)*0.5))*$Y3)/$Q3</f>
        <v>453.89927068493148</v>
      </c>
      <c r="AB3" s="62">
        <f t="shared" ref="AB3:AB66" si="10">((($Q$1*$G$18)*(0.5))+((($G$19-$G$20)*0.5))*$Y3)/$Q3</f>
        <v>511.38732054794514</v>
      </c>
      <c r="AC3" s="62">
        <f t="shared" ref="AC3:AC66" si="11">((($Q$1*$H$18)*(0.5))+((($H$19-$H$20)*0.5))*$Y3)/$Q3</f>
        <v>491.79845698630135</v>
      </c>
      <c r="AD3" s="62">
        <f t="shared" ref="AD3:AD66" si="12">((($Q$1*$I$18)*(0.5))+((($I$19-$I$20)*0.5))*$Y3)/$Q3</f>
        <v>467.0403194520548</v>
      </c>
      <c r="AG3" s="53">
        <v>2</v>
      </c>
      <c r="AH3" s="53">
        <v>672</v>
      </c>
      <c r="AI3" s="53">
        <v>28</v>
      </c>
    </row>
    <row r="4" spans="1:40" x14ac:dyDescent="0.3">
      <c r="A4" s="53">
        <f>MONTH(D3)</f>
        <v>4</v>
      </c>
      <c r="C4" s="55" t="s">
        <v>55</v>
      </c>
      <c r="D4" s="60" t="s">
        <v>1</v>
      </c>
      <c r="O4" s="61">
        <v>0.06</v>
      </c>
      <c r="P4" s="61">
        <f t="shared" si="0"/>
        <v>9.0254545454545476E-2</v>
      </c>
      <c r="Q4" s="53">
        <f t="shared" ref="Q4:Q67" si="13">O4*$O$1</f>
        <v>30.878999999999998</v>
      </c>
      <c r="R4" s="62">
        <f t="shared" si="1"/>
        <v>788.81278538812808</v>
      </c>
      <c r="S4" s="62">
        <f t="shared" si="2"/>
        <v>1016.8949771689497</v>
      </c>
      <c r="T4" s="62">
        <f t="shared" si="3"/>
        <v>1132.5342465753424</v>
      </c>
      <c r="U4" s="62">
        <f t="shared" si="4"/>
        <v>1095.5479452054797</v>
      </c>
      <c r="V4" s="62">
        <f t="shared" si="5"/>
        <v>1066.8949771689499</v>
      </c>
      <c r="W4" s="62"/>
      <c r="X4" s="61">
        <f t="shared" si="6"/>
        <v>0.06</v>
      </c>
      <c r="Y4" s="53">
        <f t="shared" si="7"/>
        <v>4.1995440000000004</v>
      </c>
      <c r="Z4" s="62">
        <f t="shared" si="8"/>
        <v>302.11377369863015</v>
      </c>
      <c r="AA4" s="62">
        <f t="shared" si="9"/>
        <v>395.81707890410968</v>
      </c>
      <c r="AB4" s="62">
        <f t="shared" si="10"/>
        <v>445.58823378995436</v>
      </c>
      <c r="AC4" s="62">
        <f t="shared" si="11"/>
        <v>428.69343415525117</v>
      </c>
      <c r="AD4" s="62">
        <f t="shared" si="12"/>
        <v>407.83940621004575</v>
      </c>
      <c r="AG4" s="53">
        <v>3</v>
      </c>
      <c r="AH4" s="53">
        <v>744</v>
      </c>
      <c r="AI4" s="53">
        <f t="shared" ref="AI4:AI13" si="14">AH4/24</f>
        <v>31</v>
      </c>
    </row>
    <row r="5" spans="1:40" x14ac:dyDescent="0.3">
      <c r="A5" s="53">
        <f>YEAR(D3)</f>
        <v>2020</v>
      </c>
      <c r="O5" s="61">
        <v>7.0000000000000007E-2</v>
      </c>
      <c r="P5" s="61">
        <f t="shared" si="0"/>
        <v>0.10529696969696971</v>
      </c>
      <c r="Q5" s="53">
        <f t="shared" si="13"/>
        <v>36.025500000000001</v>
      </c>
      <c r="R5" s="62">
        <f t="shared" si="1"/>
        <v>676.12524461839541</v>
      </c>
      <c r="S5" s="62">
        <f t="shared" si="2"/>
        <v>871.62426614481399</v>
      </c>
      <c r="T5" s="62">
        <f t="shared" si="3"/>
        <v>970.74363992172198</v>
      </c>
      <c r="U5" s="62">
        <f t="shared" si="4"/>
        <v>939.04109589041104</v>
      </c>
      <c r="V5" s="62">
        <f t="shared" si="5"/>
        <v>914.48140900195699</v>
      </c>
      <c r="W5" s="62"/>
      <c r="X5" s="61">
        <f t="shared" si="6"/>
        <v>7.0000000000000007E-2</v>
      </c>
      <c r="Y5" s="53">
        <f t="shared" si="7"/>
        <v>4.8994680000000006</v>
      </c>
      <c r="Z5" s="62">
        <f t="shared" si="8"/>
        <v>270.70477174168298</v>
      </c>
      <c r="AA5" s="62">
        <f t="shared" si="9"/>
        <v>354.32979906066544</v>
      </c>
      <c r="AB5" s="62">
        <f t="shared" si="10"/>
        <v>398.58888610567516</v>
      </c>
      <c r="AC5" s="62">
        <f t="shared" si="11"/>
        <v>383.6184178473581</v>
      </c>
      <c r="AD5" s="62">
        <f t="shared" si="12"/>
        <v>365.55303960861062</v>
      </c>
      <c r="AG5" s="53">
        <v>4</v>
      </c>
      <c r="AH5" s="53">
        <v>720</v>
      </c>
      <c r="AI5" s="53">
        <f t="shared" si="14"/>
        <v>30</v>
      </c>
    </row>
    <row r="6" spans="1:40" x14ac:dyDescent="0.3">
      <c r="C6" s="183" t="s">
        <v>56</v>
      </c>
      <c r="D6" s="184"/>
      <c r="E6" s="184"/>
      <c r="F6" s="184"/>
      <c r="G6" s="184"/>
      <c r="H6" s="184"/>
      <c r="I6" s="184"/>
      <c r="J6" s="185"/>
      <c r="L6" s="63" t="s">
        <v>57</v>
      </c>
      <c r="M6" s="64">
        <f>IF(M12="Verde",0,IF(M12="Azul",D25,"Invalido"))</f>
        <v>0</v>
      </c>
      <c r="O6" s="61">
        <v>0.08</v>
      </c>
      <c r="P6" s="61">
        <f t="shared" si="0"/>
        <v>0.12033939393939394</v>
      </c>
      <c r="Q6" s="53">
        <f t="shared" si="13"/>
        <v>41.171999999999997</v>
      </c>
      <c r="R6" s="62">
        <f t="shared" si="1"/>
        <v>591.609589041096</v>
      </c>
      <c r="S6" s="62">
        <f t="shared" si="2"/>
        <v>762.67123287671234</v>
      </c>
      <c r="T6" s="62">
        <f t="shared" si="3"/>
        <v>849.40068493150682</v>
      </c>
      <c r="U6" s="62">
        <f t="shared" si="4"/>
        <v>821.66095890410975</v>
      </c>
      <c r="V6" s="62">
        <f t="shared" si="5"/>
        <v>800.17123287671245</v>
      </c>
      <c r="W6" s="62"/>
      <c r="X6" s="61">
        <f t="shared" si="6"/>
        <v>0.08</v>
      </c>
      <c r="Y6" s="53">
        <f t="shared" si="7"/>
        <v>5.5993919999999999</v>
      </c>
      <c r="Z6" s="62">
        <f t="shared" si="8"/>
        <v>247.14802027397263</v>
      </c>
      <c r="AA6" s="62">
        <f t="shared" si="9"/>
        <v>323.21433917808224</v>
      </c>
      <c r="AB6" s="62">
        <f t="shared" si="10"/>
        <v>363.33937534246576</v>
      </c>
      <c r="AC6" s="62">
        <f t="shared" si="11"/>
        <v>349.81215561643836</v>
      </c>
      <c r="AD6" s="62">
        <f t="shared" si="12"/>
        <v>333.83826465753424</v>
      </c>
      <c r="AG6" s="53">
        <v>5</v>
      </c>
      <c r="AH6" s="53">
        <v>744</v>
      </c>
      <c r="AI6" s="53">
        <f t="shared" si="14"/>
        <v>31</v>
      </c>
    </row>
    <row r="7" spans="1:40" x14ac:dyDescent="0.3">
      <c r="A7" s="52" t="s">
        <v>58</v>
      </c>
      <c r="C7" s="63" t="s">
        <v>49</v>
      </c>
      <c r="D7" s="63">
        <v>2019</v>
      </c>
      <c r="E7" s="63">
        <f>D7+1</f>
        <v>2020</v>
      </c>
      <c r="F7" s="63">
        <f t="shared" ref="F7:J7" si="15">E7+1</f>
        <v>2021</v>
      </c>
      <c r="G7" s="63">
        <f t="shared" si="15"/>
        <v>2022</v>
      </c>
      <c r="H7" s="63">
        <f t="shared" si="15"/>
        <v>2023</v>
      </c>
      <c r="I7" s="63">
        <f t="shared" si="15"/>
        <v>2024</v>
      </c>
      <c r="J7" s="63">
        <f t="shared" si="15"/>
        <v>2025</v>
      </c>
      <c r="K7" s="65"/>
      <c r="L7" s="63" t="s">
        <v>59</v>
      </c>
      <c r="M7" s="64">
        <f>E25</f>
        <v>705</v>
      </c>
      <c r="N7" s="65"/>
      <c r="O7" s="61">
        <v>0.09</v>
      </c>
      <c r="P7" s="61">
        <f t="shared" si="0"/>
        <v>0.13538181818181816</v>
      </c>
      <c r="Q7" s="53">
        <f t="shared" si="13"/>
        <v>46.318499999999993</v>
      </c>
      <c r="R7" s="62">
        <f t="shared" si="1"/>
        <v>525.87519025875201</v>
      </c>
      <c r="S7" s="62">
        <f t="shared" si="2"/>
        <v>677.92998477929984</v>
      </c>
      <c r="T7" s="62">
        <f t="shared" si="3"/>
        <v>755.02283105022832</v>
      </c>
      <c r="U7" s="62">
        <f t="shared" si="4"/>
        <v>730.36529680365311</v>
      </c>
      <c r="V7" s="62">
        <f t="shared" si="5"/>
        <v>711.26331811263333</v>
      </c>
      <c r="W7" s="62"/>
      <c r="X7" s="61">
        <f t="shared" si="6"/>
        <v>0.09</v>
      </c>
      <c r="Y7" s="53">
        <f t="shared" si="7"/>
        <v>6.2993159999999992</v>
      </c>
      <c r="Z7" s="62">
        <f t="shared" si="8"/>
        <v>228.82610246575348</v>
      </c>
      <c r="AA7" s="62">
        <f t="shared" si="9"/>
        <v>299.01342593607308</v>
      </c>
      <c r="AB7" s="62">
        <f t="shared" si="10"/>
        <v>335.92308919330287</v>
      </c>
      <c r="AC7" s="62">
        <f t="shared" si="11"/>
        <v>323.51839610350083</v>
      </c>
      <c r="AD7" s="62">
        <f t="shared" si="12"/>
        <v>309.17121747336381</v>
      </c>
      <c r="AG7" s="53">
        <v>6</v>
      </c>
      <c r="AH7" s="53">
        <v>720</v>
      </c>
      <c r="AI7" s="53">
        <f t="shared" si="14"/>
        <v>30</v>
      </c>
    </row>
    <row r="8" spans="1:40" x14ac:dyDescent="0.3">
      <c r="A8" s="52" t="s">
        <v>60</v>
      </c>
      <c r="B8" s="52">
        <v>2</v>
      </c>
      <c r="C8" s="63" t="s">
        <v>61</v>
      </c>
      <c r="D8" s="56">
        <v>44.65</v>
      </c>
      <c r="E8" s="56">
        <v>49.84</v>
      </c>
      <c r="F8" s="56">
        <v>63.64</v>
      </c>
      <c r="G8" s="56">
        <v>70.39</v>
      </c>
      <c r="H8" s="56">
        <v>68.33</v>
      </c>
      <c r="I8" s="56">
        <v>67.53</v>
      </c>
      <c r="J8" s="56">
        <v>71.430000000000007</v>
      </c>
      <c r="K8" s="66"/>
      <c r="L8" s="63" t="s">
        <v>62</v>
      </c>
      <c r="M8" s="56">
        <f>D27*D26*D28</f>
        <v>25.385896000000002</v>
      </c>
      <c r="N8" s="66"/>
      <c r="O8" s="61">
        <v>0.1</v>
      </c>
      <c r="P8" s="61">
        <f t="shared" si="0"/>
        <v>0.15042424242424246</v>
      </c>
      <c r="Q8" s="53">
        <f t="shared" si="13"/>
        <v>51.465000000000003</v>
      </c>
      <c r="R8" s="62">
        <f t="shared" si="1"/>
        <v>473.28767123287673</v>
      </c>
      <c r="S8" s="62">
        <f t="shared" si="2"/>
        <v>610.1369863013698</v>
      </c>
      <c r="T8" s="62">
        <f t="shared" si="3"/>
        <v>679.52054794520529</v>
      </c>
      <c r="U8" s="62">
        <f t="shared" si="4"/>
        <v>657.32876712328766</v>
      </c>
      <c r="V8" s="62">
        <f t="shared" si="5"/>
        <v>640.1369863013698</v>
      </c>
      <c r="W8" s="62"/>
      <c r="X8" s="61">
        <f t="shared" si="6"/>
        <v>0.1</v>
      </c>
      <c r="Y8" s="53">
        <f t="shared" si="7"/>
        <v>6.9992400000000012</v>
      </c>
      <c r="Z8" s="62">
        <f t="shared" si="8"/>
        <v>214.16856821917807</v>
      </c>
      <c r="AA8" s="62">
        <f t="shared" si="9"/>
        <v>279.65269534246579</v>
      </c>
      <c r="AB8" s="62">
        <f t="shared" si="10"/>
        <v>313.99006027397257</v>
      </c>
      <c r="AC8" s="62">
        <f t="shared" si="11"/>
        <v>302.4833884931507</v>
      </c>
      <c r="AD8" s="62">
        <f t="shared" si="12"/>
        <v>289.43757972602742</v>
      </c>
      <c r="AG8" s="53">
        <v>7</v>
      </c>
      <c r="AH8" s="53">
        <v>744</v>
      </c>
      <c r="AI8" s="53">
        <f t="shared" si="14"/>
        <v>31</v>
      </c>
    </row>
    <row r="9" spans="1:40" x14ac:dyDescent="0.3">
      <c r="A9" s="52" t="s">
        <v>46</v>
      </c>
      <c r="B9" s="52">
        <v>3</v>
      </c>
      <c r="C9" s="63" t="s">
        <v>63</v>
      </c>
      <c r="D9" s="56">
        <v>16.829999999999998</v>
      </c>
      <c r="E9" s="56">
        <v>19.260000000000002</v>
      </c>
      <c r="F9" s="56">
        <v>25.44</v>
      </c>
      <c r="G9" s="56">
        <v>28.82</v>
      </c>
      <c r="H9" s="56">
        <v>27.64</v>
      </c>
      <c r="I9" s="56">
        <v>25.93</v>
      </c>
      <c r="J9" s="56">
        <v>27.65</v>
      </c>
      <c r="K9" s="66"/>
      <c r="L9" s="63" t="s">
        <v>64</v>
      </c>
      <c r="M9" s="56">
        <f>D27*D26*(1-D28)</f>
        <v>161.275104</v>
      </c>
      <c r="N9" s="66"/>
      <c r="O9" s="61">
        <v>0.11</v>
      </c>
      <c r="P9" s="61">
        <f t="shared" si="0"/>
        <v>0.16546666666666668</v>
      </c>
      <c r="Q9" s="53">
        <f t="shared" si="13"/>
        <v>56.611499999999999</v>
      </c>
      <c r="R9" s="62">
        <f t="shared" si="1"/>
        <v>430.26151930261528</v>
      </c>
      <c r="S9" s="62">
        <f t="shared" si="2"/>
        <v>554.66998754669987</v>
      </c>
      <c r="T9" s="62">
        <f t="shared" si="3"/>
        <v>617.7459526774594</v>
      </c>
      <c r="U9" s="62">
        <f t="shared" si="4"/>
        <v>597.57160647571607</v>
      </c>
      <c r="V9" s="62">
        <f t="shared" si="5"/>
        <v>581.94271481942712</v>
      </c>
      <c r="W9" s="62"/>
      <c r="X9" s="61">
        <f t="shared" si="6"/>
        <v>0.11</v>
      </c>
      <c r="Y9" s="53">
        <f t="shared" si="7"/>
        <v>7.6991640000000006</v>
      </c>
      <c r="Z9" s="62">
        <f t="shared" si="8"/>
        <v>202.17604019925284</v>
      </c>
      <c r="AA9" s="62">
        <f t="shared" si="9"/>
        <v>263.81209758405981</v>
      </c>
      <c r="AB9" s="62">
        <f t="shared" si="10"/>
        <v>296.04485479452052</v>
      </c>
      <c r="AC9" s="62">
        <f t="shared" si="11"/>
        <v>285.27292772104607</v>
      </c>
      <c r="AD9" s="62">
        <f t="shared" si="12"/>
        <v>273.29187611457036</v>
      </c>
      <c r="AG9" s="53">
        <v>8</v>
      </c>
      <c r="AH9" s="53">
        <v>744</v>
      </c>
      <c r="AI9" s="53">
        <f t="shared" si="14"/>
        <v>31</v>
      </c>
    </row>
    <row r="10" spans="1:40" x14ac:dyDescent="0.3">
      <c r="A10" s="52" t="s">
        <v>65</v>
      </c>
      <c r="B10" s="52">
        <v>4</v>
      </c>
      <c r="C10" s="63" t="s">
        <v>66</v>
      </c>
      <c r="D10" s="56">
        <v>85.02</v>
      </c>
      <c r="E10" s="56">
        <v>83.39</v>
      </c>
      <c r="F10" s="56">
        <v>103.62</v>
      </c>
      <c r="G10" s="56">
        <v>98.1</v>
      </c>
      <c r="H10" s="56">
        <v>82.56</v>
      </c>
      <c r="I10" s="56">
        <v>83.42</v>
      </c>
      <c r="J10" s="56">
        <v>85.96</v>
      </c>
      <c r="K10" s="66"/>
      <c r="L10" s="63" t="s">
        <v>0</v>
      </c>
      <c r="M10" s="67" t="str">
        <f>D2</f>
        <v>EMT</v>
      </c>
      <c r="N10" s="66"/>
      <c r="O10" s="61">
        <v>0.12</v>
      </c>
      <c r="P10" s="61">
        <f t="shared" si="0"/>
        <v>0.18050909090909095</v>
      </c>
      <c r="Q10" s="53">
        <f t="shared" si="13"/>
        <v>61.757999999999996</v>
      </c>
      <c r="R10" s="62">
        <f t="shared" si="1"/>
        <v>394.40639269406404</v>
      </c>
      <c r="S10" s="62">
        <f t="shared" si="2"/>
        <v>508.44748858447485</v>
      </c>
      <c r="T10" s="62">
        <f t="shared" si="3"/>
        <v>566.26712328767121</v>
      </c>
      <c r="U10" s="62">
        <f t="shared" si="4"/>
        <v>547.77397260273983</v>
      </c>
      <c r="V10" s="62">
        <f t="shared" si="5"/>
        <v>533.44748858447497</v>
      </c>
      <c r="W10" s="62"/>
      <c r="X10" s="61">
        <f t="shared" si="6"/>
        <v>0.12</v>
      </c>
      <c r="Y10" s="53">
        <f t="shared" si="7"/>
        <v>8.3990880000000008</v>
      </c>
      <c r="Z10" s="62">
        <f t="shared" si="8"/>
        <v>192.18226684931508</v>
      </c>
      <c r="AA10" s="62">
        <f t="shared" si="9"/>
        <v>250.6115994520548</v>
      </c>
      <c r="AB10" s="62">
        <f t="shared" si="10"/>
        <v>281.09051689497721</v>
      </c>
      <c r="AC10" s="62">
        <f t="shared" si="11"/>
        <v>270.93087707762561</v>
      </c>
      <c r="AD10" s="62">
        <f t="shared" si="12"/>
        <v>259.8371231050229</v>
      </c>
      <c r="AG10" s="53">
        <v>9</v>
      </c>
      <c r="AH10" s="53">
        <v>720</v>
      </c>
      <c r="AI10" s="53">
        <f t="shared" si="14"/>
        <v>30</v>
      </c>
      <c r="AM10" s="68"/>
      <c r="AN10" s="68"/>
    </row>
    <row r="11" spans="1:40" x14ac:dyDescent="0.3">
      <c r="A11" s="52" t="s">
        <v>67</v>
      </c>
      <c r="B11" s="52">
        <v>5</v>
      </c>
      <c r="C11" s="63" t="s">
        <v>68</v>
      </c>
      <c r="D11" s="56">
        <v>85.02</v>
      </c>
      <c r="E11" s="56">
        <v>83.39</v>
      </c>
      <c r="F11" s="56">
        <v>103.62</v>
      </c>
      <c r="G11" s="56">
        <v>98.1</v>
      </c>
      <c r="H11" s="56">
        <v>82.56</v>
      </c>
      <c r="I11" s="56">
        <v>83.42</v>
      </c>
      <c r="J11" s="56">
        <v>85.96</v>
      </c>
      <c r="K11" s="66"/>
      <c r="L11" s="69"/>
      <c r="M11" s="70"/>
      <c r="N11" s="66"/>
      <c r="O11" s="61">
        <v>0.13</v>
      </c>
      <c r="P11" s="61">
        <f t="shared" si="0"/>
        <v>0.19555151515151517</v>
      </c>
      <c r="Q11" s="53">
        <f t="shared" si="13"/>
        <v>66.904499999999999</v>
      </c>
      <c r="R11" s="62">
        <f t="shared" si="1"/>
        <v>364.06743940990521</v>
      </c>
      <c r="S11" s="62">
        <f t="shared" si="2"/>
        <v>469.33614330874599</v>
      </c>
      <c r="T11" s="62">
        <f t="shared" si="3"/>
        <v>522.70811380400414</v>
      </c>
      <c r="U11" s="62">
        <f t="shared" si="4"/>
        <v>505.63751317175979</v>
      </c>
      <c r="V11" s="62">
        <f t="shared" si="5"/>
        <v>492.41306638566914</v>
      </c>
      <c r="W11" s="62"/>
      <c r="X11" s="61">
        <f t="shared" si="6"/>
        <v>0.13</v>
      </c>
      <c r="Y11" s="53">
        <f t="shared" si="7"/>
        <v>9.0990120000000001</v>
      </c>
      <c r="Z11" s="62">
        <f t="shared" si="8"/>
        <v>183.72599709167545</v>
      </c>
      <c r="AA11" s="62">
        <f t="shared" si="9"/>
        <v>239.44194718651215</v>
      </c>
      <c r="AB11" s="62">
        <f t="shared" si="10"/>
        <v>268.43684636459432</v>
      </c>
      <c r="AC11" s="62">
        <f t="shared" si="11"/>
        <v>258.79529576396209</v>
      </c>
      <c r="AD11" s="62">
        <f t="shared" si="12"/>
        <v>248.45233209694413</v>
      </c>
      <c r="AG11" s="53">
        <v>10</v>
      </c>
      <c r="AH11" s="53">
        <v>744</v>
      </c>
      <c r="AI11" s="53">
        <f t="shared" si="14"/>
        <v>31</v>
      </c>
    </row>
    <row r="12" spans="1:40" x14ac:dyDescent="0.3">
      <c r="A12" s="52" t="s">
        <v>65</v>
      </c>
      <c r="B12" s="52">
        <v>6</v>
      </c>
      <c r="C12" s="63" t="s">
        <v>69</v>
      </c>
      <c r="D12" s="56">
        <v>443.26</v>
      </c>
      <c r="E12" s="56">
        <v>420.68</v>
      </c>
      <c r="F12" s="56">
        <v>470.08</v>
      </c>
      <c r="G12" s="56">
        <v>456.57</v>
      </c>
      <c r="H12" s="56">
        <v>420.54</v>
      </c>
      <c r="I12" s="56">
        <v>424.02</v>
      </c>
      <c r="J12" s="56">
        <v>428.57</v>
      </c>
      <c r="K12" s="66"/>
      <c r="L12" s="63" t="s">
        <v>14</v>
      </c>
      <c r="M12" s="71" t="s">
        <v>42</v>
      </c>
      <c r="N12" s="66"/>
      <c r="O12" s="61">
        <v>0.14000000000000001</v>
      </c>
      <c r="P12" s="61">
        <f t="shared" si="0"/>
        <v>0.21059393939393942</v>
      </c>
      <c r="Q12" s="53">
        <f t="shared" si="13"/>
        <v>72.051000000000002</v>
      </c>
      <c r="R12" s="62">
        <f t="shared" si="1"/>
        <v>338.06262230919771</v>
      </c>
      <c r="S12" s="62">
        <f t="shared" si="2"/>
        <v>435.81213307240699</v>
      </c>
      <c r="T12" s="62">
        <f t="shared" si="3"/>
        <v>485.37181996086099</v>
      </c>
      <c r="U12" s="62">
        <f t="shared" si="4"/>
        <v>469.52054794520552</v>
      </c>
      <c r="V12" s="62">
        <f t="shared" si="5"/>
        <v>457.2407045009785</v>
      </c>
      <c r="W12" s="62"/>
      <c r="X12" s="61">
        <f t="shared" si="6"/>
        <v>0.14000000000000001</v>
      </c>
      <c r="Y12" s="53">
        <f t="shared" si="7"/>
        <v>9.7989360000000012</v>
      </c>
      <c r="Z12" s="62">
        <f t="shared" si="8"/>
        <v>176.47776587084149</v>
      </c>
      <c r="AA12" s="62">
        <f t="shared" si="9"/>
        <v>229.86795953033271</v>
      </c>
      <c r="AB12" s="62">
        <f t="shared" si="10"/>
        <v>257.59084305283756</v>
      </c>
      <c r="AC12" s="62">
        <f t="shared" si="11"/>
        <v>248.39336892367908</v>
      </c>
      <c r="AD12" s="62">
        <f t="shared" si="12"/>
        <v>238.6939398043053</v>
      </c>
      <c r="AG12" s="53">
        <v>11</v>
      </c>
      <c r="AH12" s="53">
        <v>720</v>
      </c>
      <c r="AI12" s="53">
        <f t="shared" si="14"/>
        <v>30</v>
      </c>
      <c r="AM12" s="72"/>
      <c r="AN12" s="72"/>
    </row>
    <row r="13" spans="1:40" x14ac:dyDescent="0.3">
      <c r="A13" s="52" t="s">
        <v>67</v>
      </c>
      <c r="B13" s="52">
        <v>7</v>
      </c>
      <c r="C13" s="63" t="s">
        <v>70</v>
      </c>
      <c r="D13" s="56">
        <v>264.58999999999997</v>
      </c>
      <c r="E13" s="56">
        <v>251.44</v>
      </c>
      <c r="F13" s="56">
        <v>286.72000000000003</v>
      </c>
      <c r="G13" s="56">
        <v>278.14999999999998</v>
      </c>
      <c r="H13" s="56">
        <v>256.02</v>
      </c>
      <c r="I13" s="56">
        <v>256.99</v>
      </c>
      <c r="J13" s="56">
        <v>259.67</v>
      </c>
      <c r="K13" s="66"/>
      <c r="L13" s="63" t="s">
        <v>71</v>
      </c>
      <c r="M13" s="67">
        <f>E8</f>
        <v>49.84</v>
      </c>
      <c r="N13" s="66"/>
      <c r="O13" s="61">
        <v>0.15</v>
      </c>
      <c r="P13" s="61">
        <f t="shared" si="0"/>
        <v>0.22563636363636361</v>
      </c>
      <c r="Q13" s="53">
        <f t="shared" si="13"/>
        <v>77.197499999999991</v>
      </c>
      <c r="R13" s="62">
        <f t="shared" si="1"/>
        <v>315.52511415525123</v>
      </c>
      <c r="S13" s="62">
        <f t="shared" si="2"/>
        <v>406.75799086757991</v>
      </c>
      <c r="T13" s="62">
        <f t="shared" si="3"/>
        <v>453.01369863013696</v>
      </c>
      <c r="U13" s="62">
        <f t="shared" si="4"/>
        <v>438.21917808219189</v>
      </c>
      <c r="V13" s="62">
        <f t="shared" si="5"/>
        <v>426.75799086757996</v>
      </c>
      <c r="W13" s="62"/>
      <c r="X13" s="61">
        <f t="shared" si="6"/>
        <v>0.15</v>
      </c>
      <c r="Y13" s="53">
        <f t="shared" si="7"/>
        <v>10.498859999999999</v>
      </c>
      <c r="Z13" s="62">
        <f t="shared" si="8"/>
        <v>170.19596547945207</v>
      </c>
      <c r="AA13" s="62">
        <f t="shared" si="9"/>
        <v>221.57050356164387</v>
      </c>
      <c r="AB13" s="62">
        <f t="shared" si="10"/>
        <v>248.19097351598174</v>
      </c>
      <c r="AC13" s="62">
        <f t="shared" si="11"/>
        <v>239.37836566210049</v>
      </c>
      <c r="AD13" s="62">
        <f t="shared" si="12"/>
        <v>230.23666648401826</v>
      </c>
      <c r="AG13" s="53">
        <v>12</v>
      </c>
      <c r="AH13" s="53">
        <v>744</v>
      </c>
      <c r="AI13" s="53">
        <f t="shared" si="14"/>
        <v>31</v>
      </c>
      <c r="AM13" s="72"/>
      <c r="AN13" s="72"/>
    </row>
    <row r="14" spans="1:40" x14ac:dyDescent="0.3">
      <c r="L14" s="63" t="s">
        <v>16</v>
      </c>
      <c r="M14" s="67">
        <f>E9</f>
        <v>19.260000000000002</v>
      </c>
      <c r="O14" s="61">
        <v>0.16</v>
      </c>
      <c r="P14" s="61">
        <f t="shared" si="0"/>
        <v>0.24067878787878788</v>
      </c>
      <c r="Q14" s="53">
        <f t="shared" si="13"/>
        <v>82.343999999999994</v>
      </c>
      <c r="R14" s="62">
        <f t="shared" si="1"/>
        <v>295.804794520548</v>
      </c>
      <c r="S14" s="62">
        <f t="shared" si="2"/>
        <v>381.33561643835617</v>
      </c>
      <c r="T14" s="62">
        <f t="shared" si="3"/>
        <v>424.70034246575341</v>
      </c>
      <c r="U14" s="62">
        <f t="shared" si="4"/>
        <v>410.83047945205487</v>
      </c>
      <c r="V14" s="62">
        <f t="shared" si="5"/>
        <v>400.08561643835623</v>
      </c>
      <c r="W14" s="62"/>
      <c r="X14" s="61">
        <f t="shared" si="6"/>
        <v>0.16</v>
      </c>
      <c r="Y14" s="53">
        <f t="shared" si="7"/>
        <v>11.198784</v>
      </c>
      <c r="Z14" s="62">
        <f t="shared" si="8"/>
        <v>164.69939013698632</v>
      </c>
      <c r="AA14" s="62">
        <f t="shared" si="9"/>
        <v>214.31022958904114</v>
      </c>
      <c r="AB14" s="62">
        <f t="shared" si="10"/>
        <v>239.96608767123288</v>
      </c>
      <c r="AC14" s="62">
        <f t="shared" si="11"/>
        <v>231.49023780821918</v>
      </c>
      <c r="AD14" s="62">
        <f t="shared" si="12"/>
        <v>222.83655232876714</v>
      </c>
      <c r="AM14" s="72"/>
      <c r="AN14" s="72"/>
    </row>
    <row r="15" spans="1:40" x14ac:dyDescent="0.3">
      <c r="C15" s="183" t="s">
        <v>56</v>
      </c>
      <c r="D15" s="184"/>
      <c r="E15" s="184"/>
      <c r="F15" s="184"/>
      <c r="G15" s="184"/>
      <c r="H15" s="184"/>
      <c r="I15" s="184"/>
      <c r="J15" s="185"/>
      <c r="L15" s="63" t="s">
        <v>72</v>
      </c>
      <c r="M15" s="67">
        <f>E19</f>
        <v>1292.96</v>
      </c>
      <c r="O15" s="61">
        <v>0.17</v>
      </c>
      <c r="P15" s="61">
        <f t="shared" si="0"/>
        <v>0.25572121212121213</v>
      </c>
      <c r="Q15" s="53">
        <f t="shared" si="13"/>
        <v>87.490499999999997</v>
      </c>
      <c r="R15" s="62">
        <f t="shared" si="1"/>
        <v>278.40451248992753</v>
      </c>
      <c r="S15" s="62">
        <f t="shared" si="2"/>
        <v>358.90410958904107</v>
      </c>
      <c r="T15" s="62">
        <f t="shared" si="3"/>
        <v>399.71796937953258</v>
      </c>
      <c r="U15" s="62">
        <f t="shared" si="4"/>
        <v>386.66398066075749</v>
      </c>
      <c r="V15" s="62">
        <f t="shared" si="5"/>
        <v>376.55116841257052</v>
      </c>
      <c r="W15" s="62"/>
      <c r="X15" s="61">
        <f t="shared" si="6"/>
        <v>0.17</v>
      </c>
      <c r="Y15" s="53">
        <f t="shared" si="7"/>
        <v>11.898708000000001</v>
      </c>
      <c r="Z15" s="62">
        <f t="shared" si="8"/>
        <v>159.8494707171636</v>
      </c>
      <c r="AA15" s="62">
        <f t="shared" si="9"/>
        <v>207.90410549556813</v>
      </c>
      <c r="AB15" s="62">
        <f t="shared" si="10"/>
        <v>232.70883545527803</v>
      </c>
      <c r="AC15" s="62">
        <f t="shared" si="11"/>
        <v>224.53012499597105</v>
      </c>
      <c r="AD15" s="62">
        <f t="shared" si="12"/>
        <v>216.30703983883967</v>
      </c>
      <c r="AM15" s="72"/>
      <c r="AN15" s="72"/>
    </row>
    <row r="16" spans="1:40" x14ac:dyDescent="0.3">
      <c r="A16" s="52" t="s">
        <v>58</v>
      </c>
      <c r="C16" s="63" t="s">
        <v>52</v>
      </c>
      <c r="D16" s="63">
        <f>D7</f>
        <v>2019</v>
      </c>
      <c r="E16" s="63">
        <f t="shared" ref="E16:J16" si="16">E7</f>
        <v>2020</v>
      </c>
      <c r="F16" s="63">
        <f t="shared" si="16"/>
        <v>2021</v>
      </c>
      <c r="G16" s="63">
        <f t="shared" si="16"/>
        <v>2022</v>
      </c>
      <c r="H16" s="63">
        <f t="shared" si="16"/>
        <v>2023</v>
      </c>
      <c r="I16" s="63">
        <f t="shared" si="16"/>
        <v>2024</v>
      </c>
      <c r="J16" s="63">
        <f t="shared" si="16"/>
        <v>2025</v>
      </c>
      <c r="L16" s="63" t="s">
        <v>73</v>
      </c>
      <c r="M16" s="67">
        <f>E11</f>
        <v>83.39</v>
      </c>
      <c r="O16" s="61">
        <v>0.18</v>
      </c>
      <c r="P16" s="61">
        <f t="shared" si="0"/>
        <v>0.27076363636363632</v>
      </c>
      <c r="Q16" s="53">
        <f>O16*$O$1</f>
        <v>92.636999999999986</v>
      </c>
      <c r="R16" s="62">
        <f t="shared" si="1"/>
        <v>262.93759512937601</v>
      </c>
      <c r="S16" s="62">
        <f t="shared" si="2"/>
        <v>338.96499238964992</v>
      </c>
      <c r="T16" s="62">
        <f t="shared" si="3"/>
        <v>377.51141552511416</v>
      </c>
      <c r="U16" s="62">
        <f t="shared" si="4"/>
        <v>365.18264840182655</v>
      </c>
      <c r="V16" s="62">
        <f t="shared" si="5"/>
        <v>355.63165905631666</v>
      </c>
      <c r="W16" s="62"/>
      <c r="X16" s="61">
        <f t="shared" si="6"/>
        <v>0.18</v>
      </c>
      <c r="Y16" s="53">
        <f t="shared" si="7"/>
        <v>12.598631999999998</v>
      </c>
      <c r="Z16" s="62">
        <f t="shared" si="8"/>
        <v>155.53843123287672</v>
      </c>
      <c r="AA16" s="62">
        <f t="shared" si="9"/>
        <v>202.20977296803656</v>
      </c>
      <c r="AB16" s="62">
        <f t="shared" si="10"/>
        <v>226.25794459665147</v>
      </c>
      <c r="AC16" s="62">
        <f t="shared" si="11"/>
        <v>218.34335805175039</v>
      </c>
      <c r="AD16" s="62">
        <f t="shared" si="12"/>
        <v>210.50302873668193</v>
      </c>
      <c r="AM16" s="72"/>
      <c r="AN16" s="72"/>
    </row>
    <row r="17" spans="1:40" x14ac:dyDescent="0.3">
      <c r="A17" s="52" t="s">
        <v>60</v>
      </c>
      <c r="B17" s="52">
        <v>2</v>
      </c>
      <c r="C17" s="63" t="s">
        <v>61</v>
      </c>
      <c r="D17" s="56" t="s">
        <v>90</v>
      </c>
      <c r="E17" s="56" t="s">
        <v>90</v>
      </c>
      <c r="F17" s="56" t="s">
        <v>90</v>
      </c>
      <c r="G17" s="56" t="s">
        <v>90</v>
      </c>
      <c r="H17" s="56" t="s">
        <v>90</v>
      </c>
      <c r="I17" s="56" t="s">
        <v>90</v>
      </c>
      <c r="J17" s="56" t="s">
        <v>90</v>
      </c>
      <c r="K17" s="66"/>
      <c r="L17" s="69"/>
      <c r="M17" s="70"/>
      <c r="N17" s="66"/>
      <c r="O17" s="61">
        <v>0.19</v>
      </c>
      <c r="P17" s="61">
        <f t="shared" si="0"/>
        <v>0.28580606060606062</v>
      </c>
      <c r="Q17" s="53">
        <f t="shared" si="13"/>
        <v>97.783500000000004</v>
      </c>
      <c r="R17" s="62">
        <f t="shared" si="1"/>
        <v>249.09877433309305</v>
      </c>
      <c r="S17" s="62">
        <f t="shared" si="2"/>
        <v>321.12472963229987</v>
      </c>
      <c r="T17" s="62">
        <f t="shared" si="3"/>
        <v>357.64239365537122</v>
      </c>
      <c r="U17" s="62">
        <f t="shared" si="4"/>
        <v>345.9625090122567</v>
      </c>
      <c r="V17" s="62">
        <f t="shared" si="5"/>
        <v>336.91420331651045</v>
      </c>
      <c r="W17" s="62"/>
      <c r="X17" s="61">
        <f t="shared" si="6"/>
        <v>0.19</v>
      </c>
      <c r="Y17" s="53">
        <f t="shared" si="7"/>
        <v>13.298556000000001</v>
      </c>
      <c r="Z17" s="62">
        <f t="shared" si="8"/>
        <v>151.68118537851478</v>
      </c>
      <c r="AA17" s="62">
        <f t="shared" si="9"/>
        <v>197.11484386445568</v>
      </c>
      <c r="AB17" s="62">
        <f t="shared" si="10"/>
        <v>220.48609488103821</v>
      </c>
      <c r="AC17" s="62">
        <f t="shared" si="11"/>
        <v>212.80782973323718</v>
      </c>
      <c r="AD17" s="62">
        <f t="shared" si="12"/>
        <v>205.30996617159337</v>
      </c>
      <c r="AM17" s="72"/>
      <c r="AN17" s="72"/>
    </row>
    <row r="18" spans="1:40" x14ac:dyDescent="0.3">
      <c r="A18" s="52" t="s">
        <v>46</v>
      </c>
      <c r="B18" s="52">
        <v>3</v>
      </c>
      <c r="C18" s="63" t="s">
        <v>63</v>
      </c>
      <c r="D18" s="56">
        <v>16.829999999999998</v>
      </c>
      <c r="E18" s="56">
        <v>19.260000000000002</v>
      </c>
      <c r="F18" s="56">
        <v>25.44</v>
      </c>
      <c r="G18" s="56">
        <v>28.82</v>
      </c>
      <c r="H18" s="56">
        <v>27.64</v>
      </c>
      <c r="I18" s="56">
        <v>25.93</v>
      </c>
      <c r="J18" s="56">
        <v>27.65</v>
      </c>
      <c r="K18" s="66"/>
      <c r="L18" s="63" t="s">
        <v>21</v>
      </c>
      <c r="M18" s="73">
        <v>0.18</v>
      </c>
      <c r="N18" s="66"/>
      <c r="O18" s="61">
        <v>0.2</v>
      </c>
      <c r="P18" s="61">
        <f t="shared" si="0"/>
        <v>0.30084848484848492</v>
      </c>
      <c r="Q18" s="53">
        <f t="shared" si="13"/>
        <v>102.93</v>
      </c>
      <c r="R18" s="62">
        <f t="shared" si="1"/>
        <v>236.64383561643837</v>
      </c>
      <c r="S18" s="62">
        <f t="shared" si="2"/>
        <v>305.0684931506849</v>
      </c>
      <c r="T18" s="62">
        <f t="shared" si="3"/>
        <v>339.76027397260265</v>
      </c>
      <c r="U18" s="62">
        <f t="shared" si="4"/>
        <v>328.66438356164383</v>
      </c>
      <c r="V18" s="62">
        <f t="shared" si="5"/>
        <v>320.0684931506849</v>
      </c>
      <c r="W18" s="62"/>
      <c r="X18" s="61">
        <f t="shared" si="6"/>
        <v>0.2</v>
      </c>
      <c r="Y18" s="53">
        <f t="shared" si="7"/>
        <v>13.998480000000002</v>
      </c>
      <c r="Z18" s="62">
        <f t="shared" si="8"/>
        <v>148.20966410958906</v>
      </c>
      <c r="AA18" s="62">
        <f t="shared" si="9"/>
        <v>192.52940767123289</v>
      </c>
      <c r="AB18" s="62">
        <f t="shared" si="10"/>
        <v>215.29143013698632</v>
      </c>
      <c r="AC18" s="62">
        <f t="shared" si="11"/>
        <v>207.82585424657535</v>
      </c>
      <c r="AD18" s="62">
        <f t="shared" si="12"/>
        <v>200.63620986301368</v>
      </c>
      <c r="AM18" s="72"/>
      <c r="AN18" s="72"/>
    </row>
    <row r="19" spans="1:40" x14ac:dyDescent="0.3">
      <c r="A19" s="52" t="s">
        <v>65</v>
      </c>
      <c r="B19" s="52">
        <v>4</v>
      </c>
      <c r="C19" s="63" t="s">
        <v>66</v>
      </c>
      <c r="D19" s="56">
        <v>1169.56</v>
      </c>
      <c r="E19" s="56">
        <v>1292.96</v>
      </c>
      <c r="F19" s="56">
        <v>1653.71</v>
      </c>
      <c r="G19" s="56">
        <v>1812.7</v>
      </c>
      <c r="H19" s="56">
        <v>1746.8</v>
      </c>
      <c r="I19" s="56">
        <v>1728.05</v>
      </c>
      <c r="J19" s="56">
        <v>1825.64</v>
      </c>
      <c r="K19" s="66"/>
      <c r="L19" s="63" t="s">
        <v>22</v>
      </c>
      <c r="M19" s="73">
        <v>0.05</v>
      </c>
      <c r="N19" s="66"/>
      <c r="O19" s="61">
        <v>0.21</v>
      </c>
      <c r="P19" s="61">
        <f t="shared" si="0"/>
        <v>0.31589090909090911</v>
      </c>
      <c r="Q19" s="53">
        <f t="shared" si="13"/>
        <v>108.0765</v>
      </c>
      <c r="R19" s="62">
        <f t="shared" si="1"/>
        <v>225.37508153946516</v>
      </c>
      <c r="S19" s="62">
        <f t="shared" si="2"/>
        <v>290.54142204827133</v>
      </c>
      <c r="T19" s="62">
        <f t="shared" si="3"/>
        <v>323.58121330724066</v>
      </c>
      <c r="U19" s="62">
        <f t="shared" si="4"/>
        <v>313.01369863013701</v>
      </c>
      <c r="V19" s="62">
        <f t="shared" si="5"/>
        <v>304.82713633398566</v>
      </c>
      <c r="W19" s="62"/>
      <c r="X19" s="61">
        <f t="shared" si="6"/>
        <v>0.21</v>
      </c>
      <c r="Y19" s="53">
        <f t="shared" si="7"/>
        <v>14.698404</v>
      </c>
      <c r="Z19" s="62">
        <f t="shared" si="8"/>
        <v>145.06876391389432</v>
      </c>
      <c r="AA19" s="62">
        <f t="shared" si="9"/>
        <v>188.38067968688847</v>
      </c>
      <c r="AB19" s="62">
        <f t="shared" si="10"/>
        <v>210.59149536855841</v>
      </c>
      <c r="AC19" s="62">
        <f t="shared" si="11"/>
        <v>203.31835261578604</v>
      </c>
      <c r="AD19" s="62">
        <f t="shared" si="12"/>
        <v>196.4075732028702</v>
      </c>
      <c r="AN19" s="74"/>
    </row>
    <row r="20" spans="1:40" x14ac:dyDescent="0.3">
      <c r="A20" s="52" t="s">
        <v>67</v>
      </c>
      <c r="B20" s="52">
        <v>5</v>
      </c>
      <c r="C20" s="63" t="s">
        <v>68</v>
      </c>
      <c r="D20" s="56">
        <v>85.02</v>
      </c>
      <c r="E20" s="56">
        <v>83.39</v>
      </c>
      <c r="F20" s="56">
        <v>103.62</v>
      </c>
      <c r="G20" s="56">
        <v>98.1</v>
      </c>
      <c r="H20" s="56">
        <v>82.56</v>
      </c>
      <c r="I20" s="56">
        <v>83.42</v>
      </c>
      <c r="J20" s="56">
        <v>85.96</v>
      </c>
      <c r="K20" s="66"/>
      <c r="L20" s="69"/>
      <c r="M20" s="70"/>
      <c r="N20" s="66"/>
      <c r="O20" s="61">
        <v>0.22</v>
      </c>
      <c r="P20" s="61">
        <f t="shared" si="0"/>
        <v>0.33093333333333336</v>
      </c>
      <c r="Q20" s="53">
        <f t="shared" si="13"/>
        <v>113.223</v>
      </c>
      <c r="R20" s="62">
        <f t="shared" si="1"/>
        <v>215.13075965130764</v>
      </c>
      <c r="S20" s="62">
        <f t="shared" si="2"/>
        <v>277.33499377334994</v>
      </c>
      <c r="T20" s="62">
        <f t="shared" si="3"/>
        <v>308.8729763387297</v>
      </c>
      <c r="U20" s="62">
        <f t="shared" si="4"/>
        <v>298.78580323785803</v>
      </c>
      <c r="V20" s="62">
        <f t="shared" si="5"/>
        <v>290.97135740971356</v>
      </c>
      <c r="W20" s="62"/>
      <c r="X20" s="61">
        <f t="shared" si="6"/>
        <v>0.22</v>
      </c>
      <c r="Y20" s="53">
        <f t="shared" si="7"/>
        <v>15.398328000000001</v>
      </c>
      <c r="Z20" s="62">
        <f t="shared" si="8"/>
        <v>142.2134000996264</v>
      </c>
      <c r="AA20" s="62">
        <f t="shared" si="9"/>
        <v>184.60910879202993</v>
      </c>
      <c r="AB20" s="62">
        <f t="shared" si="10"/>
        <v>206.31882739726029</v>
      </c>
      <c r="AC20" s="62">
        <f t="shared" si="11"/>
        <v>199.22062386052306</v>
      </c>
      <c r="AD20" s="62">
        <f t="shared" si="12"/>
        <v>192.56335805728517</v>
      </c>
    </row>
    <row r="21" spans="1:40" x14ac:dyDescent="0.3">
      <c r="A21" s="52" t="s">
        <v>65</v>
      </c>
      <c r="B21" s="52">
        <v>6</v>
      </c>
      <c r="C21" s="63" t="s">
        <v>69</v>
      </c>
      <c r="D21" s="56">
        <v>443.26</v>
      </c>
      <c r="E21" s="56">
        <v>420.68</v>
      </c>
      <c r="F21" s="56">
        <v>470.08</v>
      </c>
      <c r="G21" s="56">
        <v>456.57</v>
      </c>
      <c r="H21" s="56">
        <v>420.54</v>
      </c>
      <c r="I21" s="56">
        <v>424.02</v>
      </c>
      <c r="J21" s="56">
        <v>428.57</v>
      </c>
      <c r="K21" s="66"/>
      <c r="L21" s="63" t="s">
        <v>74</v>
      </c>
      <c r="M21" s="71">
        <v>386.39299999999997</v>
      </c>
      <c r="N21" s="66"/>
      <c r="O21" s="61">
        <v>0.23</v>
      </c>
      <c r="P21" s="61">
        <f t="shared" si="0"/>
        <v>0.3459757575757576</v>
      </c>
      <c r="Q21" s="53">
        <f t="shared" si="13"/>
        <v>118.3695</v>
      </c>
      <c r="R21" s="62">
        <f t="shared" si="1"/>
        <v>205.77724836212033</v>
      </c>
      <c r="S21" s="62">
        <f t="shared" si="2"/>
        <v>265.27695056581297</v>
      </c>
      <c r="T21" s="62">
        <f t="shared" si="3"/>
        <v>295.44371649791537</v>
      </c>
      <c r="U21" s="62">
        <f t="shared" si="4"/>
        <v>285.79511614055986</v>
      </c>
      <c r="V21" s="62">
        <f t="shared" si="5"/>
        <v>278.32042882668253</v>
      </c>
      <c r="W21" s="62"/>
      <c r="X21" s="61">
        <f t="shared" si="6"/>
        <v>0.23</v>
      </c>
      <c r="Y21" s="53">
        <f t="shared" si="7"/>
        <v>16.098252000000002</v>
      </c>
      <c r="Z21" s="62">
        <f t="shared" si="8"/>
        <v>139.606328790947</v>
      </c>
      <c r="AA21" s="62">
        <f t="shared" si="9"/>
        <v>181.1655005836808</v>
      </c>
      <c r="AB21" s="62">
        <f t="shared" si="10"/>
        <v>202.41769577129244</v>
      </c>
      <c r="AC21" s="62">
        <f t="shared" si="11"/>
        <v>195.47921934484813</v>
      </c>
      <c r="AD21" s="62">
        <f t="shared" si="12"/>
        <v>189.05342248957714</v>
      </c>
      <c r="AN21" s="74"/>
    </row>
    <row r="22" spans="1:40" x14ac:dyDescent="0.3">
      <c r="A22" s="52" t="s">
        <v>67</v>
      </c>
      <c r="B22" s="52">
        <v>7</v>
      </c>
      <c r="C22" s="63" t="s">
        <v>70</v>
      </c>
      <c r="D22" s="56">
        <v>264.58999999999997</v>
      </c>
      <c r="E22" s="56">
        <v>251.44</v>
      </c>
      <c r="F22" s="56">
        <v>286.72000000000003</v>
      </c>
      <c r="G22" s="56">
        <v>278.14999999999998</v>
      </c>
      <c r="H22" s="56">
        <v>256.02</v>
      </c>
      <c r="I22" s="56">
        <v>256.99</v>
      </c>
      <c r="J22" s="56">
        <v>259.67</v>
      </c>
      <c r="K22" s="66"/>
      <c r="L22" s="63" t="s">
        <v>75</v>
      </c>
      <c r="M22" s="71">
        <v>75</v>
      </c>
      <c r="N22" s="66"/>
      <c r="O22" s="61">
        <v>0.24</v>
      </c>
      <c r="P22" s="61">
        <f t="shared" si="0"/>
        <v>0.3610181818181819</v>
      </c>
      <c r="Q22" s="53">
        <f t="shared" si="13"/>
        <v>123.51599999999999</v>
      </c>
      <c r="R22" s="62">
        <f t="shared" si="1"/>
        <v>197.20319634703202</v>
      </c>
      <c r="S22" s="62">
        <f t="shared" si="2"/>
        <v>254.22374429223743</v>
      </c>
      <c r="T22" s="62">
        <f t="shared" si="3"/>
        <v>283.13356164383561</v>
      </c>
      <c r="U22" s="62">
        <f t="shared" si="4"/>
        <v>273.88698630136992</v>
      </c>
      <c r="V22" s="62">
        <f t="shared" si="5"/>
        <v>266.72374429223748</v>
      </c>
      <c r="W22" s="62"/>
      <c r="X22" s="61">
        <f t="shared" si="6"/>
        <v>0.24</v>
      </c>
      <c r="Y22" s="53">
        <f t="shared" si="7"/>
        <v>16.798176000000002</v>
      </c>
      <c r="Z22" s="62">
        <f t="shared" si="8"/>
        <v>137.21651342465753</v>
      </c>
      <c r="AA22" s="62">
        <f t="shared" si="9"/>
        <v>178.00885972602742</v>
      </c>
      <c r="AB22" s="62">
        <f t="shared" si="10"/>
        <v>198.84165844748864</v>
      </c>
      <c r="AC22" s="62">
        <f t="shared" si="11"/>
        <v>192.0495985388128</v>
      </c>
      <c r="AD22" s="62">
        <f t="shared" si="12"/>
        <v>185.83598155251141</v>
      </c>
    </row>
    <row r="23" spans="1:40" x14ac:dyDescent="0.3">
      <c r="L23" s="63" t="s">
        <v>76</v>
      </c>
      <c r="M23" s="67">
        <f>M21*M22</f>
        <v>28979.474999999999</v>
      </c>
      <c r="O23" s="61">
        <v>0.25</v>
      </c>
      <c r="P23" s="61">
        <f t="shared" si="0"/>
        <v>0.3760606060606061</v>
      </c>
      <c r="Q23" s="53">
        <f t="shared" si="13"/>
        <v>128.66249999999999</v>
      </c>
      <c r="R23" s="62">
        <f t="shared" si="1"/>
        <v>189.31506849315073</v>
      </c>
      <c r="S23" s="62">
        <f t="shared" si="2"/>
        <v>244.05479452054794</v>
      </c>
      <c r="T23" s="62">
        <f t="shared" si="3"/>
        <v>271.80821917808214</v>
      </c>
      <c r="U23" s="62">
        <f t="shared" si="4"/>
        <v>262.9315068493151</v>
      </c>
      <c r="V23" s="62">
        <f t="shared" si="5"/>
        <v>256.05479452054794</v>
      </c>
      <c r="W23" s="62"/>
      <c r="X23" s="61">
        <f t="shared" si="6"/>
        <v>0.25</v>
      </c>
      <c r="Y23" s="53">
        <f t="shared" si="7"/>
        <v>17.498100000000001</v>
      </c>
      <c r="Z23" s="62">
        <f t="shared" si="8"/>
        <v>135.01788328767125</v>
      </c>
      <c r="AA23" s="62">
        <f t="shared" si="9"/>
        <v>175.10475013698635</v>
      </c>
      <c r="AB23" s="62">
        <f t="shared" si="10"/>
        <v>195.55170410958908</v>
      </c>
      <c r="AC23" s="62">
        <f t="shared" si="11"/>
        <v>188.8943473972603</v>
      </c>
      <c r="AD23" s="62">
        <f t="shared" si="12"/>
        <v>182.875935890411</v>
      </c>
      <c r="AN23" s="74"/>
    </row>
    <row r="24" spans="1:40" x14ac:dyDescent="0.3">
      <c r="C24" s="63" t="s">
        <v>77</v>
      </c>
      <c r="D24" s="75" t="s">
        <v>78</v>
      </c>
      <c r="E24" s="75" t="s">
        <v>79</v>
      </c>
      <c r="F24" s="76"/>
      <c r="G24" s="76"/>
      <c r="H24" s="76"/>
      <c r="I24" s="76"/>
      <c r="J24" s="76"/>
      <c r="L24" s="63" t="s">
        <v>80</v>
      </c>
      <c r="M24" s="67"/>
      <c r="O24" s="61">
        <v>0.26</v>
      </c>
      <c r="P24" s="61">
        <f t="shared" si="0"/>
        <v>0.39110303030303034</v>
      </c>
      <c r="Q24" s="53">
        <f t="shared" si="13"/>
        <v>133.809</v>
      </c>
      <c r="R24" s="62">
        <f t="shared" si="1"/>
        <v>182.0337197049526</v>
      </c>
      <c r="S24" s="62">
        <f t="shared" si="2"/>
        <v>234.66807165437299</v>
      </c>
      <c r="T24" s="62">
        <f t="shared" si="3"/>
        <v>261.35405690200207</v>
      </c>
      <c r="U24" s="62">
        <f t="shared" si="4"/>
        <v>252.8187565858799</v>
      </c>
      <c r="V24" s="62">
        <f t="shared" si="5"/>
        <v>246.20653319283457</v>
      </c>
      <c r="W24" s="62"/>
      <c r="X24" s="61">
        <f t="shared" si="6"/>
        <v>0.26</v>
      </c>
      <c r="Y24" s="53">
        <f t="shared" si="7"/>
        <v>18.198024</v>
      </c>
      <c r="Z24" s="62">
        <f t="shared" si="8"/>
        <v>132.98837854583772</v>
      </c>
      <c r="AA24" s="62">
        <f t="shared" si="9"/>
        <v>172.42403359325607</v>
      </c>
      <c r="AB24" s="62">
        <f t="shared" si="10"/>
        <v>192.51482318229716</v>
      </c>
      <c r="AC24" s="62">
        <f t="shared" si="11"/>
        <v>185.98180788198104</v>
      </c>
      <c r="AD24" s="62">
        <f t="shared" si="12"/>
        <v>180.14358604847209</v>
      </c>
    </row>
    <row r="25" spans="1:40" x14ac:dyDescent="0.3">
      <c r="C25" s="63" t="s">
        <v>81</v>
      </c>
      <c r="D25" s="77">
        <v>705</v>
      </c>
      <c r="E25" s="77">
        <v>705</v>
      </c>
      <c r="F25" s="78" t="s">
        <v>131</v>
      </c>
      <c r="G25" s="79"/>
      <c r="H25" s="80"/>
      <c r="I25" s="196">
        <v>0.5</v>
      </c>
      <c r="J25" s="78"/>
      <c r="L25" s="63" t="s">
        <v>82</v>
      </c>
      <c r="M25" s="67"/>
      <c r="O25" s="61">
        <v>0.27</v>
      </c>
      <c r="P25" s="61">
        <f t="shared" si="0"/>
        <v>0.40614545454545464</v>
      </c>
      <c r="Q25" s="53">
        <f t="shared" si="13"/>
        <v>138.9555</v>
      </c>
      <c r="R25" s="62">
        <f t="shared" si="1"/>
        <v>175.29173008625065</v>
      </c>
      <c r="S25" s="62">
        <f t="shared" si="2"/>
        <v>225.97666159309992</v>
      </c>
      <c r="T25" s="62">
        <f t="shared" si="3"/>
        <v>251.67427701674274</v>
      </c>
      <c r="U25" s="62">
        <f t="shared" si="4"/>
        <v>243.45509893455102</v>
      </c>
      <c r="V25" s="62">
        <f t="shared" si="5"/>
        <v>237.08777270421106</v>
      </c>
      <c r="W25" s="62"/>
      <c r="X25" s="61">
        <f t="shared" si="6"/>
        <v>0.27</v>
      </c>
      <c r="Y25" s="53">
        <f t="shared" si="7"/>
        <v>18.897948000000003</v>
      </c>
      <c r="Z25" s="62">
        <f t="shared" si="8"/>
        <v>131.10920748858447</v>
      </c>
      <c r="AA25" s="62">
        <f t="shared" si="9"/>
        <v>169.94188864535769</v>
      </c>
      <c r="AB25" s="62">
        <f t="shared" si="10"/>
        <v>189.70289639776766</v>
      </c>
      <c r="AC25" s="62">
        <f t="shared" si="11"/>
        <v>183.28501203450028</v>
      </c>
      <c r="AD25" s="62">
        <f t="shared" si="12"/>
        <v>177.61363249112128</v>
      </c>
    </row>
    <row r="26" spans="1:40" x14ac:dyDescent="0.3">
      <c r="C26" s="63" t="s">
        <v>83</v>
      </c>
      <c r="D26" s="186">
        <v>730</v>
      </c>
      <c r="E26" s="187"/>
      <c r="F26" s="81"/>
      <c r="G26" s="76"/>
      <c r="H26" s="76"/>
      <c r="I26" s="81"/>
      <c r="J26" s="81"/>
      <c r="L26" s="82"/>
      <c r="M26" s="83"/>
      <c r="O26" s="61">
        <v>0.28000000000000003</v>
      </c>
      <c r="P26" s="61">
        <f t="shared" si="0"/>
        <v>0.42118787878787883</v>
      </c>
      <c r="Q26" s="53">
        <f t="shared" si="13"/>
        <v>144.102</v>
      </c>
      <c r="R26" s="62">
        <f t="shared" si="1"/>
        <v>169.03131115459885</v>
      </c>
      <c r="S26" s="62">
        <f t="shared" si="2"/>
        <v>217.9060665362035</v>
      </c>
      <c r="T26" s="62">
        <f t="shared" si="3"/>
        <v>242.68590998043049</v>
      </c>
      <c r="U26" s="62">
        <f t="shared" si="4"/>
        <v>234.76027397260276</v>
      </c>
      <c r="V26" s="62">
        <f t="shared" si="5"/>
        <v>228.62035225048925</v>
      </c>
      <c r="W26" s="62"/>
      <c r="X26" s="61">
        <f t="shared" si="6"/>
        <v>0.28000000000000003</v>
      </c>
      <c r="Y26" s="53">
        <f t="shared" si="7"/>
        <v>19.597872000000002</v>
      </c>
      <c r="Z26" s="62">
        <f t="shared" si="8"/>
        <v>129.36426293542075</v>
      </c>
      <c r="AA26" s="62">
        <f t="shared" si="9"/>
        <v>167.63703976516638</v>
      </c>
      <c r="AB26" s="62">
        <f t="shared" si="10"/>
        <v>187.09182152641881</v>
      </c>
      <c r="AC26" s="62">
        <f t="shared" si="11"/>
        <v>180.78084446183954</v>
      </c>
      <c r="AD26" s="62">
        <f t="shared" si="12"/>
        <v>175.26438990215263</v>
      </c>
    </row>
    <row r="27" spans="1:40" x14ac:dyDescent="0.3">
      <c r="C27" s="63" t="s">
        <v>84</v>
      </c>
      <c r="D27" s="186">
        <v>0.25569999999999998</v>
      </c>
      <c r="E27" s="187"/>
      <c r="F27" s="53" t="s">
        <v>134</v>
      </c>
      <c r="G27" s="195">
        <v>310</v>
      </c>
      <c r="H27" s="79"/>
      <c r="L27" s="63" t="s">
        <v>85</v>
      </c>
      <c r="M27" s="67">
        <f>IF(M12="Azul",M6*M13*50%+M7*M14*50%,M7*M14*50%+(M15-M16)*M8*50%)</f>
        <v>22142.159112360001</v>
      </c>
      <c r="O27" s="61">
        <v>0.28999999999999998</v>
      </c>
      <c r="P27" s="61">
        <f t="shared" si="0"/>
        <v>0.43623030303030302</v>
      </c>
      <c r="Q27" s="53">
        <f t="shared" si="13"/>
        <v>149.24849999999998</v>
      </c>
      <c r="R27" s="62">
        <f t="shared" si="1"/>
        <v>163.20264525271617</v>
      </c>
      <c r="S27" s="62">
        <f t="shared" si="2"/>
        <v>210.3920642418517</v>
      </c>
      <c r="T27" s="62">
        <f t="shared" si="3"/>
        <v>234.31743032593292</v>
      </c>
      <c r="U27" s="62">
        <f t="shared" si="4"/>
        <v>226.66509211147857</v>
      </c>
      <c r="V27" s="62">
        <f t="shared" si="5"/>
        <v>220.73689182805862</v>
      </c>
      <c r="W27" s="62"/>
      <c r="X27" s="61">
        <f t="shared" si="6"/>
        <v>0.28999999999999998</v>
      </c>
      <c r="Y27" s="53">
        <f t="shared" si="7"/>
        <v>20.297795999999998</v>
      </c>
      <c r="Z27" s="62">
        <f t="shared" si="8"/>
        <v>127.73965938592349</v>
      </c>
      <c r="AA27" s="62">
        <f t="shared" si="9"/>
        <v>165.49114598016064</v>
      </c>
      <c r="AB27" s="62">
        <f t="shared" si="10"/>
        <v>184.6608207841285</v>
      </c>
      <c r="AC27" s="62">
        <f t="shared" si="11"/>
        <v>178.44937810108644</v>
      </c>
      <c r="AD27" s="62">
        <f t="shared" si="12"/>
        <v>173.07716404345774</v>
      </c>
    </row>
    <row r="28" spans="1:40" x14ac:dyDescent="0.3">
      <c r="C28" s="63" t="s">
        <v>86</v>
      </c>
      <c r="D28" s="188">
        <v>0.13600000000000001</v>
      </c>
      <c r="E28" s="189"/>
      <c r="F28" s="78" t="s">
        <v>133</v>
      </c>
      <c r="G28" s="195">
        <v>220</v>
      </c>
      <c r="H28" s="197">
        <f>G28-G29</f>
        <v>45</v>
      </c>
      <c r="I28" s="65">
        <v>97</v>
      </c>
      <c r="J28" s="195">
        <f>I28-H28</f>
        <v>52</v>
      </c>
      <c r="L28" s="82"/>
      <c r="M28" s="83"/>
      <c r="O28" s="61">
        <v>0.3</v>
      </c>
      <c r="P28" s="61">
        <f t="shared" si="0"/>
        <v>0.45127272727272721</v>
      </c>
      <c r="Q28" s="53">
        <f t="shared" si="13"/>
        <v>154.39499999999998</v>
      </c>
      <c r="R28" s="62">
        <f t="shared" si="1"/>
        <v>157.76255707762562</v>
      </c>
      <c r="S28" s="62">
        <f t="shared" si="2"/>
        <v>203.37899543378995</v>
      </c>
      <c r="T28" s="62">
        <f t="shared" si="3"/>
        <v>226.50684931506848</v>
      </c>
      <c r="U28" s="62">
        <f t="shared" si="4"/>
        <v>219.10958904109594</v>
      </c>
      <c r="V28" s="62">
        <f t="shared" si="5"/>
        <v>213.37899543378998</v>
      </c>
      <c r="W28" s="62"/>
      <c r="X28" s="61">
        <f t="shared" si="6"/>
        <v>0.3</v>
      </c>
      <c r="Y28" s="53">
        <f t="shared" si="7"/>
        <v>20.997719999999997</v>
      </c>
      <c r="Z28" s="62">
        <f t="shared" si="8"/>
        <v>126.22336273972603</v>
      </c>
      <c r="AA28" s="62">
        <f t="shared" si="9"/>
        <v>163.48831178082193</v>
      </c>
      <c r="AB28" s="62">
        <f t="shared" si="10"/>
        <v>182.39188675799087</v>
      </c>
      <c r="AC28" s="62">
        <f t="shared" si="11"/>
        <v>176.27334283105026</v>
      </c>
      <c r="AD28" s="62">
        <f t="shared" si="12"/>
        <v>171.03575324200915</v>
      </c>
    </row>
    <row r="29" spans="1:40" x14ac:dyDescent="0.3">
      <c r="E29" s="84"/>
      <c r="F29" s="78" t="s">
        <v>132</v>
      </c>
      <c r="G29" s="195">
        <v>175</v>
      </c>
      <c r="H29" s="195">
        <f>H28/(1-0.27)</f>
        <v>61.643835616438359</v>
      </c>
      <c r="I29" s="78"/>
      <c r="J29" s="78"/>
      <c r="L29" s="63" t="s">
        <v>87</v>
      </c>
      <c r="M29" s="67">
        <f>M23-M27</f>
        <v>6837.3158876399975</v>
      </c>
      <c r="O29" s="61">
        <v>0.31</v>
      </c>
      <c r="P29" s="61">
        <f t="shared" si="0"/>
        <v>0.46631515151515152</v>
      </c>
      <c r="Q29" s="53">
        <f t="shared" si="13"/>
        <v>159.54149999999998</v>
      </c>
      <c r="R29" s="62">
        <f t="shared" si="1"/>
        <v>152.67344233318607</v>
      </c>
      <c r="S29" s="62">
        <f t="shared" si="2"/>
        <v>196.81838267786125</v>
      </c>
      <c r="T29" s="62">
        <f t="shared" si="3"/>
        <v>219.20017675651789</v>
      </c>
      <c r="U29" s="62">
        <f t="shared" si="4"/>
        <v>212.04153778170573</v>
      </c>
      <c r="V29" s="62">
        <f t="shared" si="5"/>
        <v>206.4958020327</v>
      </c>
      <c r="W29" s="62"/>
      <c r="X29" s="61">
        <f t="shared" si="6"/>
        <v>0.31</v>
      </c>
      <c r="Y29" s="53">
        <f t="shared" si="7"/>
        <v>21.697644</v>
      </c>
      <c r="Z29" s="62">
        <f t="shared" si="8"/>
        <v>124.80489168360586</v>
      </c>
      <c r="AA29" s="62">
        <f t="shared" si="9"/>
        <v>161.61469269111802</v>
      </c>
      <c r="AB29" s="62">
        <f t="shared" si="10"/>
        <v>180.26933557224925</v>
      </c>
      <c r="AC29" s="62">
        <f t="shared" si="11"/>
        <v>174.23769693327444</v>
      </c>
      <c r="AD29" s="62">
        <f t="shared" si="12"/>
        <v>169.12604636323465</v>
      </c>
    </row>
    <row r="30" spans="1:40" x14ac:dyDescent="0.3">
      <c r="C30" s="63" t="s">
        <v>88</v>
      </c>
      <c r="D30" s="56">
        <f>D27/(E25/1000)</f>
        <v>0.36269503546099291</v>
      </c>
      <c r="E30" s="85"/>
      <c r="F30" s="86"/>
      <c r="G30" s="76"/>
      <c r="H30" s="76"/>
      <c r="I30" s="194"/>
      <c r="J30" s="87"/>
      <c r="O30" s="61">
        <v>0.32</v>
      </c>
      <c r="P30" s="61">
        <f t="shared" si="0"/>
        <v>0.48135757575757576</v>
      </c>
      <c r="Q30" s="53">
        <f t="shared" si="13"/>
        <v>164.68799999999999</v>
      </c>
      <c r="R30" s="62">
        <f t="shared" si="1"/>
        <v>147.902397260274</v>
      </c>
      <c r="S30" s="62">
        <f t="shared" si="2"/>
        <v>190.66780821917808</v>
      </c>
      <c r="T30" s="62">
        <f t="shared" si="3"/>
        <v>212.3501712328767</v>
      </c>
      <c r="U30" s="62">
        <f t="shared" si="4"/>
        <v>205.41523972602744</v>
      </c>
      <c r="V30" s="62">
        <f t="shared" si="5"/>
        <v>200.04280821917811</v>
      </c>
      <c r="W30" s="62"/>
      <c r="X30" s="61">
        <f t="shared" si="6"/>
        <v>0.32</v>
      </c>
      <c r="Y30" s="53">
        <f t="shared" si="7"/>
        <v>22.397568</v>
      </c>
      <c r="Z30" s="62">
        <f t="shared" si="8"/>
        <v>123.47507506849315</v>
      </c>
      <c r="AA30" s="62">
        <f t="shared" si="9"/>
        <v>159.85817479452055</v>
      </c>
      <c r="AB30" s="62">
        <f t="shared" si="10"/>
        <v>178.27944383561646</v>
      </c>
      <c r="AC30" s="62">
        <f t="shared" si="11"/>
        <v>172.3292789041096</v>
      </c>
      <c r="AD30" s="62">
        <f t="shared" si="12"/>
        <v>167.33569616438356</v>
      </c>
    </row>
    <row r="31" spans="1:40" x14ac:dyDescent="0.3">
      <c r="C31" s="88"/>
      <c r="D31" s="62"/>
      <c r="E31" s="62"/>
      <c r="G31" s="79"/>
      <c r="H31" s="79"/>
      <c r="I31" s="72"/>
      <c r="J31" s="72"/>
      <c r="O31" s="61">
        <v>0.33</v>
      </c>
      <c r="P31" s="61">
        <f t="shared" si="0"/>
        <v>0.49639999999999995</v>
      </c>
      <c r="Q31" s="53">
        <f t="shared" si="13"/>
        <v>169.83449999999999</v>
      </c>
      <c r="R31" s="62">
        <f t="shared" si="1"/>
        <v>143.42050643420509</v>
      </c>
      <c r="S31" s="62">
        <f t="shared" si="2"/>
        <v>184.88999584889996</v>
      </c>
      <c r="T31" s="62">
        <f t="shared" si="3"/>
        <v>205.91531755915315</v>
      </c>
      <c r="U31" s="62">
        <f t="shared" si="4"/>
        <v>199.19053549190539</v>
      </c>
      <c r="V31" s="62">
        <f t="shared" si="5"/>
        <v>193.98090493980908</v>
      </c>
      <c r="W31" s="62"/>
      <c r="X31" s="61">
        <f t="shared" si="6"/>
        <v>0.33</v>
      </c>
      <c r="Y31" s="53">
        <f t="shared" si="7"/>
        <v>23.097491999999999</v>
      </c>
      <c r="Z31" s="62">
        <f t="shared" si="8"/>
        <v>122.22585339975095</v>
      </c>
      <c r="AA31" s="62">
        <f t="shared" si="9"/>
        <v>158.20811252801997</v>
      </c>
      <c r="AB31" s="62">
        <f t="shared" si="10"/>
        <v>176.41015159817351</v>
      </c>
      <c r="AC31" s="62">
        <f t="shared" si="11"/>
        <v>170.53652257368202</v>
      </c>
      <c r="AD31" s="62">
        <f t="shared" si="12"/>
        <v>165.65385203819011</v>
      </c>
    </row>
    <row r="32" spans="1:40" x14ac:dyDescent="0.3">
      <c r="C32" s="89"/>
      <c r="D32" s="89"/>
      <c r="E32" s="89"/>
      <c r="F32" s="89"/>
      <c r="G32" s="89"/>
      <c r="H32" s="89"/>
      <c r="I32" s="89"/>
      <c r="J32" s="89"/>
      <c r="O32" s="61">
        <v>0.34</v>
      </c>
      <c r="P32" s="61">
        <f t="shared" si="0"/>
        <v>0.51144242424242425</v>
      </c>
      <c r="Q32" s="53">
        <f t="shared" si="13"/>
        <v>174.98099999999999</v>
      </c>
      <c r="R32" s="62">
        <f t="shared" si="1"/>
        <v>139.20225624496376</v>
      </c>
      <c r="S32" s="62">
        <f t="shared" si="2"/>
        <v>179.45205479452054</v>
      </c>
      <c r="T32" s="62">
        <f t="shared" si="3"/>
        <v>199.85898468976629</v>
      </c>
      <c r="U32" s="62">
        <f t="shared" si="4"/>
        <v>193.33199033037874</v>
      </c>
      <c r="V32" s="62">
        <f t="shared" si="5"/>
        <v>188.27558420628526</v>
      </c>
      <c r="W32" s="62"/>
      <c r="X32" s="61">
        <f t="shared" si="6"/>
        <v>0.34</v>
      </c>
      <c r="Y32" s="53">
        <f t="shared" si="7"/>
        <v>23.797416000000002</v>
      </c>
      <c r="Z32" s="62">
        <f t="shared" si="8"/>
        <v>121.05011535858181</v>
      </c>
      <c r="AA32" s="62">
        <f t="shared" si="9"/>
        <v>156.65511274778407</v>
      </c>
      <c r="AB32" s="62">
        <f t="shared" si="10"/>
        <v>174.65081772763901</v>
      </c>
      <c r="AC32" s="62">
        <f t="shared" si="11"/>
        <v>168.84922249798552</v>
      </c>
      <c r="AD32" s="62">
        <f t="shared" si="12"/>
        <v>164.07093991941983</v>
      </c>
    </row>
    <row r="33" spans="3:30" x14ac:dyDescent="0.3">
      <c r="O33" s="61">
        <v>0.35</v>
      </c>
      <c r="P33" s="61">
        <f t="shared" si="0"/>
        <v>0.52648484848484844</v>
      </c>
      <c r="Q33" s="53">
        <f t="shared" si="13"/>
        <v>180.12749999999997</v>
      </c>
      <c r="R33" s="62">
        <f t="shared" si="1"/>
        <v>135.22504892367911</v>
      </c>
      <c r="S33" s="62">
        <f t="shared" si="2"/>
        <v>174.32485322896284</v>
      </c>
      <c r="T33" s="62">
        <f t="shared" si="3"/>
        <v>194.14872798434442</v>
      </c>
      <c r="U33" s="62">
        <f t="shared" si="4"/>
        <v>187.80821917808225</v>
      </c>
      <c r="V33" s="62">
        <f t="shared" si="5"/>
        <v>182.89628180039142</v>
      </c>
      <c r="W33" s="62"/>
      <c r="X33" s="61">
        <f t="shared" si="6"/>
        <v>0.35</v>
      </c>
      <c r="Y33" s="53">
        <f t="shared" si="7"/>
        <v>24.497339999999998</v>
      </c>
      <c r="Z33" s="62">
        <f t="shared" si="8"/>
        <v>119.94156234833662</v>
      </c>
      <c r="AA33" s="62">
        <f t="shared" si="9"/>
        <v>155.19085581213309</v>
      </c>
      <c r="AB33" s="62">
        <f t="shared" si="10"/>
        <v>172.99201722113506</v>
      </c>
      <c r="AC33" s="62">
        <f t="shared" si="11"/>
        <v>167.25833956947164</v>
      </c>
      <c r="AD33" s="62">
        <f t="shared" si="12"/>
        <v>162.57847992172213</v>
      </c>
    </row>
    <row r="34" spans="3:30" x14ac:dyDescent="0.3">
      <c r="C34" s="88"/>
      <c r="D34" s="62"/>
      <c r="E34" s="62"/>
      <c r="G34" s="76"/>
      <c r="H34" s="76"/>
      <c r="I34" s="90"/>
      <c r="O34" s="61">
        <v>0.36</v>
      </c>
      <c r="P34" s="61">
        <f t="shared" si="0"/>
        <v>0.54152727272727263</v>
      </c>
      <c r="Q34" s="53">
        <f t="shared" si="13"/>
        <v>185.27399999999997</v>
      </c>
      <c r="R34" s="62">
        <f t="shared" si="1"/>
        <v>131.468797564688</v>
      </c>
      <c r="S34" s="62">
        <f t="shared" si="2"/>
        <v>169.48249619482496</v>
      </c>
      <c r="T34" s="62">
        <f t="shared" si="3"/>
        <v>188.75570776255708</v>
      </c>
      <c r="U34" s="62">
        <f t="shared" si="4"/>
        <v>182.59132420091328</v>
      </c>
      <c r="V34" s="62">
        <f t="shared" si="5"/>
        <v>177.81582952815833</v>
      </c>
      <c r="W34" s="62"/>
      <c r="X34" s="61">
        <f t="shared" si="6"/>
        <v>0.36</v>
      </c>
      <c r="Y34" s="53">
        <f t="shared" si="7"/>
        <v>25.197263999999997</v>
      </c>
      <c r="Z34" s="62">
        <f t="shared" si="8"/>
        <v>118.89459561643837</v>
      </c>
      <c r="AA34" s="62">
        <f t="shared" si="9"/>
        <v>153.80794648401826</v>
      </c>
      <c r="AB34" s="62">
        <f t="shared" si="10"/>
        <v>171.42537229832573</v>
      </c>
      <c r="AC34" s="62">
        <f t="shared" si="11"/>
        <v>165.75583902587522</v>
      </c>
      <c r="AD34" s="62">
        <f t="shared" si="12"/>
        <v>161.16893436834096</v>
      </c>
    </row>
    <row r="35" spans="3:30" x14ac:dyDescent="0.3">
      <c r="C35" s="88"/>
      <c r="D35" s="62"/>
      <c r="E35" s="51"/>
      <c r="F35" s="72"/>
      <c r="G35" s="91"/>
      <c r="H35" s="91"/>
      <c r="O35" s="61">
        <v>0.37</v>
      </c>
      <c r="P35" s="61">
        <f t="shared" si="0"/>
        <v>0.55656969696969694</v>
      </c>
      <c r="Q35" s="53">
        <f t="shared" si="13"/>
        <v>190.42049999999998</v>
      </c>
      <c r="R35" s="62">
        <f t="shared" si="1"/>
        <v>127.91558681969644</v>
      </c>
      <c r="S35" s="62">
        <f t="shared" si="2"/>
        <v>164.90188818955943</v>
      </c>
      <c r="T35" s="62">
        <f t="shared" si="3"/>
        <v>183.65420214735283</v>
      </c>
      <c r="U35" s="62">
        <f t="shared" si="4"/>
        <v>177.65642354683453</v>
      </c>
      <c r="V35" s="62">
        <f t="shared" si="5"/>
        <v>173.00999629766756</v>
      </c>
      <c r="W35" s="62"/>
      <c r="X35" s="61">
        <f t="shared" si="6"/>
        <v>0.37</v>
      </c>
      <c r="Y35" s="53">
        <f t="shared" si="7"/>
        <v>25.897188</v>
      </c>
      <c r="Z35" s="62">
        <f t="shared" si="8"/>
        <v>117.90422168085895</v>
      </c>
      <c r="AA35" s="62">
        <f t="shared" si="9"/>
        <v>152.49978901147725</v>
      </c>
      <c r="AB35" s="62">
        <f t="shared" si="10"/>
        <v>169.94341088485749</v>
      </c>
      <c r="AC35" s="62">
        <f t="shared" si="11"/>
        <v>164.33455472787861</v>
      </c>
      <c r="AD35" s="62">
        <f t="shared" si="12"/>
        <v>159.83558046649392</v>
      </c>
    </row>
    <row r="36" spans="3:30" x14ac:dyDescent="0.3">
      <c r="E36" s="72"/>
      <c r="F36" s="72"/>
      <c r="G36" s="91"/>
      <c r="H36" s="91"/>
      <c r="O36" s="61">
        <v>0.38</v>
      </c>
      <c r="P36" s="61">
        <f t="shared" si="0"/>
        <v>0.57161212121212124</v>
      </c>
      <c r="Q36" s="53">
        <f t="shared" si="13"/>
        <v>195.56700000000001</v>
      </c>
      <c r="R36" s="62">
        <f t="shared" si="1"/>
        <v>124.54938716654652</v>
      </c>
      <c r="S36" s="62">
        <f t="shared" si="2"/>
        <v>160.56236481614994</v>
      </c>
      <c r="T36" s="62">
        <f t="shared" si="3"/>
        <v>178.82119682768561</v>
      </c>
      <c r="U36" s="62">
        <f t="shared" si="4"/>
        <v>172.98125450612835</v>
      </c>
      <c r="V36" s="62">
        <f t="shared" si="5"/>
        <v>168.45710165825523</v>
      </c>
      <c r="W36" s="62"/>
      <c r="X36" s="61">
        <f t="shared" si="6"/>
        <v>0.38</v>
      </c>
      <c r="Y36" s="53">
        <f t="shared" si="7"/>
        <v>26.597112000000003</v>
      </c>
      <c r="Z36" s="62">
        <f t="shared" si="8"/>
        <v>116.96597268925738</v>
      </c>
      <c r="AA36" s="62">
        <f t="shared" si="9"/>
        <v>151.26048193222783</v>
      </c>
      <c r="AB36" s="62">
        <f t="shared" si="10"/>
        <v>168.53944744051915</v>
      </c>
      <c r="AC36" s="62">
        <f t="shared" si="11"/>
        <v>162.9880748666186</v>
      </c>
      <c r="AD36" s="62">
        <f t="shared" si="12"/>
        <v>158.57240308579668</v>
      </c>
    </row>
    <row r="37" spans="3:30" x14ac:dyDescent="0.3">
      <c r="E37" s="72"/>
      <c r="F37" s="72"/>
      <c r="G37" s="91"/>
      <c r="H37" s="91"/>
      <c r="O37" s="61">
        <v>0.39</v>
      </c>
      <c r="P37" s="61">
        <f t="shared" si="0"/>
        <v>0.58665454545454554</v>
      </c>
      <c r="Q37" s="53">
        <f t="shared" si="13"/>
        <v>200.71350000000001</v>
      </c>
      <c r="R37" s="62">
        <f t="shared" si="1"/>
        <v>121.35581313663506</v>
      </c>
      <c r="S37" s="62">
        <f t="shared" si="2"/>
        <v>156.44538110291532</v>
      </c>
      <c r="T37" s="62">
        <f t="shared" si="3"/>
        <v>174.23603793466805</v>
      </c>
      <c r="U37" s="62">
        <f t="shared" si="4"/>
        <v>168.54583772391993</v>
      </c>
      <c r="V37" s="62">
        <f t="shared" si="5"/>
        <v>164.13768879522303</v>
      </c>
      <c r="W37" s="62"/>
      <c r="X37" s="61">
        <f t="shared" si="6"/>
        <v>0.39</v>
      </c>
      <c r="Y37" s="53">
        <f t="shared" si="7"/>
        <v>27.297036000000002</v>
      </c>
      <c r="Z37" s="62">
        <f t="shared" si="8"/>
        <v>116.07583903055848</v>
      </c>
      <c r="AA37" s="62">
        <f t="shared" si="9"/>
        <v>150.08472906217071</v>
      </c>
      <c r="AB37" s="62">
        <f t="shared" si="10"/>
        <v>167.20748212153146</v>
      </c>
      <c r="AC37" s="62">
        <f t="shared" si="11"/>
        <v>161.71064525465403</v>
      </c>
      <c r="AD37" s="62">
        <f t="shared" si="12"/>
        <v>157.3740040323147</v>
      </c>
    </row>
    <row r="38" spans="3:30" x14ac:dyDescent="0.3">
      <c r="E38" s="51"/>
      <c r="G38" s="58"/>
      <c r="H38" s="58"/>
      <c r="O38" s="61">
        <v>0.4</v>
      </c>
      <c r="P38" s="61">
        <f t="shared" si="0"/>
        <v>0.60169696969696984</v>
      </c>
      <c r="Q38" s="53">
        <f t="shared" si="13"/>
        <v>205.86</v>
      </c>
      <c r="R38" s="62">
        <f t="shared" si="1"/>
        <v>118.32191780821918</v>
      </c>
      <c r="S38" s="62">
        <f t="shared" si="2"/>
        <v>152.53424657534245</v>
      </c>
      <c r="T38" s="62">
        <f t="shared" si="3"/>
        <v>169.88013698630132</v>
      </c>
      <c r="U38" s="62">
        <f t="shared" si="4"/>
        <v>164.33219178082192</v>
      </c>
      <c r="V38" s="62">
        <f t="shared" si="5"/>
        <v>160.03424657534245</v>
      </c>
      <c r="W38" s="62"/>
      <c r="X38" s="61">
        <f t="shared" si="6"/>
        <v>0.4</v>
      </c>
      <c r="Y38" s="53">
        <f t="shared" si="7"/>
        <v>27.996960000000005</v>
      </c>
      <c r="Z38" s="62">
        <f t="shared" si="8"/>
        <v>115.23021205479452</v>
      </c>
      <c r="AA38" s="62">
        <f t="shared" si="9"/>
        <v>148.96776383561647</v>
      </c>
      <c r="AB38" s="62">
        <f t="shared" si="10"/>
        <v>165.94211506849317</v>
      </c>
      <c r="AC38" s="62">
        <f t="shared" si="11"/>
        <v>160.49708712328768</v>
      </c>
      <c r="AD38" s="62">
        <f t="shared" si="12"/>
        <v>156.23552493150686</v>
      </c>
    </row>
    <row r="39" spans="3:30" x14ac:dyDescent="0.3">
      <c r="E39" s="51"/>
      <c r="G39" s="58"/>
      <c r="H39" s="58"/>
      <c r="O39" s="61">
        <v>0.41</v>
      </c>
      <c r="P39" s="61">
        <f t="shared" si="0"/>
        <v>0.61673939393939403</v>
      </c>
      <c r="Q39" s="53">
        <f t="shared" si="13"/>
        <v>211.00649999999999</v>
      </c>
      <c r="R39" s="62">
        <f t="shared" si="1"/>
        <v>115.43601737387239</v>
      </c>
      <c r="S39" s="62">
        <f t="shared" si="2"/>
        <v>148.81389909789507</v>
      </c>
      <c r="T39" s="62">
        <f t="shared" si="3"/>
        <v>165.73671901102571</v>
      </c>
      <c r="U39" s="62">
        <f t="shared" si="4"/>
        <v>160.32408954226531</v>
      </c>
      <c r="V39" s="62">
        <f t="shared" si="5"/>
        <v>156.13097226862681</v>
      </c>
      <c r="W39" s="62"/>
      <c r="X39" s="61">
        <f t="shared" si="6"/>
        <v>0.41</v>
      </c>
      <c r="Y39" s="53">
        <f t="shared" si="7"/>
        <v>28.696884000000001</v>
      </c>
      <c r="Z39" s="62">
        <f t="shared" si="8"/>
        <v>114.42583517540929</v>
      </c>
      <c r="AA39" s="62">
        <f t="shared" si="9"/>
        <v>147.90528471767459</v>
      </c>
      <c r="AB39" s="62">
        <f t="shared" si="10"/>
        <v>164.73847323755433</v>
      </c>
      <c r="AC39" s="62">
        <f t="shared" si="11"/>
        <v>159.34272694954896</v>
      </c>
      <c r="AD39" s="62">
        <f t="shared" si="12"/>
        <v>155.15258139659207</v>
      </c>
    </row>
    <row r="40" spans="3:30" x14ac:dyDescent="0.3">
      <c r="E40" s="51"/>
      <c r="G40" s="58"/>
      <c r="H40" s="58"/>
      <c r="O40" s="61">
        <v>0.42</v>
      </c>
      <c r="P40" s="61">
        <f t="shared" si="0"/>
        <v>0.63178181818181822</v>
      </c>
      <c r="Q40" s="53">
        <f t="shared" si="13"/>
        <v>216.15299999999999</v>
      </c>
      <c r="R40" s="62">
        <f t="shared" si="1"/>
        <v>112.68754076973258</v>
      </c>
      <c r="S40" s="62">
        <f t="shared" si="2"/>
        <v>145.27071102413566</v>
      </c>
      <c r="T40" s="62">
        <f t="shared" si="3"/>
        <v>161.79060665362033</v>
      </c>
      <c r="U40" s="62">
        <f t="shared" si="4"/>
        <v>156.50684931506851</v>
      </c>
      <c r="V40" s="62">
        <f t="shared" si="5"/>
        <v>152.41356816699283</v>
      </c>
      <c r="W40" s="62"/>
      <c r="X40" s="61">
        <f t="shared" si="6"/>
        <v>0.42</v>
      </c>
      <c r="Y40" s="53">
        <f t="shared" si="7"/>
        <v>29.396808</v>
      </c>
      <c r="Z40" s="62">
        <f t="shared" si="8"/>
        <v>113.65976195694718</v>
      </c>
      <c r="AA40" s="62">
        <f t="shared" si="9"/>
        <v>146.89339984344426</v>
      </c>
      <c r="AB40" s="62">
        <f t="shared" si="10"/>
        <v>163.59214768427921</v>
      </c>
      <c r="AC40" s="62">
        <f t="shared" si="11"/>
        <v>158.24333630789303</v>
      </c>
      <c r="AD40" s="62">
        <f t="shared" si="12"/>
        <v>154.12120660143509</v>
      </c>
    </row>
    <row r="41" spans="3:30" x14ac:dyDescent="0.3">
      <c r="E41" s="72"/>
      <c r="F41" s="72"/>
      <c r="G41" s="58"/>
      <c r="H41" s="91"/>
      <c r="O41" s="61">
        <v>0.43</v>
      </c>
      <c r="P41" s="61">
        <f t="shared" si="0"/>
        <v>0.64682424242424252</v>
      </c>
      <c r="Q41" s="53">
        <f t="shared" si="13"/>
        <v>221.29949999999999</v>
      </c>
      <c r="R41" s="62">
        <f t="shared" si="1"/>
        <v>110.06690028671554</v>
      </c>
      <c r="S41" s="62">
        <f t="shared" si="2"/>
        <v>141.89232239566741</v>
      </c>
      <c r="T41" s="62">
        <f t="shared" si="3"/>
        <v>158.02803440586172</v>
      </c>
      <c r="U41" s="62">
        <f t="shared" si="4"/>
        <v>152.86715514495063</v>
      </c>
      <c r="V41" s="62">
        <f t="shared" si="5"/>
        <v>148.86906658171392</v>
      </c>
      <c r="W41" s="62"/>
      <c r="X41" s="61">
        <f t="shared" si="6"/>
        <v>0.43</v>
      </c>
      <c r="Y41" s="53">
        <f t="shared" si="7"/>
        <v>30.096732000000003</v>
      </c>
      <c r="Z41" s="62">
        <f t="shared" si="8"/>
        <v>112.92932005097167</v>
      </c>
      <c r="AA41" s="62">
        <f t="shared" si="9"/>
        <v>145.9285793819688</v>
      </c>
      <c r="AB41" s="62">
        <f t="shared" si="10"/>
        <v>162.49913959859828</v>
      </c>
      <c r="AC41" s="62">
        <f t="shared" si="11"/>
        <v>157.19508011468622</v>
      </c>
      <c r="AD41" s="62">
        <f t="shared" si="12"/>
        <v>153.13780272698313</v>
      </c>
    </row>
    <row r="42" spans="3:30" x14ac:dyDescent="0.3">
      <c r="E42" s="72"/>
      <c r="F42" s="72"/>
      <c r="G42" s="91"/>
      <c r="H42" s="91"/>
      <c r="O42" s="61">
        <v>0.44</v>
      </c>
      <c r="P42" s="61">
        <f t="shared" si="0"/>
        <v>0.66186666666666671</v>
      </c>
      <c r="Q42" s="53">
        <f t="shared" si="13"/>
        <v>226.446</v>
      </c>
      <c r="R42" s="62">
        <f t="shared" si="1"/>
        <v>107.56537982565382</v>
      </c>
      <c r="S42" s="62">
        <f t="shared" si="2"/>
        <v>138.66749688667497</v>
      </c>
      <c r="T42" s="62">
        <f t="shared" si="3"/>
        <v>154.43648816936485</v>
      </c>
      <c r="U42" s="62">
        <f t="shared" si="4"/>
        <v>149.39290161892902</v>
      </c>
      <c r="V42" s="62">
        <f t="shared" si="5"/>
        <v>145.48567870485678</v>
      </c>
      <c r="W42" s="62"/>
      <c r="X42" s="61">
        <f t="shared" si="6"/>
        <v>0.44</v>
      </c>
      <c r="Y42" s="53">
        <f t="shared" si="7"/>
        <v>30.796656000000002</v>
      </c>
      <c r="Z42" s="62">
        <f t="shared" si="8"/>
        <v>112.23208004981321</v>
      </c>
      <c r="AA42" s="62">
        <f t="shared" si="9"/>
        <v>145.00761439601496</v>
      </c>
      <c r="AB42" s="62">
        <f t="shared" si="10"/>
        <v>161.45581369863012</v>
      </c>
      <c r="AC42" s="62">
        <f t="shared" si="11"/>
        <v>156.19447193026156</v>
      </c>
      <c r="AD42" s="62">
        <f t="shared" si="12"/>
        <v>152.19909902864259</v>
      </c>
    </row>
    <row r="43" spans="3:30" x14ac:dyDescent="0.3">
      <c r="G43" s="58"/>
      <c r="H43" s="58"/>
      <c r="O43" s="61">
        <v>0.45</v>
      </c>
      <c r="P43" s="61">
        <f t="shared" si="0"/>
        <v>0.6769090909090909</v>
      </c>
      <c r="Q43" s="53">
        <f t="shared" si="13"/>
        <v>231.5925</v>
      </c>
      <c r="R43" s="62">
        <f t="shared" si="1"/>
        <v>105.17503805175039</v>
      </c>
      <c r="S43" s="62">
        <f t="shared" si="2"/>
        <v>135.58599695585997</v>
      </c>
      <c r="T43" s="62">
        <f t="shared" si="3"/>
        <v>151.00456621004562</v>
      </c>
      <c r="U43" s="62">
        <f t="shared" si="4"/>
        <v>146.07305936073061</v>
      </c>
      <c r="V43" s="62">
        <f t="shared" si="5"/>
        <v>142.25266362252665</v>
      </c>
      <c r="W43" s="62"/>
      <c r="X43" s="61">
        <f t="shared" si="6"/>
        <v>0.45</v>
      </c>
      <c r="Y43" s="53">
        <f t="shared" si="7"/>
        <v>31.496580000000002</v>
      </c>
      <c r="Z43" s="62">
        <f t="shared" si="8"/>
        <v>111.56582849315069</v>
      </c>
      <c r="AA43" s="62">
        <f t="shared" si="9"/>
        <v>144.12758118721464</v>
      </c>
      <c r="AB43" s="62">
        <f t="shared" si="10"/>
        <v>160.45885783866061</v>
      </c>
      <c r="AC43" s="62">
        <f t="shared" si="11"/>
        <v>155.23833522070018</v>
      </c>
      <c r="AD43" s="62">
        <f t="shared" si="12"/>
        <v>151.30211549467276</v>
      </c>
    </row>
    <row r="44" spans="3:30" x14ac:dyDescent="0.3">
      <c r="F44" s="72"/>
      <c r="G44" s="58"/>
      <c r="H44" s="58"/>
      <c r="O44" s="61">
        <v>0.46</v>
      </c>
      <c r="P44" s="61">
        <f t="shared" si="0"/>
        <v>0.69195151515151521</v>
      </c>
      <c r="Q44" s="53">
        <f t="shared" si="13"/>
        <v>236.739</v>
      </c>
      <c r="R44" s="62">
        <f t="shared" si="1"/>
        <v>102.88862418106017</v>
      </c>
      <c r="S44" s="62">
        <f t="shared" si="2"/>
        <v>132.63847528290648</v>
      </c>
      <c r="T44" s="62">
        <f t="shared" si="3"/>
        <v>147.72185824895769</v>
      </c>
      <c r="U44" s="62">
        <f t="shared" si="4"/>
        <v>142.89755807027993</v>
      </c>
      <c r="V44" s="62">
        <f t="shared" si="5"/>
        <v>139.16021441334127</v>
      </c>
      <c r="W44" s="62"/>
      <c r="X44" s="61">
        <f t="shared" si="6"/>
        <v>0.46</v>
      </c>
      <c r="Y44" s="53">
        <f t="shared" si="7"/>
        <v>32.196504000000004</v>
      </c>
      <c r="Z44" s="62">
        <f t="shared" si="8"/>
        <v>110.92854439547351</v>
      </c>
      <c r="AA44" s="62">
        <f t="shared" si="9"/>
        <v>143.28581029184042</v>
      </c>
      <c r="AB44" s="62">
        <f t="shared" si="10"/>
        <v>159.50524788564624</v>
      </c>
      <c r="AC44" s="62">
        <f t="shared" si="11"/>
        <v>154.32376967242408</v>
      </c>
      <c r="AD44" s="62">
        <f t="shared" si="12"/>
        <v>150.44413124478857</v>
      </c>
    </row>
    <row r="45" spans="3:30" x14ac:dyDescent="0.3">
      <c r="F45" s="72"/>
      <c r="O45" s="61">
        <v>0.47</v>
      </c>
      <c r="P45" s="61">
        <f t="shared" si="0"/>
        <v>0.7069939393939394</v>
      </c>
      <c r="Q45" s="53">
        <f t="shared" si="13"/>
        <v>241.88549999999998</v>
      </c>
      <c r="R45" s="62">
        <f t="shared" si="1"/>
        <v>100.69950451763337</v>
      </c>
      <c r="S45" s="62">
        <f t="shared" si="2"/>
        <v>129.81638006412123</v>
      </c>
      <c r="T45" s="62">
        <f t="shared" si="3"/>
        <v>144.57883998834157</v>
      </c>
      <c r="U45" s="62">
        <f t="shared" si="4"/>
        <v>139.85718449431656</v>
      </c>
      <c r="V45" s="62">
        <f t="shared" si="5"/>
        <v>136.19935878752551</v>
      </c>
      <c r="W45" s="62"/>
      <c r="X45" s="61">
        <f t="shared" si="6"/>
        <v>0.47</v>
      </c>
      <c r="Y45" s="53">
        <f t="shared" si="7"/>
        <v>32.896428</v>
      </c>
      <c r="Z45" s="62">
        <f t="shared" si="8"/>
        <v>110.3183787700379</v>
      </c>
      <c r="AA45" s="62">
        <f t="shared" si="9"/>
        <v>142.4798594345672</v>
      </c>
      <c r="AB45" s="62">
        <f t="shared" si="10"/>
        <v>158.59221707956866</v>
      </c>
      <c r="AC45" s="62">
        <f t="shared" si="11"/>
        <v>153.44812180705335</v>
      </c>
      <c r="AD45" s="62">
        <f t="shared" si="12"/>
        <v>149.62265696298456</v>
      </c>
    </row>
    <row r="46" spans="3:30" x14ac:dyDescent="0.3">
      <c r="O46" s="61">
        <v>0.48</v>
      </c>
      <c r="P46" s="61">
        <f t="shared" si="0"/>
        <v>0.72203636363636381</v>
      </c>
      <c r="Q46" s="53">
        <f t="shared" si="13"/>
        <v>247.03199999999998</v>
      </c>
      <c r="R46" s="62">
        <f t="shared" si="1"/>
        <v>98.60159817351601</v>
      </c>
      <c r="S46" s="62">
        <f t="shared" si="2"/>
        <v>127.11187214611871</v>
      </c>
      <c r="T46" s="62">
        <f t="shared" si="3"/>
        <v>141.5667808219178</v>
      </c>
      <c r="U46" s="62">
        <f t="shared" si="4"/>
        <v>136.94349315068496</v>
      </c>
      <c r="V46" s="62">
        <f t="shared" si="5"/>
        <v>133.36187214611874</v>
      </c>
      <c r="W46" s="62"/>
      <c r="X46" s="61">
        <f t="shared" si="6"/>
        <v>0.48</v>
      </c>
      <c r="Y46" s="53">
        <f t="shared" si="7"/>
        <v>33.596352000000003</v>
      </c>
      <c r="Z46" s="62">
        <f t="shared" si="8"/>
        <v>109.73363671232879</v>
      </c>
      <c r="AA46" s="62">
        <f t="shared" si="9"/>
        <v>141.70748986301373</v>
      </c>
      <c r="AB46" s="62">
        <f t="shared" si="10"/>
        <v>157.71722922374434</v>
      </c>
      <c r="AC46" s="62">
        <f t="shared" si="11"/>
        <v>152.60895926940643</v>
      </c>
      <c r="AD46" s="62">
        <f t="shared" si="12"/>
        <v>148.83541077625571</v>
      </c>
    </row>
    <row r="47" spans="3:30" x14ac:dyDescent="0.3">
      <c r="O47" s="61">
        <v>0.49</v>
      </c>
      <c r="P47" s="61">
        <f t="shared" si="0"/>
        <v>0.73707878787878789</v>
      </c>
      <c r="Q47" s="53">
        <f t="shared" si="13"/>
        <v>252.17849999999999</v>
      </c>
      <c r="R47" s="62">
        <f t="shared" si="1"/>
        <v>96.589320659770777</v>
      </c>
      <c r="S47" s="62">
        <f t="shared" si="2"/>
        <v>124.517752306402</v>
      </c>
      <c r="T47" s="62">
        <f t="shared" si="3"/>
        <v>138.6776628459603</v>
      </c>
      <c r="U47" s="62">
        <f t="shared" si="4"/>
        <v>134.14872798434445</v>
      </c>
      <c r="V47" s="62">
        <f t="shared" si="5"/>
        <v>130.64020128599387</v>
      </c>
      <c r="W47" s="62"/>
      <c r="X47" s="61">
        <f t="shared" si="6"/>
        <v>0.49</v>
      </c>
      <c r="Y47" s="53">
        <f t="shared" si="7"/>
        <v>34.296275999999999</v>
      </c>
      <c r="Z47" s="62">
        <f t="shared" si="8"/>
        <v>109.17276167738329</v>
      </c>
      <c r="AA47" s="62">
        <f t="shared" si="9"/>
        <v>140.96664558009508</v>
      </c>
      <c r="AB47" s="62">
        <f t="shared" si="10"/>
        <v>156.87795515795361</v>
      </c>
      <c r="AC47" s="62">
        <f t="shared" si="11"/>
        <v>151.8040482639083</v>
      </c>
      <c r="AD47" s="62">
        <f t="shared" si="12"/>
        <v>148.08029708694437</v>
      </c>
    </row>
    <row r="48" spans="3:30" x14ac:dyDescent="0.3">
      <c r="O48" s="61">
        <v>0.5</v>
      </c>
      <c r="P48" s="61">
        <f t="shared" si="0"/>
        <v>0.75212121212121219</v>
      </c>
      <c r="Q48" s="53">
        <f t="shared" si="13"/>
        <v>257.32499999999999</v>
      </c>
      <c r="R48" s="62">
        <f t="shared" si="1"/>
        <v>94.657534246575366</v>
      </c>
      <c r="S48" s="62">
        <f t="shared" si="2"/>
        <v>122.02739726027397</v>
      </c>
      <c r="T48" s="62">
        <f t="shared" si="3"/>
        <v>135.90410958904107</v>
      </c>
      <c r="U48" s="62">
        <f t="shared" si="4"/>
        <v>131.46575342465755</v>
      </c>
      <c r="V48" s="62">
        <f t="shared" si="5"/>
        <v>128.02739726027397</v>
      </c>
      <c r="W48" s="62"/>
      <c r="X48" s="61">
        <f t="shared" si="6"/>
        <v>0.5</v>
      </c>
      <c r="Y48" s="53">
        <f t="shared" si="7"/>
        <v>34.996200000000002</v>
      </c>
      <c r="Z48" s="62">
        <f t="shared" si="8"/>
        <v>108.63432164383562</v>
      </c>
      <c r="AA48" s="62">
        <f t="shared" si="9"/>
        <v>140.25543506849317</v>
      </c>
      <c r="AB48" s="62">
        <f t="shared" si="10"/>
        <v>156.07225205479455</v>
      </c>
      <c r="AC48" s="62">
        <f t="shared" si="11"/>
        <v>151.03133369863016</v>
      </c>
      <c r="AD48" s="62">
        <f t="shared" si="12"/>
        <v>147.35538794520551</v>
      </c>
    </row>
    <row r="49" spans="15:30" x14ac:dyDescent="0.3">
      <c r="O49" s="61">
        <v>0.51</v>
      </c>
      <c r="P49" s="61">
        <f t="shared" si="0"/>
        <v>0.76716363636363649</v>
      </c>
      <c r="Q49" s="53">
        <f t="shared" si="13"/>
        <v>262.47149999999999</v>
      </c>
      <c r="R49" s="62">
        <f t="shared" si="1"/>
        <v>92.801504163309176</v>
      </c>
      <c r="S49" s="62">
        <f t="shared" si="2"/>
        <v>119.63470319634702</v>
      </c>
      <c r="T49" s="62">
        <f t="shared" si="3"/>
        <v>133.23932312651087</v>
      </c>
      <c r="U49" s="62">
        <f t="shared" si="4"/>
        <v>128.88799355358583</v>
      </c>
      <c r="V49" s="62">
        <f t="shared" si="5"/>
        <v>125.51705613752351</v>
      </c>
      <c r="W49" s="62"/>
      <c r="X49" s="61">
        <f t="shared" si="6"/>
        <v>0.51</v>
      </c>
      <c r="Y49" s="53">
        <f t="shared" si="7"/>
        <v>35.696124000000005</v>
      </c>
      <c r="Z49" s="62">
        <f t="shared" si="8"/>
        <v>108.11699690572121</v>
      </c>
      <c r="AA49" s="62">
        <f t="shared" si="9"/>
        <v>139.57211516518939</v>
      </c>
      <c r="AB49" s="62">
        <f t="shared" si="10"/>
        <v>155.29814515175934</v>
      </c>
      <c r="AC49" s="62">
        <f t="shared" si="11"/>
        <v>150.2889216653237</v>
      </c>
      <c r="AD49" s="62">
        <f t="shared" si="12"/>
        <v>146.65890661294654</v>
      </c>
    </row>
    <row r="50" spans="15:30" x14ac:dyDescent="0.3">
      <c r="O50" s="61">
        <v>0.52</v>
      </c>
      <c r="P50" s="61">
        <f t="shared" si="0"/>
        <v>0.78220606060606068</v>
      </c>
      <c r="Q50" s="53">
        <f t="shared" si="13"/>
        <v>267.61799999999999</v>
      </c>
      <c r="R50" s="62">
        <f t="shared" si="1"/>
        <v>91.016859852476301</v>
      </c>
      <c r="S50" s="62">
        <f t="shared" si="2"/>
        <v>117.3340358271865</v>
      </c>
      <c r="T50" s="62">
        <f t="shared" si="3"/>
        <v>130.67702845100104</v>
      </c>
      <c r="U50" s="62">
        <f t="shared" si="4"/>
        <v>126.40937829293995</v>
      </c>
      <c r="V50" s="62">
        <f t="shared" si="5"/>
        <v>123.10326659641728</v>
      </c>
      <c r="W50" s="62"/>
      <c r="X50" s="61">
        <f t="shared" si="6"/>
        <v>0.52</v>
      </c>
      <c r="Y50" s="53">
        <f t="shared" si="7"/>
        <v>36.396048</v>
      </c>
      <c r="Z50" s="62">
        <f t="shared" si="8"/>
        <v>107.61956927291887</v>
      </c>
      <c r="AA50" s="62">
        <f t="shared" si="9"/>
        <v>138.91507679662803</v>
      </c>
      <c r="AB50" s="62">
        <f t="shared" si="10"/>
        <v>154.55381159114859</v>
      </c>
      <c r="AC50" s="62">
        <f t="shared" si="11"/>
        <v>149.5750639409905</v>
      </c>
      <c r="AD50" s="62">
        <f t="shared" si="12"/>
        <v>145.98921302423605</v>
      </c>
    </row>
    <row r="51" spans="15:30" x14ac:dyDescent="0.3">
      <c r="O51" s="61">
        <v>0.53</v>
      </c>
      <c r="P51" s="61">
        <f t="shared" si="0"/>
        <v>0.79724848484848487</v>
      </c>
      <c r="Q51" s="53">
        <f t="shared" si="13"/>
        <v>272.7645</v>
      </c>
      <c r="R51" s="62">
        <f t="shared" si="1"/>
        <v>89.299560609976751</v>
      </c>
      <c r="S51" s="62">
        <f t="shared" si="2"/>
        <v>115.12018609459808</v>
      </c>
      <c r="T51" s="62">
        <f t="shared" si="3"/>
        <v>128.21142414060478</v>
      </c>
      <c r="U51" s="62">
        <f t="shared" si="4"/>
        <v>124.0242956836392</v>
      </c>
      <c r="V51" s="62">
        <f t="shared" si="5"/>
        <v>120.78056345308866</v>
      </c>
      <c r="W51" s="62"/>
      <c r="X51" s="61">
        <f t="shared" si="6"/>
        <v>0.53</v>
      </c>
      <c r="Y51" s="53">
        <f t="shared" si="7"/>
        <v>37.095972000000003</v>
      </c>
      <c r="Z51" s="62">
        <f t="shared" si="8"/>
        <v>107.14091249418455</v>
      </c>
      <c r="AA51" s="62">
        <f t="shared" si="9"/>
        <v>138.28283232876714</v>
      </c>
      <c r="AB51" s="62">
        <f t="shared" si="10"/>
        <v>153.8375660894288</v>
      </c>
      <c r="AC51" s="62">
        <f t="shared" si="11"/>
        <v>148.88814424399072</v>
      </c>
      <c r="AD51" s="62">
        <f t="shared" si="12"/>
        <v>145.3447908917033</v>
      </c>
    </row>
    <row r="52" spans="15:30" x14ac:dyDescent="0.3">
      <c r="O52" s="61">
        <v>0.54</v>
      </c>
      <c r="P52" s="61">
        <f t="shared" si="0"/>
        <v>0.81229090909090929</v>
      </c>
      <c r="Q52" s="53">
        <f t="shared" si="13"/>
        <v>277.911</v>
      </c>
      <c r="R52" s="62">
        <f t="shared" si="1"/>
        <v>87.645865043125326</v>
      </c>
      <c r="S52" s="62">
        <f t="shared" si="2"/>
        <v>112.98833079654996</v>
      </c>
      <c r="T52" s="62">
        <f t="shared" si="3"/>
        <v>125.83713850837137</v>
      </c>
      <c r="U52" s="62">
        <f t="shared" si="4"/>
        <v>121.72754946727551</v>
      </c>
      <c r="V52" s="62">
        <f t="shared" si="5"/>
        <v>118.54388635210553</v>
      </c>
      <c r="W52" s="62"/>
      <c r="X52" s="61">
        <f t="shared" si="6"/>
        <v>0.54</v>
      </c>
      <c r="Y52" s="53">
        <f t="shared" si="7"/>
        <v>37.795896000000006</v>
      </c>
      <c r="Z52" s="62">
        <f t="shared" si="8"/>
        <v>106.67998374429224</v>
      </c>
      <c r="AA52" s="62">
        <f t="shared" si="9"/>
        <v>137.67400432267885</v>
      </c>
      <c r="AB52" s="62">
        <f t="shared" si="10"/>
        <v>153.14784819888385</v>
      </c>
      <c r="AC52" s="62">
        <f t="shared" si="11"/>
        <v>148.22666601725015</v>
      </c>
      <c r="AD52" s="62">
        <f t="shared" si="12"/>
        <v>144.72423624556066</v>
      </c>
    </row>
    <row r="53" spans="15:30" x14ac:dyDescent="0.3">
      <c r="O53" s="61">
        <v>0.55000000000000004</v>
      </c>
      <c r="P53" s="61">
        <f t="shared" si="0"/>
        <v>0.82733333333333337</v>
      </c>
      <c r="Q53" s="53">
        <f t="shared" si="13"/>
        <v>283.0575</v>
      </c>
      <c r="R53" s="62">
        <f t="shared" si="1"/>
        <v>86.052303860523054</v>
      </c>
      <c r="S53" s="62">
        <f t="shared" si="2"/>
        <v>110.93399750933996</v>
      </c>
      <c r="T53" s="62">
        <f t="shared" si="3"/>
        <v>123.54919053549189</v>
      </c>
      <c r="U53" s="62">
        <f t="shared" si="4"/>
        <v>119.51432129514322</v>
      </c>
      <c r="V53" s="62">
        <f t="shared" si="5"/>
        <v>116.38854296388543</v>
      </c>
      <c r="W53" s="62"/>
      <c r="X53" s="61">
        <f t="shared" si="6"/>
        <v>0.55000000000000004</v>
      </c>
      <c r="Y53" s="53">
        <f t="shared" si="7"/>
        <v>38.495820000000002</v>
      </c>
      <c r="Z53" s="62">
        <f t="shared" si="8"/>
        <v>106.23581603985056</v>
      </c>
      <c r="AA53" s="62">
        <f t="shared" si="9"/>
        <v>137.08731551681197</v>
      </c>
      <c r="AB53" s="62">
        <f t="shared" si="10"/>
        <v>152.48321095890412</v>
      </c>
      <c r="AC53" s="62">
        <f t="shared" si="11"/>
        <v>147.58924154420922</v>
      </c>
      <c r="AD53" s="62">
        <f t="shared" si="12"/>
        <v>144.12624722291406</v>
      </c>
    </row>
    <row r="54" spans="15:30" x14ac:dyDescent="0.3">
      <c r="O54" s="61">
        <v>0.56000000000000005</v>
      </c>
      <c r="P54" s="61">
        <f t="shared" si="0"/>
        <v>0.84237575757575767</v>
      </c>
      <c r="Q54" s="53">
        <f t="shared" si="13"/>
        <v>288.20400000000001</v>
      </c>
      <c r="R54" s="62">
        <f t="shared" si="1"/>
        <v>84.515655577299427</v>
      </c>
      <c r="S54" s="62">
        <f t="shared" si="2"/>
        <v>108.95303326810175</v>
      </c>
      <c r="T54" s="62">
        <f t="shared" si="3"/>
        <v>121.34295499021525</v>
      </c>
      <c r="U54" s="62">
        <f t="shared" si="4"/>
        <v>117.38013698630138</v>
      </c>
      <c r="V54" s="62">
        <f t="shared" si="5"/>
        <v>114.31017612524462</v>
      </c>
      <c r="W54" s="62"/>
      <c r="X54" s="61">
        <f t="shared" si="6"/>
        <v>0.56000000000000005</v>
      </c>
      <c r="Y54" s="53">
        <f t="shared" si="7"/>
        <v>39.195744000000005</v>
      </c>
      <c r="Z54" s="62">
        <f t="shared" si="8"/>
        <v>105.80751146771037</v>
      </c>
      <c r="AA54" s="62">
        <f t="shared" si="9"/>
        <v>136.52157988258318</v>
      </c>
      <c r="AB54" s="62">
        <f t="shared" si="10"/>
        <v>151.84231076320941</v>
      </c>
      <c r="AC54" s="62">
        <f t="shared" si="11"/>
        <v>146.97458223091979</v>
      </c>
      <c r="AD54" s="62">
        <f t="shared" si="12"/>
        <v>143.54961495107631</v>
      </c>
    </row>
    <row r="55" spans="15:30" x14ac:dyDescent="0.3">
      <c r="O55" s="61">
        <v>0.56999999999999995</v>
      </c>
      <c r="P55" s="61">
        <f t="shared" si="0"/>
        <v>0.85741818181818164</v>
      </c>
      <c r="Q55" s="53">
        <f t="shared" si="13"/>
        <v>293.35049999999995</v>
      </c>
      <c r="R55" s="62">
        <f t="shared" si="1"/>
        <v>83.032924777697701</v>
      </c>
      <c r="S55" s="62">
        <f t="shared" si="2"/>
        <v>107.04157654409998</v>
      </c>
      <c r="T55" s="62">
        <f t="shared" si="3"/>
        <v>119.2141312184571</v>
      </c>
      <c r="U55" s="62">
        <f t="shared" si="4"/>
        <v>115.32083633741892</v>
      </c>
      <c r="V55" s="62">
        <f t="shared" si="5"/>
        <v>112.30473443883685</v>
      </c>
      <c r="W55" s="62"/>
      <c r="X55" s="61">
        <f t="shared" si="6"/>
        <v>0.56999999999999995</v>
      </c>
      <c r="Y55" s="53">
        <f t="shared" si="7"/>
        <v>39.895667999999993</v>
      </c>
      <c r="Z55" s="62">
        <f t="shared" si="8"/>
        <v>105.39423512617159</v>
      </c>
      <c r="AA55" s="62">
        <f t="shared" si="9"/>
        <v>135.97569462148525</v>
      </c>
      <c r="AB55" s="62">
        <f t="shared" si="10"/>
        <v>151.22389829367938</v>
      </c>
      <c r="AC55" s="62">
        <f t="shared" si="11"/>
        <v>146.38148991107909</v>
      </c>
      <c r="AD55" s="62">
        <f t="shared" si="12"/>
        <v>142.99321539053111</v>
      </c>
    </row>
    <row r="56" spans="15:30" x14ac:dyDescent="0.3">
      <c r="O56" s="61">
        <v>0.57999999999999996</v>
      </c>
      <c r="P56" s="61">
        <f t="shared" si="0"/>
        <v>0.87246060606060605</v>
      </c>
      <c r="Q56" s="53">
        <f t="shared" si="13"/>
        <v>298.49699999999996</v>
      </c>
      <c r="R56" s="62">
        <f t="shared" si="1"/>
        <v>81.601322626358083</v>
      </c>
      <c r="S56" s="62">
        <f t="shared" si="2"/>
        <v>105.19603212092585</v>
      </c>
      <c r="T56" s="62">
        <f t="shared" si="3"/>
        <v>117.15871516296646</v>
      </c>
      <c r="U56" s="62">
        <f t="shared" si="4"/>
        <v>113.33254605573929</v>
      </c>
      <c r="V56" s="62">
        <f t="shared" si="5"/>
        <v>110.36844591402931</v>
      </c>
      <c r="W56" s="62"/>
      <c r="X56" s="61">
        <f t="shared" si="6"/>
        <v>0.57999999999999996</v>
      </c>
      <c r="Y56" s="53">
        <f t="shared" si="7"/>
        <v>40.595591999999996</v>
      </c>
      <c r="Z56" s="62">
        <f t="shared" si="8"/>
        <v>104.99520969296174</v>
      </c>
      <c r="AA56" s="62">
        <f t="shared" si="9"/>
        <v>135.44863299008034</v>
      </c>
      <c r="AB56" s="62">
        <f t="shared" si="10"/>
        <v>150.62681039206427</v>
      </c>
      <c r="AC56" s="62">
        <f t="shared" si="11"/>
        <v>145.80884905054322</v>
      </c>
      <c r="AD56" s="62">
        <f t="shared" si="12"/>
        <v>142.45600202172886</v>
      </c>
    </row>
    <row r="57" spans="15:30" x14ac:dyDescent="0.3">
      <c r="O57" s="61">
        <v>0.59</v>
      </c>
      <c r="P57" s="61">
        <f t="shared" si="0"/>
        <v>0.88750303030303024</v>
      </c>
      <c r="Q57" s="53">
        <f t="shared" si="13"/>
        <v>303.64349999999996</v>
      </c>
      <c r="R57" s="62">
        <f t="shared" si="1"/>
        <v>80.218249361504547</v>
      </c>
      <c r="S57" s="62">
        <f t="shared" si="2"/>
        <v>103.41304852565591</v>
      </c>
      <c r="T57" s="62">
        <f t="shared" si="3"/>
        <v>115.17297422800092</v>
      </c>
      <c r="U57" s="62">
        <f t="shared" si="4"/>
        <v>111.41165544462505</v>
      </c>
      <c r="V57" s="62">
        <f t="shared" si="5"/>
        <v>108.49779428836779</v>
      </c>
      <c r="W57" s="62"/>
      <c r="X57" s="61">
        <f t="shared" si="6"/>
        <v>0.59</v>
      </c>
      <c r="Y57" s="53">
        <f t="shared" si="7"/>
        <v>41.295515999999999</v>
      </c>
      <c r="Z57" s="62">
        <f t="shared" si="8"/>
        <v>104.60971054562341</v>
      </c>
      <c r="AA57" s="62">
        <f t="shared" si="9"/>
        <v>134.93943785465524</v>
      </c>
      <c r="AB57" s="62">
        <f t="shared" si="10"/>
        <v>150.04996275830047</v>
      </c>
      <c r="AC57" s="62">
        <f t="shared" si="11"/>
        <v>145.25561974460183</v>
      </c>
      <c r="AD57" s="62">
        <f t="shared" si="12"/>
        <v>141.93699927559788</v>
      </c>
    </row>
    <row r="58" spans="15:30" x14ac:dyDescent="0.3">
      <c r="O58" s="61">
        <v>0.6</v>
      </c>
      <c r="P58" s="61">
        <f t="shared" si="0"/>
        <v>0.90254545454545443</v>
      </c>
      <c r="Q58" s="53">
        <f t="shared" si="13"/>
        <v>308.78999999999996</v>
      </c>
      <c r="R58" s="62">
        <f t="shared" si="1"/>
        <v>78.881278538812808</v>
      </c>
      <c r="S58" s="62">
        <f t="shared" si="2"/>
        <v>101.68949771689498</v>
      </c>
      <c r="T58" s="62">
        <f t="shared" si="3"/>
        <v>113.25342465753424</v>
      </c>
      <c r="U58" s="62">
        <f t="shared" si="4"/>
        <v>109.55479452054797</v>
      </c>
      <c r="V58" s="62">
        <f t="shared" si="5"/>
        <v>106.68949771689499</v>
      </c>
      <c r="W58" s="62"/>
      <c r="X58" s="61">
        <f t="shared" si="6"/>
        <v>0.6</v>
      </c>
      <c r="Y58" s="53">
        <f t="shared" si="7"/>
        <v>41.995439999999995</v>
      </c>
      <c r="Z58" s="62">
        <f t="shared" si="8"/>
        <v>104.23706136986301</v>
      </c>
      <c r="AA58" s="62">
        <f t="shared" si="9"/>
        <v>134.44721589041097</v>
      </c>
      <c r="AB58" s="62">
        <f t="shared" si="10"/>
        <v>149.49234337899546</v>
      </c>
      <c r="AC58" s="62">
        <f t="shared" si="11"/>
        <v>144.72083141552511</v>
      </c>
      <c r="AD58" s="62">
        <f t="shared" si="12"/>
        <v>141.4352966210046</v>
      </c>
    </row>
    <row r="59" spans="15:30" x14ac:dyDescent="0.3">
      <c r="O59" s="61">
        <v>0.61</v>
      </c>
      <c r="P59" s="61">
        <f t="shared" si="0"/>
        <v>0.91758787878787884</v>
      </c>
      <c r="Q59" s="53">
        <f t="shared" si="13"/>
        <v>313.93649999999997</v>
      </c>
      <c r="R59" s="62">
        <f t="shared" si="1"/>
        <v>77.58814282506178</v>
      </c>
      <c r="S59" s="62">
        <f t="shared" si="2"/>
        <v>100.02245677071637</v>
      </c>
      <c r="T59" s="62">
        <f t="shared" si="3"/>
        <v>111.39681113855826</v>
      </c>
      <c r="U59" s="62">
        <f t="shared" si="4"/>
        <v>107.75881428250619</v>
      </c>
      <c r="V59" s="62">
        <f t="shared" si="5"/>
        <v>104.94048955760164</v>
      </c>
      <c r="W59" s="62"/>
      <c r="X59" s="61">
        <f t="shared" si="6"/>
        <v>0.61</v>
      </c>
      <c r="Y59" s="53">
        <f t="shared" si="7"/>
        <v>42.695363999999998</v>
      </c>
      <c r="Z59" s="62">
        <f t="shared" si="8"/>
        <v>103.87663019986526</v>
      </c>
      <c r="AA59" s="62">
        <f t="shared" si="9"/>
        <v>133.97113235122393</v>
      </c>
      <c r="AB59" s="62">
        <f t="shared" si="10"/>
        <v>148.9530066022906</v>
      </c>
      <c r="AC59" s="62">
        <f t="shared" si="11"/>
        <v>144.20357713002471</v>
      </c>
      <c r="AD59" s="62">
        <f t="shared" si="12"/>
        <v>140.95004323377501</v>
      </c>
    </row>
    <row r="60" spans="15:30" x14ac:dyDescent="0.3">
      <c r="O60" s="61">
        <v>0.62</v>
      </c>
      <c r="P60" s="61">
        <f t="shared" si="0"/>
        <v>0.93263030303030303</v>
      </c>
      <c r="Q60" s="53">
        <f t="shared" si="13"/>
        <v>319.08299999999997</v>
      </c>
      <c r="R60" s="62">
        <f t="shared" si="1"/>
        <v>76.336721166593037</v>
      </c>
      <c r="S60" s="62">
        <f t="shared" si="2"/>
        <v>98.409191338930626</v>
      </c>
      <c r="T60" s="62">
        <f t="shared" si="3"/>
        <v>109.60008837825895</v>
      </c>
      <c r="U60" s="62">
        <f t="shared" si="4"/>
        <v>106.02076889085286</v>
      </c>
      <c r="V60" s="62">
        <f t="shared" si="5"/>
        <v>103.24790101635</v>
      </c>
      <c r="W60" s="62"/>
      <c r="X60" s="61">
        <f t="shared" si="6"/>
        <v>0.62</v>
      </c>
      <c r="Y60" s="53">
        <f t="shared" si="7"/>
        <v>43.395288000000001</v>
      </c>
      <c r="Z60" s="62">
        <f t="shared" si="8"/>
        <v>103.52782584180294</v>
      </c>
      <c r="AA60" s="62">
        <f t="shared" si="9"/>
        <v>133.51040634555903</v>
      </c>
      <c r="AB60" s="62">
        <f t="shared" si="10"/>
        <v>148.43106778612466</v>
      </c>
      <c r="AC60" s="62">
        <f t="shared" si="11"/>
        <v>143.70300846663721</v>
      </c>
      <c r="AD60" s="62">
        <f t="shared" si="12"/>
        <v>140.48044318161732</v>
      </c>
    </row>
    <row r="61" spans="15:30" x14ac:dyDescent="0.3">
      <c r="O61" s="61">
        <v>0.63</v>
      </c>
      <c r="P61" s="61">
        <f t="shared" si="0"/>
        <v>0.94767272727272722</v>
      </c>
      <c r="Q61" s="53">
        <f t="shared" si="13"/>
        <v>324.22949999999997</v>
      </c>
      <c r="R61" s="62">
        <f t="shared" si="1"/>
        <v>75.125027179821714</v>
      </c>
      <c r="S61" s="62">
        <f t="shared" si="2"/>
        <v>96.847140682757114</v>
      </c>
      <c r="T61" s="62">
        <f t="shared" si="3"/>
        <v>107.86040443574689</v>
      </c>
      <c r="U61" s="62">
        <f t="shared" si="4"/>
        <v>104.33789954337901</v>
      </c>
      <c r="V61" s="62">
        <f t="shared" si="5"/>
        <v>101.6090454446619</v>
      </c>
      <c r="W61" s="62"/>
      <c r="X61" s="61">
        <f t="shared" si="6"/>
        <v>0.63</v>
      </c>
      <c r="Y61" s="53">
        <f t="shared" si="7"/>
        <v>44.095211999999997</v>
      </c>
      <c r="Z61" s="62">
        <f t="shared" si="8"/>
        <v>103.19009463796478</v>
      </c>
      <c r="AA61" s="62">
        <f t="shared" si="9"/>
        <v>133.06430656229617</v>
      </c>
      <c r="AB61" s="62">
        <f t="shared" si="10"/>
        <v>147.92569845618613</v>
      </c>
      <c r="AC61" s="62">
        <f t="shared" si="11"/>
        <v>143.21833087192866</v>
      </c>
      <c r="AD61" s="62">
        <f t="shared" si="12"/>
        <v>140.02575106762339</v>
      </c>
    </row>
    <row r="62" spans="15:30" x14ac:dyDescent="0.3">
      <c r="O62" s="61">
        <v>0.64</v>
      </c>
      <c r="P62" s="61">
        <f t="shared" si="0"/>
        <v>0.96271515151515152</v>
      </c>
      <c r="Q62" s="53">
        <f t="shared" si="13"/>
        <v>329.37599999999998</v>
      </c>
      <c r="R62" s="62">
        <f t="shared" si="1"/>
        <v>73.951198630137</v>
      </c>
      <c r="S62" s="62">
        <f t="shared" si="2"/>
        <v>95.333904109589042</v>
      </c>
      <c r="T62" s="62">
        <f t="shared" si="3"/>
        <v>106.17508561643835</v>
      </c>
      <c r="U62" s="62">
        <f t="shared" si="4"/>
        <v>102.70761986301372</v>
      </c>
      <c r="V62" s="62">
        <f t="shared" si="5"/>
        <v>100.02140410958906</v>
      </c>
      <c r="W62" s="62"/>
      <c r="X62" s="61">
        <f t="shared" si="6"/>
        <v>0.64</v>
      </c>
      <c r="Y62" s="53">
        <f t="shared" si="7"/>
        <v>44.795135999999999</v>
      </c>
      <c r="Z62" s="62">
        <f t="shared" si="8"/>
        <v>102.86291753424658</v>
      </c>
      <c r="AA62" s="62">
        <f t="shared" si="9"/>
        <v>132.6321473972603</v>
      </c>
      <c r="AB62" s="62">
        <f t="shared" si="10"/>
        <v>147.43612191780824</v>
      </c>
      <c r="AC62" s="62">
        <f t="shared" si="11"/>
        <v>142.74879945205481</v>
      </c>
      <c r="AD62" s="62">
        <f t="shared" si="12"/>
        <v>139.58526808219179</v>
      </c>
    </row>
    <row r="63" spans="15:30" x14ac:dyDescent="0.3">
      <c r="O63" s="61">
        <v>0.65</v>
      </c>
      <c r="P63" s="61">
        <f t="shared" si="0"/>
        <v>0.97775757575757583</v>
      </c>
      <c r="Q63" s="53">
        <f t="shared" si="13"/>
        <v>334.52249999999998</v>
      </c>
      <c r="R63" s="62">
        <f t="shared" si="1"/>
        <v>72.813487881981047</v>
      </c>
      <c r="S63" s="62">
        <f t="shared" si="2"/>
        <v>93.867228661749209</v>
      </c>
      <c r="T63" s="62">
        <f t="shared" si="3"/>
        <v>104.54162276080083</v>
      </c>
      <c r="U63" s="62">
        <f t="shared" si="4"/>
        <v>101.12750263435197</v>
      </c>
      <c r="V63" s="62">
        <f t="shared" si="5"/>
        <v>98.482613277133837</v>
      </c>
      <c r="W63" s="62"/>
      <c r="X63" s="61">
        <f t="shared" si="6"/>
        <v>0.65</v>
      </c>
      <c r="Y63" s="53">
        <f t="shared" si="7"/>
        <v>45.495060000000002</v>
      </c>
      <c r="Z63" s="62">
        <f t="shared" si="8"/>
        <v>102.5458074183351</v>
      </c>
      <c r="AA63" s="62">
        <f t="shared" si="9"/>
        <v>132.21328543730246</v>
      </c>
      <c r="AB63" s="62">
        <f t="shared" si="10"/>
        <v>146.96160927291888</v>
      </c>
      <c r="AC63" s="62">
        <f t="shared" si="11"/>
        <v>142.29371515279243</v>
      </c>
      <c r="AD63" s="62">
        <f t="shared" si="12"/>
        <v>139.15833841938885</v>
      </c>
    </row>
    <row r="64" spans="15:30" x14ac:dyDescent="0.3">
      <c r="O64" s="61">
        <v>0.66</v>
      </c>
      <c r="P64" s="61">
        <f t="shared" si="0"/>
        <v>0.9927999999999999</v>
      </c>
      <c r="Q64" s="53">
        <f t="shared" si="13"/>
        <v>339.66899999999998</v>
      </c>
      <c r="R64" s="62">
        <f t="shared" si="1"/>
        <v>71.710253217102547</v>
      </c>
      <c r="S64" s="62">
        <f t="shared" si="2"/>
        <v>92.444997924449979</v>
      </c>
      <c r="T64" s="62">
        <f t="shared" si="3"/>
        <v>102.95765877957658</v>
      </c>
      <c r="U64" s="62">
        <f t="shared" si="4"/>
        <v>99.595267745952697</v>
      </c>
      <c r="V64" s="62">
        <f t="shared" si="5"/>
        <v>96.99045246990454</v>
      </c>
      <c r="W64" s="62"/>
      <c r="X64" s="61">
        <f t="shared" si="6"/>
        <v>0.66</v>
      </c>
      <c r="Y64" s="53">
        <f t="shared" si="7"/>
        <v>46.194983999999998</v>
      </c>
      <c r="Z64" s="62">
        <f t="shared" si="8"/>
        <v>102.23830669987547</v>
      </c>
      <c r="AA64" s="62">
        <f t="shared" si="9"/>
        <v>131.80711626400998</v>
      </c>
      <c r="AB64" s="62">
        <f t="shared" si="10"/>
        <v>146.50147579908676</v>
      </c>
      <c r="AC64" s="62">
        <f t="shared" si="11"/>
        <v>141.85242128684101</v>
      </c>
      <c r="AD64" s="62">
        <f t="shared" si="12"/>
        <v>138.74434601909505</v>
      </c>
    </row>
    <row r="65" spans="15:30" x14ac:dyDescent="0.3">
      <c r="O65" s="61">
        <v>0.67</v>
      </c>
      <c r="P65" s="61">
        <f t="shared" si="0"/>
        <v>1.0078424242424242</v>
      </c>
      <c r="Q65" s="53">
        <f t="shared" si="13"/>
        <v>344.81549999999999</v>
      </c>
      <c r="R65" s="62">
        <f t="shared" si="1"/>
        <v>70.639950930280122</v>
      </c>
      <c r="S65" s="62">
        <f t="shared" si="2"/>
        <v>91.065221836025344</v>
      </c>
      <c r="T65" s="62">
        <f t="shared" si="3"/>
        <v>101.42097730525454</v>
      </c>
      <c r="U65" s="62">
        <f t="shared" si="4"/>
        <v>98.108771212431009</v>
      </c>
      <c r="V65" s="62">
        <f t="shared" si="5"/>
        <v>95.542833776323874</v>
      </c>
      <c r="W65" s="62"/>
      <c r="X65" s="61">
        <f t="shared" si="6"/>
        <v>0.67</v>
      </c>
      <c r="Y65" s="53">
        <f t="shared" si="7"/>
        <v>46.894908000000001</v>
      </c>
      <c r="Z65" s="62">
        <f t="shared" si="8"/>
        <v>101.93998510734001</v>
      </c>
      <c r="AA65" s="62">
        <f t="shared" si="9"/>
        <v>131.41307154365163</v>
      </c>
      <c r="AB65" s="62">
        <f t="shared" si="10"/>
        <v>146.05507765283173</v>
      </c>
      <c r="AC65" s="62">
        <f t="shared" si="11"/>
        <v>141.42430037211204</v>
      </c>
      <c r="AD65" s="62">
        <f t="shared" si="12"/>
        <v>138.34271160089961</v>
      </c>
    </row>
    <row r="66" spans="15:30" x14ac:dyDescent="0.3">
      <c r="O66" s="61">
        <v>0.68</v>
      </c>
      <c r="P66" s="61">
        <f t="shared" si="0"/>
        <v>1.0228848484848485</v>
      </c>
      <c r="Q66" s="53">
        <f t="shared" si="13"/>
        <v>349.96199999999999</v>
      </c>
      <c r="R66" s="62">
        <f t="shared" si="1"/>
        <v>69.601128122481882</v>
      </c>
      <c r="S66" s="62">
        <f t="shared" si="2"/>
        <v>89.726027397260268</v>
      </c>
      <c r="T66" s="62">
        <f t="shared" si="3"/>
        <v>99.929492344883144</v>
      </c>
      <c r="U66" s="62">
        <f t="shared" si="4"/>
        <v>96.665995165189372</v>
      </c>
      <c r="V66" s="62">
        <f t="shared" si="5"/>
        <v>94.13779210314263</v>
      </c>
      <c r="W66" s="62"/>
      <c r="X66" s="61">
        <f t="shared" si="6"/>
        <v>0.68</v>
      </c>
      <c r="Y66" s="53">
        <f t="shared" si="7"/>
        <v>47.594832000000004</v>
      </c>
      <c r="Z66" s="62">
        <f t="shared" si="8"/>
        <v>101.6504376792909</v>
      </c>
      <c r="AA66" s="62">
        <f t="shared" si="9"/>
        <v>131.03061637389203</v>
      </c>
      <c r="AB66" s="62">
        <f t="shared" si="10"/>
        <v>145.6218088638195</v>
      </c>
      <c r="AC66" s="62">
        <f t="shared" si="11"/>
        <v>141.00877124899276</v>
      </c>
      <c r="AD66" s="62">
        <f t="shared" si="12"/>
        <v>137.95288995970992</v>
      </c>
    </row>
    <row r="67" spans="15:30" x14ac:dyDescent="0.3">
      <c r="O67" s="61">
        <v>0.69</v>
      </c>
      <c r="P67" s="61">
        <f t="shared" ref="P67:P89" si="17">Y67*1000/($Q$1*66)</f>
        <v>1.0379272727272726</v>
      </c>
      <c r="Q67" s="53">
        <f t="shared" si="13"/>
        <v>355.10849999999994</v>
      </c>
      <c r="R67" s="62">
        <f t="shared" ref="R67:R89" si="18">(($D$25*$E$8+$E$25*$E$9)*(0.5))/$Q67</f>
        <v>68.592416120706787</v>
      </c>
      <c r="S67" s="62">
        <f t="shared" ref="S67:S89" si="19">(($D$25*$F$8+$E$25*$F$9)*(0.5))/$Q67</f>
        <v>88.425650188604337</v>
      </c>
      <c r="T67" s="62">
        <f t="shared" ref="T67:T89" si="20">(($D$25*$G$8+$E$25*$G$9)*(0.5))/$Q67</f>
        <v>98.481238832638482</v>
      </c>
      <c r="U67" s="62">
        <f t="shared" ref="U67:U89" si="21">(($D$25*$H$8+$E$25*$H$9)*(0.5))/$Q67</f>
        <v>95.265038713519971</v>
      </c>
      <c r="V67" s="62">
        <f t="shared" ref="V67:V89" si="22">(($D$25*$I$8+$E$25*$I$9)*(0.5))/$Q67</f>
        <v>92.773476275560867</v>
      </c>
      <c r="W67" s="62"/>
      <c r="X67" s="61">
        <f t="shared" ref="X67:X89" si="23">ROUND(Q67/$O$1,2)</f>
        <v>0.69</v>
      </c>
      <c r="Y67" s="53">
        <f t="shared" ref="Y67:Y89" si="24">$D$28*Q67</f>
        <v>48.294755999999992</v>
      </c>
      <c r="Z67" s="62">
        <f t="shared" ref="Z67:Z89" si="25">((($Q$1*$E$18)*(0.5))+((($E$19-$E$20)*0.5))*$Y67)/$Q67</f>
        <v>101.36928293031566</v>
      </c>
      <c r="AA67" s="62">
        <f t="shared" ref="AA67:AA89" si="26">((($Q$1*$F$18)*(0.5))+((($F$19-$F$20)*0.5))*$Y67)/$Q67</f>
        <v>130.65924686122693</v>
      </c>
      <c r="AB67" s="62">
        <f t="shared" ref="AB67:AB89" si="27">((($Q$1*$G$18)*(0.5))+((($G$19-$G$20)*0.5))*$Y67)/$Q67</f>
        <v>145.20109859043083</v>
      </c>
      <c r="AC67" s="62">
        <f t="shared" ref="AC67:AC89" si="28">((($Q$1*$H$18)*(0.5))+((($H$19-$H$20)*0.5))*$Y67)/$Q67</f>
        <v>140.6052864482827</v>
      </c>
      <c r="AD67" s="62">
        <f t="shared" ref="AD67:AD89" si="29">((($Q$1*$I$18)*(0.5))+((($I$19-$I$20)*0.5))*$Y67)/$Q67</f>
        <v>137.5743674965257</v>
      </c>
    </row>
    <row r="68" spans="15:30" x14ac:dyDescent="0.3">
      <c r="O68" s="61">
        <v>0.7</v>
      </c>
      <c r="P68" s="61">
        <f t="shared" si="17"/>
        <v>1.0529696969696969</v>
      </c>
      <c r="Q68" s="53">
        <f t="shared" ref="Q68:Q89" si="30">O68*$O$1</f>
        <v>360.25499999999994</v>
      </c>
      <c r="R68" s="62">
        <f t="shared" si="18"/>
        <v>67.612524461839556</v>
      </c>
      <c r="S68" s="62">
        <f t="shared" si="19"/>
        <v>87.162426614481419</v>
      </c>
      <c r="T68" s="62">
        <f t="shared" si="20"/>
        <v>97.074363992172209</v>
      </c>
      <c r="U68" s="62">
        <f t="shared" si="21"/>
        <v>93.904109589041127</v>
      </c>
      <c r="V68" s="62">
        <f t="shared" si="22"/>
        <v>91.44814090019571</v>
      </c>
      <c r="W68" s="62"/>
      <c r="X68" s="61">
        <f t="shared" si="23"/>
        <v>0.7</v>
      </c>
      <c r="Y68" s="53">
        <f t="shared" si="24"/>
        <v>48.994679999999995</v>
      </c>
      <c r="Z68" s="62">
        <f t="shared" si="25"/>
        <v>101.09616117416832</v>
      </c>
      <c r="AA68" s="62">
        <f t="shared" si="26"/>
        <v>130.29848790606655</v>
      </c>
      <c r="AB68" s="62">
        <f t="shared" si="27"/>
        <v>144.79240861056752</v>
      </c>
      <c r="AC68" s="62">
        <f t="shared" si="28"/>
        <v>140.21332978473583</v>
      </c>
      <c r="AD68" s="62">
        <f t="shared" si="29"/>
        <v>137.20665996086106</v>
      </c>
    </row>
    <row r="69" spans="15:30" x14ac:dyDescent="0.3">
      <c r="O69" s="61">
        <v>0.71</v>
      </c>
      <c r="P69" s="61">
        <f t="shared" si="17"/>
        <v>1.0680121212121212</v>
      </c>
      <c r="Q69" s="53">
        <f t="shared" si="30"/>
        <v>365.40149999999994</v>
      </c>
      <c r="R69" s="62">
        <f t="shared" si="18"/>
        <v>66.660235384912227</v>
      </c>
      <c r="S69" s="62">
        <f t="shared" si="19"/>
        <v>85.934786803009843</v>
      </c>
      <c r="T69" s="62">
        <f t="shared" si="20"/>
        <v>95.707119428902175</v>
      </c>
      <c r="U69" s="62">
        <f t="shared" si="21"/>
        <v>92.581516496237725</v>
      </c>
      <c r="V69" s="62">
        <f t="shared" si="22"/>
        <v>90.16013891568592</v>
      </c>
      <c r="W69" s="62"/>
      <c r="X69" s="61">
        <f t="shared" si="23"/>
        <v>0.71</v>
      </c>
      <c r="Y69" s="53">
        <f t="shared" si="24"/>
        <v>49.694603999999998</v>
      </c>
      <c r="Z69" s="62">
        <f t="shared" si="25"/>
        <v>100.83073298861663</v>
      </c>
      <c r="AA69" s="62">
        <f t="shared" si="26"/>
        <v>129.94789117499519</v>
      </c>
      <c r="AB69" s="62">
        <f t="shared" si="27"/>
        <v>144.3952310245032</v>
      </c>
      <c r="AC69" s="62">
        <f t="shared" si="28"/>
        <v>139.83241415396492</v>
      </c>
      <c r="AD69" s="62">
        <f t="shared" si="29"/>
        <v>136.84931038394754</v>
      </c>
    </row>
    <row r="70" spans="15:30" x14ac:dyDescent="0.3">
      <c r="O70" s="61">
        <v>0.72</v>
      </c>
      <c r="P70" s="61">
        <f t="shared" si="17"/>
        <v>1.0830545454545453</v>
      </c>
      <c r="Q70" s="53">
        <f t="shared" si="30"/>
        <v>370.54799999999994</v>
      </c>
      <c r="R70" s="62">
        <f t="shared" si="18"/>
        <v>65.734398782344002</v>
      </c>
      <c r="S70" s="62">
        <f t="shared" si="19"/>
        <v>84.74124809741248</v>
      </c>
      <c r="T70" s="62">
        <f t="shared" si="20"/>
        <v>94.37785388127854</v>
      </c>
      <c r="U70" s="62">
        <f t="shared" si="21"/>
        <v>91.295662100456639</v>
      </c>
      <c r="V70" s="62">
        <f t="shared" si="22"/>
        <v>88.907914764079166</v>
      </c>
      <c r="W70" s="62"/>
      <c r="X70" s="61">
        <f t="shared" si="23"/>
        <v>0.72</v>
      </c>
      <c r="Y70" s="53">
        <f t="shared" si="24"/>
        <v>50.394527999999994</v>
      </c>
      <c r="Z70" s="62">
        <f t="shared" si="25"/>
        <v>100.57267780821917</v>
      </c>
      <c r="AA70" s="62">
        <f t="shared" si="26"/>
        <v>129.60703324200912</v>
      </c>
      <c r="AB70" s="62">
        <f t="shared" si="27"/>
        <v>144.00908614916287</v>
      </c>
      <c r="AC70" s="62">
        <f t="shared" si="28"/>
        <v>139.46207951293758</v>
      </c>
      <c r="AD70" s="62">
        <f t="shared" si="29"/>
        <v>136.5018871841705</v>
      </c>
    </row>
    <row r="71" spans="15:30" x14ac:dyDescent="0.3">
      <c r="O71" s="61">
        <v>0.73</v>
      </c>
      <c r="P71" s="61">
        <f t="shared" si="17"/>
        <v>1.0980969696969696</v>
      </c>
      <c r="Q71" s="53">
        <f t="shared" si="30"/>
        <v>375.69449999999995</v>
      </c>
      <c r="R71" s="62">
        <f t="shared" si="18"/>
        <v>64.833927566147509</v>
      </c>
      <c r="S71" s="62">
        <f t="shared" si="19"/>
        <v>83.580409082379433</v>
      </c>
      <c r="T71" s="62">
        <f t="shared" si="20"/>
        <v>93.085006567836359</v>
      </c>
      <c r="U71" s="62">
        <f t="shared" si="21"/>
        <v>90.045036592231213</v>
      </c>
      <c r="V71" s="62">
        <f t="shared" si="22"/>
        <v>87.689998123475334</v>
      </c>
      <c r="W71" s="62"/>
      <c r="X71" s="61">
        <f t="shared" si="23"/>
        <v>0.73</v>
      </c>
      <c r="Y71" s="53">
        <f t="shared" si="24"/>
        <v>51.094451999999997</v>
      </c>
      <c r="Z71" s="62">
        <f t="shared" si="25"/>
        <v>100.32169263276413</v>
      </c>
      <c r="AA71" s="62">
        <f t="shared" si="26"/>
        <v>129.27551388252957</v>
      </c>
      <c r="AB71" s="62">
        <f t="shared" si="27"/>
        <v>143.63352058547574</v>
      </c>
      <c r="AC71" s="62">
        <f t="shared" si="28"/>
        <v>139.10189102645901</v>
      </c>
      <c r="AD71" s="62">
        <f t="shared" si="29"/>
        <v>136.16398242822297</v>
      </c>
    </row>
    <row r="72" spans="15:30" x14ac:dyDescent="0.3">
      <c r="O72" s="61">
        <v>0.74</v>
      </c>
      <c r="P72" s="61">
        <f t="shared" si="17"/>
        <v>1.1131393939393939</v>
      </c>
      <c r="Q72" s="53">
        <f t="shared" si="30"/>
        <v>380.84099999999995</v>
      </c>
      <c r="R72" s="62">
        <f t="shared" si="18"/>
        <v>63.957793409848222</v>
      </c>
      <c r="S72" s="62">
        <f t="shared" si="19"/>
        <v>82.450944094779715</v>
      </c>
      <c r="T72" s="62">
        <f t="shared" si="20"/>
        <v>91.827101073676417</v>
      </c>
      <c r="U72" s="62">
        <f t="shared" si="21"/>
        <v>88.828211773417266</v>
      </c>
      <c r="V72" s="62">
        <f t="shared" si="22"/>
        <v>86.504998148833778</v>
      </c>
      <c r="W72" s="62"/>
      <c r="X72" s="61">
        <f t="shared" si="23"/>
        <v>0.74</v>
      </c>
      <c r="Y72" s="53">
        <f t="shared" si="24"/>
        <v>51.794376</v>
      </c>
      <c r="Z72" s="62">
        <f t="shared" si="25"/>
        <v>100.07749084042948</v>
      </c>
      <c r="AA72" s="62">
        <f t="shared" si="26"/>
        <v>128.95295450573863</v>
      </c>
      <c r="AB72" s="62">
        <f t="shared" si="27"/>
        <v>143.26810544242875</v>
      </c>
      <c r="AC72" s="62">
        <f t="shared" si="28"/>
        <v>138.75143736393932</v>
      </c>
      <c r="AD72" s="62">
        <f t="shared" si="29"/>
        <v>135.83521023324698</v>
      </c>
    </row>
    <row r="73" spans="15:30" x14ac:dyDescent="0.3">
      <c r="O73" s="61">
        <v>0.75</v>
      </c>
      <c r="P73" s="61">
        <f t="shared" si="17"/>
        <v>1.1281818181818182</v>
      </c>
      <c r="Q73" s="53">
        <f t="shared" si="30"/>
        <v>385.98749999999995</v>
      </c>
      <c r="R73" s="62">
        <f t="shared" si="18"/>
        <v>63.105022831050242</v>
      </c>
      <c r="S73" s="62">
        <f t="shared" si="19"/>
        <v>81.351598173515981</v>
      </c>
      <c r="T73" s="62">
        <f t="shared" si="20"/>
        <v>90.602739726027394</v>
      </c>
      <c r="U73" s="62">
        <f t="shared" si="21"/>
        <v>87.64383561643838</v>
      </c>
      <c r="V73" s="62">
        <f t="shared" si="22"/>
        <v>85.351598173515995</v>
      </c>
      <c r="W73" s="62"/>
      <c r="X73" s="61">
        <f t="shared" si="23"/>
        <v>0.75</v>
      </c>
      <c r="Y73" s="53">
        <f t="shared" si="24"/>
        <v>52.494299999999996</v>
      </c>
      <c r="Z73" s="62">
        <f t="shared" si="25"/>
        <v>99.839801095890408</v>
      </c>
      <c r="AA73" s="62">
        <f t="shared" si="26"/>
        <v>128.63899671232878</v>
      </c>
      <c r="AB73" s="62">
        <f t="shared" si="27"/>
        <v>142.91243470319637</v>
      </c>
      <c r="AC73" s="62">
        <f t="shared" si="28"/>
        <v>138.41032913242009</v>
      </c>
      <c r="AD73" s="62">
        <f t="shared" si="29"/>
        <v>135.51520529680366</v>
      </c>
    </row>
    <row r="74" spans="15:30" x14ac:dyDescent="0.3">
      <c r="O74" s="61">
        <v>0.76</v>
      </c>
      <c r="P74" s="61">
        <f t="shared" si="17"/>
        <v>1.1432242424242425</v>
      </c>
      <c r="Q74" s="53">
        <f t="shared" si="30"/>
        <v>391.13400000000001</v>
      </c>
      <c r="R74" s="62">
        <f t="shared" si="18"/>
        <v>62.274693583273262</v>
      </c>
      <c r="S74" s="62">
        <f t="shared" si="19"/>
        <v>80.281182408074969</v>
      </c>
      <c r="T74" s="62">
        <f t="shared" si="20"/>
        <v>89.410598413842806</v>
      </c>
      <c r="U74" s="62">
        <f t="shared" si="21"/>
        <v>86.490627253064176</v>
      </c>
      <c r="V74" s="62">
        <f t="shared" si="22"/>
        <v>84.228550829127613</v>
      </c>
      <c r="W74" s="62"/>
      <c r="X74" s="61">
        <f t="shared" si="23"/>
        <v>0.76</v>
      </c>
      <c r="Y74" s="53">
        <f t="shared" si="24"/>
        <v>53.194224000000006</v>
      </c>
      <c r="Z74" s="62">
        <f t="shared" si="25"/>
        <v>99.608366344628692</v>
      </c>
      <c r="AA74" s="62">
        <f t="shared" si="26"/>
        <v>128.33330096611391</v>
      </c>
      <c r="AB74" s="62">
        <f t="shared" si="27"/>
        <v>142.56612372025958</v>
      </c>
      <c r="AC74" s="62">
        <f t="shared" si="28"/>
        <v>138.0781974333093</v>
      </c>
      <c r="AD74" s="62">
        <f t="shared" si="29"/>
        <v>135.20362154289833</v>
      </c>
    </row>
    <row r="75" spans="15:30" x14ac:dyDescent="0.3">
      <c r="O75" s="61">
        <v>0.77</v>
      </c>
      <c r="P75" s="61">
        <f t="shared" si="17"/>
        <v>1.1582666666666668</v>
      </c>
      <c r="Q75" s="53">
        <f t="shared" si="30"/>
        <v>396.28050000000002</v>
      </c>
      <c r="R75" s="62">
        <f t="shared" si="18"/>
        <v>61.465931328945032</v>
      </c>
      <c r="S75" s="62">
        <f t="shared" si="19"/>
        <v>79.238569649528543</v>
      </c>
      <c r="T75" s="62">
        <f t="shared" si="20"/>
        <v>88.249421811065631</v>
      </c>
      <c r="U75" s="62">
        <f t="shared" si="21"/>
        <v>85.36737235367373</v>
      </c>
      <c r="V75" s="62">
        <f t="shared" si="22"/>
        <v>83.134673545632452</v>
      </c>
      <c r="W75" s="62"/>
      <c r="X75" s="61">
        <f t="shared" si="23"/>
        <v>0.77</v>
      </c>
      <c r="Y75" s="53">
        <f t="shared" si="24"/>
        <v>53.894148000000008</v>
      </c>
      <c r="Z75" s="62">
        <f t="shared" si="25"/>
        <v>99.382942885607548</v>
      </c>
      <c r="AA75" s="62">
        <f t="shared" si="26"/>
        <v>128.03554536915141</v>
      </c>
      <c r="AB75" s="62">
        <f t="shared" si="27"/>
        <v>142.22880782778867</v>
      </c>
      <c r="AC75" s="62">
        <f t="shared" si="28"/>
        <v>137.754692531578</v>
      </c>
      <c r="AD75" s="62">
        <f t="shared" si="29"/>
        <v>134.90013087351005</v>
      </c>
    </row>
    <row r="76" spans="15:30" x14ac:dyDescent="0.3">
      <c r="O76" s="61">
        <v>0.78</v>
      </c>
      <c r="P76" s="61">
        <f t="shared" si="17"/>
        <v>1.1733090909090911</v>
      </c>
      <c r="Q76" s="53">
        <f t="shared" si="30"/>
        <v>401.42700000000002</v>
      </c>
      <c r="R76" s="62">
        <f t="shared" si="18"/>
        <v>60.677906568317532</v>
      </c>
      <c r="S76" s="62">
        <f t="shared" si="19"/>
        <v>78.22269055145766</v>
      </c>
      <c r="T76" s="62">
        <f t="shared" si="20"/>
        <v>87.118018967334024</v>
      </c>
      <c r="U76" s="62">
        <f t="shared" si="21"/>
        <v>84.272918861959965</v>
      </c>
      <c r="V76" s="62">
        <f t="shared" si="22"/>
        <v>82.068844397611514</v>
      </c>
      <c r="W76" s="62"/>
      <c r="X76" s="61">
        <f t="shared" si="23"/>
        <v>0.78</v>
      </c>
      <c r="Y76" s="53">
        <f t="shared" si="24"/>
        <v>54.594072000000004</v>
      </c>
      <c r="Z76" s="62">
        <f t="shared" si="25"/>
        <v>99.163299515279235</v>
      </c>
      <c r="AA76" s="62">
        <f t="shared" si="26"/>
        <v>127.74542453108535</v>
      </c>
      <c r="AB76" s="62">
        <f t="shared" si="27"/>
        <v>141.90014106076575</v>
      </c>
      <c r="AC76" s="62">
        <f t="shared" si="28"/>
        <v>137.43948262732701</v>
      </c>
      <c r="AD76" s="62">
        <f t="shared" si="29"/>
        <v>134.60442201615737</v>
      </c>
    </row>
    <row r="77" spans="15:30" x14ac:dyDescent="0.3">
      <c r="O77" s="61">
        <v>0.79</v>
      </c>
      <c r="P77" s="61">
        <f t="shared" si="17"/>
        <v>1.1883515151515154</v>
      </c>
      <c r="Q77" s="53">
        <f t="shared" si="30"/>
        <v>406.57350000000002</v>
      </c>
      <c r="R77" s="62">
        <f t="shared" si="18"/>
        <v>59.90983180162997</v>
      </c>
      <c r="S77" s="62">
        <f t="shared" si="19"/>
        <v>77.232529911565791</v>
      </c>
      <c r="T77" s="62">
        <f t="shared" si="20"/>
        <v>86.015259233570291</v>
      </c>
      <c r="U77" s="62">
        <f t="shared" si="21"/>
        <v>83.206173053580727</v>
      </c>
      <c r="V77" s="62">
        <f t="shared" si="22"/>
        <v>81.029998265996184</v>
      </c>
      <c r="W77" s="62"/>
      <c r="X77" s="61">
        <f t="shared" si="23"/>
        <v>0.79</v>
      </c>
      <c r="Y77" s="53">
        <f t="shared" si="24"/>
        <v>55.293996000000007</v>
      </c>
      <c r="Z77" s="62">
        <f t="shared" si="25"/>
        <v>98.949216736604825</v>
      </c>
      <c r="AA77" s="62">
        <f t="shared" si="26"/>
        <v>127.46264852436276</v>
      </c>
      <c r="AB77" s="62">
        <f t="shared" si="27"/>
        <v>141.57979497138896</v>
      </c>
      <c r="AC77" s="62">
        <f t="shared" si="28"/>
        <v>137.13225272065199</v>
      </c>
      <c r="AD77" s="62">
        <f t="shared" si="29"/>
        <v>134.31619945899081</v>
      </c>
    </row>
    <row r="78" spans="15:30" x14ac:dyDescent="0.3">
      <c r="O78" s="61">
        <v>0.8</v>
      </c>
      <c r="P78" s="61">
        <f t="shared" si="17"/>
        <v>1.2033939393939397</v>
      </c>
      <c r="Q78" s="53">
        <f t="shared" si="30"/>
        <v>411.72</v>
      </c>
      <c r="R78" s="62">
        <f t="shared" si="18"/>
        <v>59.160958904109592</v>
      </c>
      <c r="S78" s="62">
        <f t="shared" si="19"/>
        <v>76.267123287671225</v>
      </c>
      <c r="T78" s="62">
        <f t="shared" si="20"/>
        <v>84.940068493150662</v>
      </c>
      <c r="U78" s="62">
        <f t="shared" si="21"/>
        <v>82.166095890410958</v>
      </c>
      <c r="V78" s="62">
        <f t="shared" si="22"/>
        <v>80.017123287671225</v>
      </c>
      <c r="W78" s="62"/>
      <c r="X78" s="61">
        <f t="shared" si="23"/>
        <v>0.8</v>
      </c>
      <c r="Y78" s="53">
        <f t="shared" si="24"/>
        <v>55.99392000000001</v>
      </c>
      <c r="Z78" s="62">
        <f t="shared" si="25"/>
        <v>98.740486027397267</v>
      </c>
      <c r="AA78" s="62">
        <f t="shared" si="26"/>
        <v>127.18694191780823</v>
      </c>
      <c r="AB78" s="62">
        <f t="shared" si="27"/>
        <v>141.26745753424657</v>
      </c>
      <c r="AC78" s="62">
        <f t="shared" si="28"/>
        <v>136.83270356164385</v>
      </c>
      <c r="AD78" s="62">
        <f t="shared" si="29"/>
        <v>134.03518246575345</v>
      </c>
    </row>
    <row r="79" spans="15:30" x14ac:dyDescent="0.3">
      <c r="O79" s="61">
        <v>0.81</v>
      </c>
      <c r="P79" s="61">
        <f t="shared" si="17"/>
        <v>1.2184363636363638</v>
      </c>
      <c r="Q79" s="53">
        <f t="shared" si="30"/>
        <v>416.86650000000003</v>
      </c>
      <c r="R79" s="62">
        <f t="shared" si="18"/>
        <v>58.430576695416882</v>
      </c>
      <c r="S79" s="62">
        <f t="shared" si="19"/>
        <v>75.32555386436664</v>
      </c>
      <c r="T79" s="62">
        <f t="shared" si="20"/>
        <v>83.891425672247564</v>
      </c>
      <c r="U79" s="62">
        <f t="shared" si="21"/>
        <v>81.151699644850325</v>
      </c>
      <c r="V79" s="62">
        <f t="shared" si="22"/>
        <v>79.029257568070349</v>
      </c>
      <c r="W79" s="62"/>
      <c r="X79" s="61">
        <f t="shared" si="23"/>
        <v>0.81</v>
      </c>
      <c r="Y79" s="53">
        <f t="shared" si="24"/>
        <v>56.693844000000006</v>
      </c>
      <c r="Z79" s="62">
        <f t="shared" si="25"/>
        <v>98.536909162861491</v>
      </c>
      <c r="AA79" s="62">
        <f t="shared" si="26"/>
        <v>126.91804288178591</v>
      </c>
      <c r="AB79" s="62">
        <f t="shared" si="27"/>
        <v>140.96283213258923</v>
      </c>
      <c r="AC79" s="62">
        <f t="shared" si="28"/>
        <v>136.54055067816674</v>
      </c>
      <c r="AD79" s="62">
        <f t="shared" si="29"/>
        <v>133.76110416370707</v>
      </c>
    </row>
    <row r="80" spans="15:30" x14ac:dyDescent="0.3">
      <c r="O80" s="61">
        <v>0.82</v>
      </c>
      <c r="P80" s="61">
        <f t="shared" si="17"/>
        <v>1.2334787878787881</v>
      </c>
      <c r="Q80" s="53">
        <f t="shared" si="30"/>
        <v>422.01299999999998</v>
      </c>
      <c r="R80" s="62">
        <f t="shared" si="18"/>
        <v>57.718008686936194</v>
      </c>
      <c r="S80" s="62">
        <f t="shared" si="19"/>
        <v>74.406949548947537</v>
      </c>
      <c r="T80" s="62">
        <f t="shared" si="20"/>
        <v>82.868359505512856</v>
      </c>
      <c r="U80" s="62">
        <f t="shared" si="21"/>
        <v>80.162044771132656</v>
      </c>
      <c r="V80" s="62">
        <f t="shared" si="22"/>
        <v>78.065486134313403</v>
      </c>
      <c r="W80" s="62"/>
      <c r="X80" s="61">
        <f t="shared" si="23"/>
        <v>0.82</v>
      </c>
      <c r="Y80" s="53">
        <f t="shared" si="24"/>
        <v>57.393768000000001</v>
      </c>
      <c r="Z80" s="62">
        <f t="shared" si="25"/>
        <v>98.338297587704645</v>
      </c>
      <c r="AA80" s="62">
        <f t="shared" si="26"/>
        <v>126.6557023588373</v>
      </c>
      <c r="AB80" s="62">
        <f t="shared" si="27"/>
        <v>140.66563661877717</v>
      </c>
      <c r="AC80" s="62">
        <f t="shared" si="28"/>
        <v>136.25552347477449</v>
      </c>
      <c r="AD80" s="62">
        <f t="shared" si="29"/>
        <v>133.49371069829604</v>
      </c>
    </row>
    <row r="81" spans="15:30" x14ac:dyDescent="0.3">
      <c r="O81" s="61">
        <v>0.83</v>
      </c>
      <c r="P81" s="61">
        <f t="shared" si="17"/>
        <v>1.2485212121212121</v>
      </c>
      <c r="Q81" s="53">
        <f t="shared" si="30"/>
        <v>427.15949999999998</v>
      </c>
      <c r="R81" s="62">
        <f t="shared" si="18"/>
        <v>57.02261099191287</v>
      </c>
      <c r="S81" s="62">
        <f t="shared" si="19"/>
        <v>73.510480277273473</v>
      </c>
      <c r="T81" s="62">
        <f t="shared" si="20"/>
        <v>81.869945535566913</v>
      </c>
      <c r="U81" s="62">
        <f t="shared" si="21"/>
        <v>79.196237002805759</v>
      </c>
      <c r="V81" s="62">
        <f t="shared" si="22"/>
        <v>77.124938108598784</v>
      </c>
      <c r="W81" s="62"/>
      <c r="X81" s="61">
        <f t="shared" si="23"/>
        <v>0.83</v>
      </c>
      <c r="Y81" s="53">
        <f t="shared" si="24"/>
        <v>58.093692000000004</v>
      </c>
      <c r="Z81" s="62">
        <f t="shared" si="25"/>
        <v>98.144471833635933</v>
      </c>
      <c r="AA81" s="62">
        <f t="shared" si="26"/>
        <v>126.399683294273</v>
      </c>
      <c r="AB81" s="62">
        <f t="shared" si="27"/>
        <v>140.37560244264731</v>
      </c>
      <c r="AC81" s="62">
        <f t="shared" si="28"/>
        <v>135.97736439676515</v>
      </c>
      <c r="AD81" s="62">
        <f t="shared" si="29"/>
        <v>133.23276044891898</v>
      </c>
    </row>
    <row r="82" spans="15:30" x14ac:dyDescent="0.3">
      <c r="O82" s="61">
        <v>0.84</v>
      </c>
      <c r="P82" s="61">
        <f t="shared" si="17"/>
        <v>1.2635636363636364</v>
      </c>
      <c r="Q82" s="53">
        <f t="shared" si="30"/>
        <v>432.30599999999998</v>
      </c>
      <c r="R82" s="62">
        <f t="shared" si="18"/>
        <v>56.343770384866289</v>
      </c>
      <c r="S82" s="62">
        <f t="shared" si="19"/>
        <v>72.635355512067832</v>
      </c>
      <c r="T82" s="62">
        <f t="shared" si="20"/>
        <v>80.895303326810165</v>
      </c>
      <c r="U82" s="62">
        <f t="shared" si="21"/>
        <v>78.253424657534254</v>
      </c>
      <c r="V82" s="62">
        <f t="shared" si="22"/>
        <v>76.206784083496416</v>
      </c>
      <c r="W82" s="62"/>
      <c r="X82" s="61">
        <f t="shared" si="23"/>
        <v>0.84</v>
      </c>
      <c r="Y82" s="53">
        <f t="shared" si="24"/>
        <v>58.793616</v>
      </c>
      <c r="Z82" s="62">
        <f t="shared" si="25"/>
        <v>97.955260978473589</v>
      </c>
      <c r="AA82" s="62">
        <f t="shared" si="26"/>
        <v>126.14975992172212</v>
      </c>
      <c r="AB82" s="62">
        <f t="shared" si="27"/>
        <v>140.09247384213961</v>
      </c>
      <c r="AC82" s="62">
        <f t="shared" si="28"/>
        <v>135.7058281539465</v>
      </c>
      <c r="AD82" s="62">
        <f t="shared" si="29"/>
        <v>132.97802330071755</v>
      </c>
    </row>
    <row r="83" spans="15:30" x14ac:dyDescent="0.3">
      <c r="O83" s="61">
        <v>0.85</v>
      </c>
      <c r="P83" s="61">
        <f t="shared" si="17"/>
        <v>1.2786060606060605</v>
      </c>
      <c r="Q83" s="53">
        <f t="shared" si="30"/>
        <v>437.45249999999999</v>
      </c>
      <c r="R83" s="62">
        <f t="shared" si="18"/>
        <v>55.680902497985507</v>
      </c>
      <c r="S83" s="62">
        <f t="shared" si="19"/>
        <v>71.780821917808211</v>
      </c>
      <c r="T83" s="62">
        <f t="shared" si="20"/>
        <v>79.943593875906515</v>
      </c>
      <c r="U83" s="62">
        <f t="shared" si="21"/>
        <v>77.332796132151501</v>
      </c>
      <c r="V83" s="62">
        <f t="shared" si="22"/>
        <v>75.310233682514109</v>
      </c>
      <c r="W83" s="62"/>
      <c r="X83" s="61">
        <f t="shared" si="23"/>
        <v>0.85</v>
      </c>
      <c r="Y83" s="61">
        <f t="shared" si="24"/>
        <v>59.493540000000003</v>
      </c>
      <c r="Z83" s="62">
        <f t="shared" si="25"/>
        <v>97.770502143432722</v>
      </c>
      <c r="AA83" s="62">
        <f t="shared" si="26"/>
        <v>125.90571709911363</v>
      </c>
      <c r="AB83" s="62">
        <f t="shared" si="27"/>
        <v>139.81600709105564</v>
      </c>
      <c r="AC83" s="62">
        <f t="shared" si="28"/>
        <v>135.4406809991942</v>
      </c>
      <c r="AD83" s="62">
        <f t="shared" si="29"/>
        <v>132.72927996776792</v>
      </c>
    </row>
    <row r="84" spans="15:30" x14ac:dyDescent="0.3">
      <c r="O84" s="61">
        <v>0.86</v>
      </c>
      <c r="P84" s="61">
        <f t="shared" si="17"/>
        <v>1.293648484848485</v>
      </c>
      <c r="Q84" s="53">
        <f t="shared" si="30"/>
        <v>442.59899999999999</v>
      </c>
      <c r="R84" s="62">
        <f t="shared" si="18"/>
        <v>55.033450143357769</v>
      </c>
      <c r="S84" s="62">
        <f t="shared" si="19"/>
        <v>70.946161197833703</v>
      </c>
      <c r="T84" s="62">
        <f t="shared" si="20"/>
        <v>79.014017202930859</v>
      </c>
      <c r="U84" s="62">
        <f t="shared" si="21"/>
        <v>76.433577572475315</v>
      </c>
      <c r="V84" s="62">
        <f t="shared" si="22"/>
        <v>74.434533290856962</v>
      </c>
      <c r="W84" s="62"/>
      <c r="X84" s="61">
        <f t="shared" si="23"/>
        <v>0.86</v>
      </c>
      <c r="Y84" s="53">
        <f t="shared" si="24"/>
        <v>60.193464000000006</v>
      </c>
      <c r="Z84" s="62">
        <f t="shared" si="25"/>
        <v>97.590040025485834</v>
      </c>
      <c r="AA84" s="62">
        <f t="shared" si="26"/>
        <v>125.66734969098441</v>
      </c>
      <c r="AB84" s="62">
        <f t="shared" si="27"/>
        <v>139.54596979929917</v>
      </c>
      <c r="AC84" s="62">
        <f t="shared" si="28"/>
        <v>135.18170005734311</v>
      </c>
      <c r="AD84" s="62">
        <f t="shared" si="29"/>
        <v>132.48632136349156</v>
      </c>
    </row>
    <row r="85" spans="15:30" x14ac:dyDescent="0.3">
      <c r="O85" s="61">
        <v>0.87</v>
      </c>
      <c r="P85" s="61">
        <f t="shared" si="17"/>
        <v>1.3086909090909091</v>
      </c>
      <c r="Q85" s="53">
        <f t="shared" si="30"/>
        <v>447.74549999999999</v>
      </c>
      <c r="R85" s="62">
        <f t="shared" si="18"/>
        <v>54.400881750905377</v>
      </c>
      <c r="S85" s="62">
        <f t="shared" si="19"/>
        <v>70.130688080617219</v>
      </c>
      <c r="T85" s="62">
        <f t="shared" si="20"/>
        <v>78.105810108644292</v>
      </c>
      <c r="U85" s="62">
        <f t="shared" si="21"/>
        <v>75.555030703826176</v>
      </c>
      <c r="V85" s="62">
        <f t="shared" si="22"/>
        <v>73.578963942686201</v>
      </c>
      <c r="W85" s="62"/>
      <c r="X85" s="61">
        <f t="shared" si="23"/>
        <v>0.87</v>
      </c>
      <c r="Y85" s="53">
        <f t="shared" si="24"/>
        <v>60.893388000000002</v>
      </c>
      <c r="Z85" s="62">
        <f t="shared" si="25"/>
        <v>97.413726461974491</v>
      </c>
      <c r="AA85" s="62">
        <f t="shared" si="26"/>
        <v>125.43446199338688</v>
      </c>
      <c r="AB85" s="62">
        <f t="shared" si="27"/>
        <v>139.28214026137618</v>
      </c>
      <c r="AC85" s="62">
        <f t="shared" si="28"/>
        <v>134.92867270036214</v>
      </c>
      <c r="AD85" s="62">
        <f t="shared" si="29"/>
        <v>132.24894801448593</v>
      </c>
    </row>
    <row r="86" spans="15:30" x14ac:dyDescent="0.3">
      <c r="O86" s="61">
        <v>0.88</v>
      </c>
      <c r="P86" s="61">
        <f t="shared" si="17"/>
        <v>1.3237333333333334</v>
      </c>
      <c r="Q86" s="53">
        <f t="shared" si="30"/>
        <v>452.892</v>
      </c>
      <c r="R86" s="62">
        <f t="shared" si="18"/>
        <v>53.78268991282691</v>
      </c>
      <c r="S86" s="62">
        <f t="shared" si="19"/>
        <v>69.333748443337484</v>
      </c>
      <c r="T86" s="62">
        <f t="shared" si="20"/>
        <v>77.218244084682425</v>
      </c>
      <c r="U86" s="62">
        <f t="shared" si="21"/>
        <v>74.696450809464508</v>
      </c>
      <c r="V86" s="62">
        <f t="shared" si="22"/>
        <v>72.74283935242839</v>
      </c>
      <c r="W86" s="62"/>
      <c r="X86" s="61">
        <f t="shared" si="23"/>
        <v>0.88</v>
      </c>
      <c r="Y86" s="53">
        <f t="shared" si="24"/>
        <v>61.593312000000005</v>
      </c>
      <c r="Z86" s="62">
        <f t="shared" si="25"/>
        <v>97.241420024906603</v>
      </c>
      <c r="AA86" s="62">
        <f t="shared" si="26"/>
        <v>125.20686719800749</v>
      </c>
      <c r="AB86" s="62">
        <f t="shared" si="27"/>
        <v>139.02430684931508</v>
      </c>
      <c r="AC86" s="62">
        <f t="shared" si="28"/>
        <v>134.68139596513078</v>
      </c>
      <c r="AD86" s="62">
        <f t="shared" si="29"/>
        <v>132.01696951432129</v>
      </c>
    </row>
    <row r="87" spans="15:30" x14ac:dyDescent="0.3">
      <c r="O87" s="61">
        <v>0.89</v>
      </c>
      <c r="P87" s="61">
        <f t="shared" si="17"/>
        <v>1.3387757575757577</v>
      </c>
      <c r="Q87" s="53">
        <f t="shared" si="30"/>
        <v>458.0385</v>
      </c>
      <c r="R87" s="62">
        <f t="shared" si="18"/>
        <v>53.178390026165928</v>
      </c>
      <c r="S87" s="62">
        <f t="shared" si="19"/>
        <v>68.554717561951662</v>
      </c>
      <c r="T87" s="62">
        <f t="shared" si="20"/>
        <v>76.350623364629811</v>
      </c>
      <c r="U87" s="62">
        <f t="shared" si="21"/>
        <v>73.857164845313221</v>
      </c>
      <c r="V87" s="62">
        <f t="shared" si="22"/>
        <v>71.925504078805602</v>
      </c>
      <c r="W87" s="62"/>
      <c r="X87" s="61">
        <f t="shared" si="23"/>
        <v>0.89</v>
      </c>
      <c r="Y87" s="53">
        <f t="shared" si="24"/>
        <v>62.293236000000007</v>
      </c>
      <c r="Z87" s="62">
        <f t="shared" si="25"/>
        <v>97.072985642604294</v>
      </c>
      <c r="AA87" s="62">
        <f t="shared" si="26"/>
        <v>124.98438689241191</v>
      </c>
      <c r="AB87" s="62">
        <f t="shared" si="27"/>
        <v>138.77226744651378</v>
      </c>
      <c r="AC87" s="62">
        <f t="shared" si="28"/>
        <v>134.43967601046637</v>
      </c>
      <c r="AD87" s="62">
        <f t="shared" si="29"/>
        <v>131.79020401416037</v>
      </c>
    </row>
    <row r="88" spans="15:30" x14ac:dyDescent="0.3">
      <c r="O88" s="61">
        <v>0.9</v>
      </c>
      <c r="P88" s="61">
        <f t="shared" si="17"/>
        <v>1.3538181818181818</v>
      </c>
      <c r="Q88" s="53">
        <f t="shared" si="30"/>
        <v>463.185</v>
      </c>
      <c r="R88" s="62">
        <f t="shared" si="18"/>
        <v>52.587519025875196</v>
      </c>
      <c r="S88" s="62">
        <f t="shared" si="19"/>
        <v>67.792998477929984</v>
      </c>
      <c r="T88" s="62">
        <f t="shared" si="20"/>
        <v>75.502283105022812</v>
      </c>
      <c r="U88" s="62">
        <f t="shared" si="21"/>
        <v>73.036529680365305</v>
      </c>
      <c r="V88" s="62">
        <f t="shared" si="22"/>
        <v>71.126331811263327</v>
      </c>
      <c r="W88" s="62"/>
      <c r="X88" s="61">
        <f t="shared" si="23"/>
        <v>0.9</v>
      </c>
      <c r="Y88" s="53">
        <f t="shared" si="24"/>
        <v>62.993160000000003</v>
      </c>
      <c r="Z88" s="62">
        <f t="shared" si="25"/>
        <v>96.908294246575352</v>
      </c>
      <c r="AA88" s="62">
        <f t="shared" si="26"/>
        <v>124.76685059360732</v>
      </c>
      <c r="AB88" s="62">
        <f t="shared" si="27"/>
        <v>138.52582891933031</v>
      </c>
      <c r="AC88" s="62">
        <f t="shared" si="28"/>
        <v>134.20332761035007</v>
      </c>
      <c r="AD88" s="62">
        <f t="shared" si="29"/>
        <v>131.56847774733637</v>
      </c>
    </row>
    <row r="89" spans="15:30" x14ac:dyDescent="0.3">
      <c r="O89" s="61">
        <v>0.91</v>
      </c>
      <c r="P89" s="61">
        <f t="shared" si="17"/>
        <v>1.3688606060606061</v>
      </c>
      <c r="Q89" s="53">
        <f t="shared" si="30"/>
        <v>468.33150000000001</v>
      </c>
      <c r="R89" s="62">
        <f t="shared" si="18"/>
        <v>52.009634201415032</v>
      </c>
      <c r="S89" s="62">
        <f t="shared" si="19"/>
        <v>67.048020472678004</v>
      </c>
      <c r="T89" s="62">
        <f t="shared" si="20"/>
        <v>74.672587686286306</v>
      </c>
      <c r="U89" s="62">
        <f t="shared" si="21"/>
        <v>72.233930453108542</v>
      </c>
      <c r="V89" s="62">
        <f t="shared" si="22"/>
        <v>70.344723769381304</v>
      </c>
      <c r="W89" s="62"/>
      <c r="X89" s="61">
        <f t="shared" si="23"/>
        <v>0.91</v>
      </c>
      <c r="Y89" s="53">
        <f t="shared" si="24"/>
        <v>63.693084000000006</v>
      </c>
      <c r="Z89" s="62">
        <f t="shared" si="25"/>
        <v>96.747222441667915</v>
      </c>
      <c r="AA89" s="62">
        <f t="shared" si="26"/>
        <v>124.55409531235888</v>
      </c>
      <c r="AB89" s="62">
        <f t="shared" si="27"/>
        <v>138.28480662351348</v>
      </c>
      <c r="AC89" s="62">
        <f t="shared" si="28"/>
        <v>133.97217368056602</v>
      </c>
      <c r="AD89" s="62">
        <f t="shared" si="29"/>
        <v>131.35162458527773</v>
      </c>
    </row>
    <row r="90" spans="15:30" x14ac:dyDescent="0.3">
      <c r="O90" s="61"/>
      <c r="P90" s="61"/>
      <c r="Q90" s="53"/>
      <c r="R90" s="62"/>
      <c r="S90" s="62"/>
      <c r="T90" s="62"/>
      <c r="U90" s="62"/>
      <c r="V90" s="62"/>
      <c r="W90" s="62"/>
      <c r="X90" s="61"/>
      <c r="Y90" s="53"/>
      <c r="Z90" s="62"/>
      <c r="AA90" s="62"/>
      <c r="AB90" s="62"/>
      <c r="AC90" s="62"/>
      <c r="AD90" s="62"/>
    </row>
    <row r="91" spans="15:30" x14ac:dyDescent="0.3">
      <c r="O91" s="61"/>
      <c r="P91" s="61"/>
      <c r="Q91" s="53"/>
      <c r="R91" s="62"/>
      <c r="S91" s="62"/>
      <c r="T91" s="62"/>
      <c r="U91" s="62"/>
      <c r="V91" s="62"/>
      <c r="W91" s="62"/>
      <c r="X91" s="61"/>
      <c r="Y91" s="53"/>
      <c r="Z91" s="62"/>
      <c r="AA91" s="62"/>
      <c r="AB91" s="62"/>
      <c r="AC91" s="62"/>
      <c r="AD91" s="62"/>
    </row>
    <row r="92" spans="15:30" x14ac:dyDescent="0.3">
      <c r="O92" s="61"/>
      <c r="P92" s="61"/>
      <c r="Q92" s="53"/>
      <c r="R92" s="62"/>
      <c r="S92" s="62"/>
      <c r="T92" s="62"/>
      <c r="U92" s="62"/>
      <c r="V92" s="62"/>
      <c r="W92" s="62"/>
      <c r="X92" s="61"/>
      <c r="Y92" s="53"/>
      <c r="Z92" s="62"/>
      <c r="AA92" s="62"/>
      <c r="AB92" s="62"/>
      <c r="AC92" s="62"/>
      <c r="AD92" s="62"/>
    </row>
    <row r="93" spans="15:30" x14ac:dyDescent="0.3">
      <c r="O93" s="61"/>
      <c r="P93" s="61"/>
      <c r="Q93" s="53"/>
      <c r="R93" s="62"/>
      <c r="S93" s="62"/>
      <c r="T93" s="62"/>
      <c r="U93" s="62"/>
      <c r="V93" s="62"/>
      <c r="W93" s="62"/>
      <c r="X93" s="61"/>
      <c r="Y93" s="53"/>
      <c r="Z93" s="62"/>
      <c r="AA93" s="62"/>
      <c r="AB93" s="62"/>
      <c r="AC93" s="62"/>
      <c r="AD93" s="62"/>
    </row>
    <row r="94" spans="15:30" x14ac:dyDescent="0.3">
      <c r="O94" s="61"/>
      <c r="P94" s="61"/>
      <c r="Q94" s="53"/>
      <c r="R94" s="62"/>
      <c r="S94" s="62"/>
      <c r="T94" s="62"/>
      <c r="U94" s="62"/>
      <c r="V94" s="62"/>
      <c r="W94" s="62"/>
      <c r="X94" s="61"/>
      <c r="Y94" s="53"/>
      <c r="Z94" s="62"/>
      <c r="AA94" s="62"/>
      <c r="AB94" s="62"/>
      <c r="AC94" s="62"/>
      <c r="AD94" s="62"/>
    </row>
    <row r="95" spans="15:30" x14ac:dyDescent="0.3">
      <c r="O95" s="61"/>
      <c r="P95" s="61"/>
      <c r="Q95" s="53"/>
      <c r="R95" s="62"/>
      <c r="S95" s="62"/>
      <c r="T95" s="62"/>
      <c r="U95" s="62"/>
      <c r="V95" s="62"/>
      <c r="W95" s="62"/>
      <c r="X95" s="61"/>
      <c r="Y95" s="53"/>
      <c r="Z95" s="62"/>
      <c r="AA95" s="62"/>
      <c r="AB95" s="62"/>
      <c r="AC95" s="62"/>
      <c r="AD95" s="62"/>
    </row>
    <row r="96" spans="15:30" x14ac:dyDescent="0.3">
      <c r="O96" s="61"/>
      <c r="P96" s="61"/>
      <c r="Q96" s="53"/>
      <c r="R96" s="62"/>
      <c r="S96" s="62"/>
      <c r="T96" s="62"/>
      <c r="U96" s="62"/>
      <c r="V96" s="62"/>
      <c r="W96" s="62"/>
      <c r="X96" s="61"/>
      <c r="Y96" s="53"/>
      <c r="Z96" s="62"/>
      <c r="AA96" s="62"/>
      <c r="AB96" s="62"/>
      <c r="AC96" s="62"/>
      <c r="AD96" s="62"/>
    </row>
    <row r="97" spans="15:30" x14ac:dyDescent="0.3">
      <c r="O97" s="61"/>
      <c r="P97" s="61"/>
      <c r="Q97" s="53"/>
      <c r="R97" s="62"/>
      <c r="S97" s="62"/>
      <c r="T97" s="62"/>
      <c r="U97" s="62"/>
      <c r="V97" s="62"/>
      <c r="W97" s="62"/>
      <c r="X97" s="61"/>
      <c r="Y97" s="53"/>
      <c r="Z97" s="62"/>
      <c r="AA97" s="62"/>
      <c r="AB97" s="62"/>
      <c r="AC97" s="62"/>
      <c r="AD97" s="62"/>
    </row>
    <row r="98" spans="15:30" x14ac:dyDescent="0.3">
      <c r="O98" s="61"/>
      <c r="P98" s="61"/>
      <c r="Q98" s="53"/>
      <c r="R98" s="62"/>
      <c r="S98" s="62"/>
      <c r="T98" s="62"/>
      <c r="U98" s="62"/>
      <c r="V98" s="62"/>
      <c r="W98" s="62"/>
      <c r="X98" s="61"/>
      <c r="Y98" s="53"/>
      <c r="Z98" s="62"/>
      <c r="AA98" s="62"/>
      <c r="AB98" s="62"/>
      <c r="AC98" s="62"/>
      <c r="AD98" s="62"/>
    </row>
    <row r="99" spans="15:30" x14ac:dyDescent="0.3">
      <c r="O99" s="61"/>
      <c r="P99" s="61"/>
      <c r="Q99" s="53"/>
      <c r="R99" s="62"/>
      <c r="S99" s="62"/>
      <c r="T99" s="62"/>
      <c r="U99" s="62"/>
      <c r="V99" s="62"/>
      <c r="W99" s="62"/>
      <c r="X99" s="61"/>
      <c r="Y99" s="53"/>
      <c r="Z99" s="62"/>
      <c r="AA99" s="62"/>
      <c r="AB99" s="62"/>
      <c r="AC99" s="62"/>
      <c r="AD99" s="62"/>
    </row>
    <row r="100" spans="15:30" x14ac:dyDescent="0.3">
      <c r="O100" s="61"/>
      <c r="P100" s="61"/>
      <c r="Q100" s="53"/>
      <c r="R100" s="62"/>
      <c r="S100" s="62"/>
      <c r="T100" s="62"/>
      <c r="U100" s="62"/>
      <c r="V100" s="62"/>
      <c r="W100" s="62"/>
      <c r="X100" s="61"/>
      <c r="Y100" s="53"/>
      <c r="Z100" s="62"/>
      <c r="AA100" s="62"/>
      <c r="AB100" s="62"/>
      <c r="AC100" s="62"/>
      <c r="AD100" s="62"/>
    </row>
    <row r="101" spans="15:30" x14ac:dyDescent="0.3">
      <c r="O101" s="61"/>
      <c r="P101" s="61"/>
      <c r="Q101" s="53"/>
      <c r="R101" s="62"/>
      <c r="S101" s="62"/>
      <c r="T101" s="62"/>
      <c r="U101" s="62"/>
      <c r="V101" s="62"/>
      <c r="W101" s="62"/>
      <c r="X101" s="61"/>
      <c r="Y101" s="53"/>
      <c r="Z101" s="62"/>
      <c r="AA101" s="62"/>
      <c r="AB101" s="62"/>
      <c r="AC101" s="62"/>
      <c r="AD101" s="62"/>
    </row>
    <row r="102" spans="15:30" x14ac:dyDescent="0.3">
      <c r="O102" s="61"/>
      <c r="P102" s="61"/>
      <c r="Q102" s="53"/>
      <c r="R102" s="62"/>
      <c r="S102" s="62"/>
      <c r="T102" s="62"/>
      <c r="U102" s="62"/>
      <c r="V102" s="62"/>
      <c r="W102" s="62"/>
      <c r="X102" s="61"/>
      <c r="Y102" s="53"/>
      <c r="Z102" s="62"/>
      <c r="AA102" s="62"/>
      <c r="AB102" s="62"/>
      <c r="AC102" s="62"/>
      <c r="AD102" s="62"/>
    </row>
    <row r="103" spans="15:30" x14ac:dyDescent="0.3">
      <c r="O103" s="61"/>
      <c r="P103" s="61"/>
      <c r="Q103" s="53"/>
      <c r="R103" s="62"/>
      <c r="S103" s="62"/>
      <c r="T103" s="62"/>
      <c r="U103" s="62"/>
      <c r="V103" s="62"/>
      <c r="W103" s="62"/>
      <c r="X103" s="61"/>
      <c r="Y103" s="53"/>
      <c r="Z103" s="62"/>
      <c r="AA103" s="62"/>
      <c r="AB103" s="62"/>
      <c r="AC103" s="62"/>
      <c r="AD103" s="62"/>
    </row>
    <row r="104" spans="15:30" x14ac:dyDescent="0.3">
      <c r="O104" s="61"/>
      <c r="P104" s="61"/>
      <c r="Q104" s="53"/>
      <c r="R104" s="62"/>
      <c r="S104" s="62"/>
      <c r="T104" s="62"/>
      <c r="U104" s="62"/>
      <c r="V104" s="62"/>
      <c r="W104" s="62"/>
      <c r="X104" s="61"/>
      <c r="Y104" s="53"/>
      <c r="Z104" s="62"/>
      <c r="AA104" s="62"/>
      <c r="AB104" s="62"/>
      <c r="AC104" s="62"/>
      <c r="AD104" s="62"/>
    </row>
    <row r="105" spans="15:30" x14ac:dyDescent="0.3">
      <c r="O105" s="61"/>
      <c r="P105" s="61"/>
      <c r="Q105" s="53"/>
      <c r="R105" s="62"/>
      <c r="S105" s="62"/>
      <c r="T105" s="62"/>
      <c r="U105" s="62"/>
      <c r="V105" s="62"/>
      <c r="W105" s="62"/>
      <c r="X105" s="61"/>
      <c r="Y105" s="53"/>
      <c r="Z105" s="62"/>
      <c r="AA105" s="62"/>
      <c r="AB105" s="62"/>
      <c r="AC105" s="62"/>
      <c r="AD105" s="62"/>
    </row>
    <row r="106" spans="15:30" x14ac:dyDescent="0.3">
      <c r="O106" s="61"/>
      <c r="P106" s="61"/>
      <c r="Q106" s="53"/>
      <c r="R106" s="62"/>
      <c r="S106" s="62"/>
      <c r="T106" s="62"/>
      <c r="U106" s="62"/>
      <c r="V106" s="62"/>
      <c r="W106" s="62"/>
      <c r="X106" s="61"/>
      <c r="Y106" s="53"/>
      <c r="Z106" s="62"/>
      <c r="AA106" s="62"/>
      <c r="AB106" s="62"/>
      <c r="AC106" s="62"/>
      <c r="AD106" s="62"/>
    </row>
    <row r="107" spans="15:30" x14ac:dyDescent="0.3">
      <c r="O107" s="61"/>
      <c r="P107" s="61"/>
      <c r="Q107" s="53"/>
      <c r="R107" s="62"/>
      <c r="S107" s="62"/>
      <c r="T107" s="62"/>
      <c r="U107" s="62"/>
      <c r="V107" s="62"/>
      <c r="W107" s="62"/>
      <c r="X107" s="61"/>
      <c r="Y107" s="53"/>
      <c r="Z107" s="62"/>
      <c r="AA107" s="62"/>
      <c r="AB107" s="62"/>
      <c r="AC107" s="62"/>
      <c r="AD107" s="62"/>
    </row>
    <row r="108" spans="15:30" x14ac:dyDescent="0.3">
      <c r="O108" s="61"/>
      <c r="P108" s="61"/>
      <c r="Q108" s="53"/>
      <c r="R108" s="62"/>
      <c r="S108" s="62"/>
      <c r="T108" s="62"/>
      <c r="U108" s="62"/>
      <c r="V108" s="62"/>
      <c r="W108" s="62"/>
      <c r="X108" s="61"/>
      <c r="Y108" s="53"/>
      <c r="Z108" s="62"/>
      <c r="AA108" s="62"/>
      <c r="AB108" s="62"/>
      <c r="AC108" s="62"/>
      <c r="AD108" s="62"/>
    </row>
    <row r="109" spans="15:30" x14ac:dyDescent="0.3">
      <c r="O109" s="61"/>
      <c r="P109" s="61"/>
      <c r="Q109" s="53"/>
      <c r="R109" s="62"/>
      <c r="S109" s="62"/>
      <c r="T109" s="62"/>
      <c r="U109" s="62"/>
      <c r="V109" s="62"/>
      <c r="W109" s="62"/>
      <c r="X109" s="61"/>
      <c r="Y109" s="53"/>
      <c r="Z109" s="62"/>
      <c r="AA109" s="62"/>
      <c r="AB109" s="62"/>
      <c r="AC109" s="62"/>
      <c r="AD109" s="62"/>
    </row>
    <row r="110" spans="15:30" x14ac:dyDescent="0.3">
      <c r="O110" s="61"/>
      <c r="P110" s="61"/>
      <c r="Q110" s="53"/>
      <c r="R110" s="62"/>
      <c r="S110" s="62"/>
      <c r="T110" s="62"/>
      <c r="U110" s="62"/>
      <c r="V110" s="62"/>
      <c r="W110" s="62"/>
      <c r="X110" s="61"/>
      <c r="Y110" s="53"/>
      <c r="Z110" s="62"/>
      <c r="AA110" s="62"/>
      <c r="AB110" s="62"/>
      <c r="AC110" s="62"/>
      <c r="AD110" s="62"/>
    </row>
    <row r="111" spans="15:30" x14ac:dyDescent="0.3">
      <c r="O111" s="61"/>
      <c r="P111" s="61"/>
      <c r="Q111" s="53"/>
      <c r="R111" s="62"/>
      <c r="S111" s="62"/>
      <c r="T111" s="62"/>
      <c r="U111" s="62"/>
      <c r="V111" s="62"/>
      <c r="W111" s="62"/>
      <c r="X111" s="61"/>
      <c r="Y111" s="53"/>
      <c r="Z111" s="62"/>
      <c r="AA111" s="62"/>
      <c r="AB111" s="62"/>
      <c r="AC111" s="62"/>
      <c r="AD111" s="62"/>
    </row>
    <row r="112" spans="15:30" x14ac:dyDescent="0.3">
      <c r="O112" s="61"/>
      <c r="P112" s="61"/>
      <c r="Q112" s="53"/>
      <c r="R112" s="62"/>
      <c r="S112" s="62"/>
      <c r="T112" s="62"/>
      <c r="U112" s="62"/>
      <c r="V112" s="62"/>
      <c r="W112" s="62"/>
      <c r="X112" s="61"/>
      <c r="Y112" s="53"/>
      <c r="Z112" s="62"/>
      <c r="AA112" s="62"/>
      <c r="AB112" s="62"/>
      <c r="AC112" s="62"/>
      <c r="AD112" s="62"/>
    </row>
    <row r="113" spans="15:30" x14ac:dyDescent="0.3">
      <c r="O113" s="61"/>
      <c r="P113" s="61"/>
      <c r="Q113" s="53"/>
      <c r="R113" s="62"/>
      <c r="S113" s="62"/>
      <c r="T113" s="62"/>
      <c r="U113" s="62"/>
      <c r="V113" s="62"/>
      <c r="W113" s="62"/>
      <c r="X113" s="61"/>
      <c r="Y113" s="53"/>
      <c r="Z113" s="62"/>
      <c r="AA113" s="62"/>
      <c r="AB113" s="62"/>
      <c r="AC113" s="62"/>
      <c r="AD113" s="62"/>
    </row>
    <row r="114" spans="15:30" x14ac:dyDescent="0.3">
      <c r="O114" s="61"/>
      <c r="P114" s="61"/>
      <c r="Q114" s="53"/>
      <c r="R114" s="62"/>
      <c r="S114" s="62"/>
      <c r="T114" s="62"/>
      <c r="U114" s="62"/>
      <c r="V114" s="62"/>
      <c r="W114" s="62"/>
      <c r="X114" s="61"/>
      <c r="Y114" s="53"/>
      <c r="Z114" s="62"/>
      <c r="AA114" s="62"/>
      <c r="AB114" s="62"/>
      <c r="AC114" s="62"/>
      <c r="AD114" s="62"/>
    </row>
    <row r="115" spans="15:30" x14ac:dyDescent="0.3">
      <c r="O115" s="61"/>
      <c r="P115" s="61"/>
      <c r="Q115" s="53"/>
      <c r="R115" s="62"/>
      <c r="S115" s="62"/>
      <c r="T115" s="62"/>
      <c r="U115" s="62"/>
      <c r="V115" s="62"/>
      <c r="W115" s="62"/>
      <c r="X115" s="61"/>
      <c r="Y115" s="53"/>
      <c r="Z115" s="62"/>
      <c r="AA115" s="62"/>
      <c r="AB115" s="62"/>
      <c r="AC115" s="62"/>
      <c r="AD115" s="62"/>
    </row>
    <row r="116" spans="15:30" x14ac:dyDescent="0.3">
      <c r="O116" s="61"/>
      <c r="P116" s="61"/>
      <c r="Q116" s="53"/>
      <c r="R116" s="62"/>
      <c r="S116" s="62"/>
      <c r="T116" s="62"/>
      <c r="U116" s="62"/>
      <c r="V116" s="62"/>
      <c r="W116" s="62"/>
      <c r="X116" s="61"/>
      <c r="Y116" s="53"/>
      <c r="Z116" s="62"/>
      <c r="AA116" s="62"/>
      <c r="AB116" s="62"/>
      <c r="AC116" s="62"/>
      <c r="AD116" s="62"/>
    </row>
    <row r="117" spans="15:30" x14ac:dyDescent="0.3">
      <c r="O117" s="61"/>
      <c r="P117" s="61"/>
      <c r="Q117" s="53"/>
      <c r="R117" s="62"/>
      <c r="S117" s="62"/>
      <c r="T117" s="62"/>
      <c r="U117" s="62"/>
      <c r="V117" s="62"/>
      <c r="W117" s="62"/>
      <c r="X117" s="61"/>
      <c r="Y117" s="53"/>
      <c r="Z117" s="62"/>
      <c r="AA117" s="62"/>
      <c r="AB117" s="62"/>
      <c r="AC117" s="62"/>
      <c r="AD117" s="62"/>
    </row>
    <row r="118" spans="15:30" x14ac:dyDescent="0.3">
      <c r="O118" s="61"/>
      <c r="P118" s="61"/>
      <c r="Q118" s="53"/>
      <c r="R118" s="62"/>
      <c r="S118" s="62"/>
      <c r="T118" s="62"/>
      <c r="U118" s="62"/>
      <c r="V118" s="62"/>
      <c r="W118" s="62"/>
      <c r="X118" s="61"/>
      <c r="Y118" s="53"/>
      <c r="Z118" s="62"/>
      <c r="AA118" s="62"/>
      <c r="AB118" s="62"/>
      <c r="AC118" s="62"/>
      <c r="AD118" s="62"/>
    </row>
    <row r="119" spans="15:30" x14ac:dyDescent="0.3">
      <c r="O119" s="61"/>
      <c r="P119" s="61"/>
      <c r="Q119" s="53"/>
      <c r="R119" s="62"/>
      <c r="S119" s="62"/>
      <c r="T119" s="62"/>
      <c r="U119" s="62"/>
      <c r="V119" s="62"/>
      <c r="W119" s="62"/>
      <c r="X119" s="61"/>
      <c r="Y119" s="53"/>
      <c r="Z119" s="62"/>
      <c r="AA119" s="62"/>
      <c r="AB119" s="62"/>
      <c r="AC119" s="62"/>
      <c r="AD119" s="62"/>
    </row>
    <row r="120" spans="15:30" x14ac:dyDescent="0.3">
      <c r="O120" s="61"/>
      <c r="P120" s="61"/>
      <c r="Q120" s="53"/>
      <c r="R120" s="62"/>
      <c r="S120" s="62"/>
      <c r="T120" s="62"/>
      <c r="U120" s="62"/>
      <c r="V120" s="62"/>
      <c r="W120" s="62"/>
      <c r="X120" s="61"/>
      <c r="Y120" s="53"/>
      <c r="Z120" s="62"/>
      <c r="AA120" s="62"/>
      <c r="AB120" s="62"/>
      <c r="AC120" s="62"/>
      <c r="AD120" s="62"/>
    </row>
    <row r="121" spans="15:30" x14ac:dyDescent="0.3">
      <c r="O121" s="61"/>
      <c r="P121" s="61"/>
      <c r="Q121" s="53"/>
      <c r="R121" s="62"/>
      <c r="S121" s="62"/>
      <c r="T121" s="62"/>
      <c r="U121" s="62"/>
      <c r="V121" s="62"/>
      <c r="W121" s="62"/>
      <c r="X121" s="61"/>
      <c r="Y121" s="53"/>
      <c r="Z121" s="62"/>
      <c r="AA121" s="62"/>
      <c r="AB121" s="62"/>
      <c r="AC121" s="62"/>
      <c r="AD121" s="62"/>
    </row>
    <row r="122" spans="15:30" x14ac:dyDescent="0.3">
      <c r="O122" s="61"/>
      <c r="P122" s="61"/>
      <c r="Q122" s="53"/>
      <c r="R122" s="62"/>
      <c r="S122" s="62"/>
      <c r="T122" s="62"/>
      <c r="U122" s="62"/>
      <c r="V122" s="62"/>
      <c r="W122" s="62"/>
      <c r="X122" s="61"/>
      <c r="Y122" s="53"/>
      <c r="Z122" s="62"/>
      <c r="AA122" s="62"/>
      <c r="AB122" s="62"/>
      <c r="AC122" s="62"/>
      <c r="AD122" s="62"/>
    </row>
    <row r="123" spans="15:30" x14ac:dyDescent="0.3">
      <c r="O123" s="61"/>
      <c r="P123" s="61"/>
      <c r="Q123" s="53"/>
      <c r="R123" s="62"/>
      <c r="S123" s="62"/>
      <c r="T123" s="62"/>
      <c r="U123" s="62"/>
      <c r="V123" s="62"/>
      <c r="W123" s="62"/>
      <c r="X123" s="61"/>
      <c r="Y123" s="53"/>
      <c r="Z123" s="62"/>
      <c r="AA123" s="62"/>
      <c r="AB123" s="62"/>
      <c r="AC123" s="62"/>
      <c r="AD123" s="62"/>
    </row>
    <row r="124" spans="15:30" x14ac:dyDescent="0.3">
      <c r="O124" s="61"/>
      <c r="P124" s="61"/>
      <c r="Q124" s="53"/>
      <c r="R124" s="62"/>
      <c r="S124" s="62"/>
      <c r="T124" s="62"/>
      <c r="U124" s="62"/>
      <c r="V124" s="62"/>
      <c r="W124" s="62"/>
      <c r="X124" s="61"/>
      <c r="Y124" s="53"/>
      <c r="Z124" s="62"/>
      <c r="AA124" s="62"/>
      <c r="AB124" s="62"/>
      <c r="AC124" s="62"/>
      <c r="AD124" s="62"/>
    </row>
    <row r="125" spans="15:30" x14ac:dyDescent="0.3">
      <c r="O125" s="61"/>
      <c r="P125" s="61"/>
      <c r="Q125" s="53"/>
      <c r="R125" s="62"/>
      <c r="S125" s="62"/>
      <c r="T125" s="62"/>
      <c r="U125" s="62"/>
      <c r="V125" s="62"/>
      <c r="W125" s="62"/>
      <c r="X125" s="61"/>
      <c r="Y125" s="53"/>
      <c r="Z125" s="62"/>
      <c r="AA125" s="62"/>
      <c r="AB125" s="62"/>
      <c r="AC125" s="62"/>
      <c r="AD125" s="62"/>
    </row>
    <row r="126" spans="15:30" x14ac:dyDescent="0.3">
      <c r="O126" s="61"/>
      <c r="P126" s="61"/>
      <c r="Q126" s="53"/>
      <c r="R126" s="62"/>
      <c r="S126" s="62"/>
      <c r="T126" s="62"/>
      <c r="U126" s="62"/>
      <c r="V126" s="62"/>
      <c r="W126" s="62"/>
      <c r="X126" s="61"/>
      <c r="Y126" s="53"/>
      <c r="Z126" s="62"/>
      <c r="AA126" s="62"/>
      <c r="AB126" s="62"/>
      <c r="AC126" s="62"/>
      <c r="AD126" s="62"/>
    </row>
    <row r="127" spans="15:30" x14ac:dyDescent="0.3">
      <c r="O127" s="61"/>
      <c r="P127" s="61"/>
      <c r="Q127" s="53"/>
      <c r="R127" s="62"/>
      <c r="S127" s="62"/>
      <c r="T127" s="62"/>
      <c r="U127" s="62"/>
      <c r="V127" s="62"/>
      <c r="W127" s="62"/>
      <c r="X127" s="61"/>
      <c r="Y127" s="53"/>
      <c r="Z127" s="62"/>
      <c r="AA127" s="62"/>
      <c r="AB127" s="62"/>
      <c r="AC127" s="62"/>
      <c r="AD127" s="62"/>
    </row>
    <row r="128" spans="15:30" x14ac:dyDescent="0.3">
      <c r="O128" s="61"/>
      <c r="P128" s="61"/>
      <c r="Q128" s="53"/>
      <c r="R128" s="62"/>
      <c r="S128" s="62"/>
      <c r="T128" s="62"/>
      <c r="U128" s="62"/>
      <c r="V128" s="62"/>
      <c r="W128" s="62"/>
      <c r="X128" s="61"/>
      <c r="Y128" s="53"/>
      <c r="Z128" s="62"/>
      <c r="AA128" s="62"/>
      <c r="AB128" s="62"/>
      <c r="AC128" s="62"/>
      <c r="AD128" s="62"/>
    </row>
    <row r="129" spans="15:30" x14ac:dyDescent="0.3">
      <c r="O129" s="61"/>
      <c r="P129" s="61"/>
      <c r="Q129" s="53"/>
      <c r="R129" s="62"/>
      <c r="S129" s="62"/>
      <c r="T129" s="62"/>
      <c r="U129" s="62"/>
      <c r="V129" s="62"/>
      <c r="W129" s="62"/>
      <c r="X129" s="61"/>
      <c r="Y129" s="53"/>
      <c r="Z129" s="62"/>
      <c r="AA129" s="62"/>
      <c r="AB129" s="62"/>
      <c r="AC129" s="62"/>
      <c r="AD129" s="62"/>
    </row>
    <row r="130" spans="15:30" x14ac:dyDescent="0.3">
      <c r="O130" s="61"/>
      <c r="P130" s="61"/>
      <c r="Q130" s="53"/>
      <c r="R130" s="62"/>
      <c r="S130" s="62"/>
      <c r="T130" s="62"/>
      <c r="U130" s="62"/>
      <c r="V130" s="62"/>
      <c r="W130" s="62"/>
      <c r="X130" s="61"/>
      <c r="Y130" s="53"/>
      <c r="Z130" s="62"/>
      <c r="AA130" s="62"/>
      <c r="AB130" s="62"/>
      <c r="AC130" s="62"/>
      <c r="AD130" s="62"/>
    </row>
    <row r="131" spans="15:30" x14ac:dyDescent="0.3">
      <c r="O131" s="61"/>
      <c r="P131" s="61"/>
      <c r="Q131" s="53"/>
      <c r="R131" s="62"/>
      <c r="S131" s="62"/>
      <c r="T131" s="62"/>
      <c r="U131" s="62"/>
      <c r="V131" s="62"/>
      <c r="W131" s="62"/>
      <c r="X131" s="61"/>
      <c r="Y131" s="53"/>
      <c r="Z131" s="62"/>
      <c r="AA131" s="62"/>
      <c r="AB131" s="62"/>
      <c r="AC131" s="62"/>
      <c r="AD131" s="62"/>
    </row>
    <row r="132" spans="15:30" x14ac:dyDescent="0.3">
      <c r="O132" s="61"/>
      <c r="P132" s="61"/>
      <c r="Q132" s="53"/>
      <c r="R132" s="62"/>
      <c r="S132" s="62"/>
      <c r="T132" s="62"/>
      <c r="U132" s="62"/>
      <c r="V132" s="62"/>
      <c r="W132" s="62"/>
      <c r="X132" s="61"/>
      <c r="Y132" s="53"/>
      <c r="Z132" s="62"/>
      <c r="AA132" s="62"/>
      <c r="AB132" s="62"/>
      <c r="AC132" s="62"/>
      <c r="AD132" s="62"/>
    </row>
    <row r="133" spans="15:30" x14ac:dyDescent="0.3">
      <c r="O133" s="61"/>
      <c r="P133" s="61"/>
      <c r="Q133" s="53"/>
      <c r="R133" s="62"/>
      <c r="S133" s="62"/>
      <c r="T133" s="62"/>
      <c r="U133" s="62"/>
      <c r="V133" s="62"/>
      <c r="W133" s="62"/>
      <c r="X133" s="61"/>
      <c r="Y133" s="53"/>
      <c r="Z133" s="62"/>
      <c r="AA133" s="62"/>
      <c r="AB133" s="62"/>
      <c r="AC133" s="62"/>
      <c r="AD133" s="62"/>
    </row>
    <row r="134" spans="15:30" x14ac:dyDescent="0.3">
      <c r="O134" s="61"/>
      <c r="P134" s="61"/>
      <c r="Q134" s="53"/>
      <c r="R134" s="62"/>
      <c r="S134" s="62"/>
      <c r="T134" s="62"/>
      <c r="U134" s="62"/>
      <c r="V134" s="62"/>
      <c r="W134" s="62"/>
      <c r="X134" s="61"/>
      <c r="Y134" s="53"/>
      <c r="Z134" s="62"/>
      <c r="AA134" s="62"/>
      <c r="AB134" s="62"/>
      <c r="AC134" s="62"/>
      <c r="AD134" s="62"/>
    </row>
    <row r="135" spans="15:30" x14ac:dyDescent="0.3">
      <c r="O135" s="61"/>
      <c r="P135" s="61"/>
      <c r="Q135" s="53"/>
      <c r="R135" s="62"/>
      <c r="S135" s="62"/>
      <c r="T135" s="62"/>
      <c r="U135" s="62"/>
      <c r="V135" s="62"/>
      <c r="W135" s="62"/>
      <c r="X135" s="61"/>
      <c r="Y135" s="53"/>
      <c r="Z135" s="62"/>
      <c r="AA135" s="62"/>
      <c r="AB135" s="62"/>
      <c r="AC135" s="62"/>
      <c r="AD135" s="62"/>
    </row>
    <row r="136" spans="15:30" x14ac:dyDescent="0.3">
      <c r="O136" s="61"/>
      <c r="P136" s="61"/>
      <c r="Q136" s="53"/>
      <c r="R136" s="62"/>
      <c r="S136" s="62"/>
      <c r="T136" s="62"/>
      <c r="U136" s="62"/>
      <c r="V136" s="62"/>
      <c r="W136" s="62"/>
      <c r="X136" s="61"/>
      <c r="Y136" s="53"/>
      <c r="Z136" s="62"/>
      <c r="AA136" s="62"/>
      <c r="AB136" s="62"/>
      <c r="AC136" s="62"/>
      <c r="AD136" s="62"/>
    </row>
    <row r="137" spans="15:30" x14ac:dyDescent="0.3">
      <c r="O137" s="61"/>
      <c r="P137" s="61"/>
      <c r="Q137" s="53"/>
      <c r="R137" s="62"/>
      <c r="S137" s="62"/>
      <c r="T137" s="62"/>
      <c r="U137" s="62"/>
      <c r="V137" s="62"/>
      <c r="W137" s="62"/>
      <c r="X137" s="61"/>
      <c r="Y137" s="53"/>
      <c r="Z137" s="62"/>
      <c r="AA137" s="62"/>
      <c r="AB137" s="62"/>
      <c r="AC137" s="62"/>
      <c r="AD137" s="62"/>
    </row>
    <row r="138" spans="15:30" x14ac:dyDescent="0.3">
      <c r="O138" s="61"/>
      <c r="P138" s="61"/>
      <c r="Q138" s="53"/>
      <c r="R138" s="62"/>
      <c r="S138" s="62"/>
      <c r="T138" s="62"/>
      <c r="U138" s="62"/>
      <c r="V138" s="62"/>
      <c r="W138" s="62"/>
      <c r="X138" s="61"/>
      <c r="Y138" s="53"/>
      <c r="Z138" s="62"/>
      <c r="AA138" s="62"/>
      <c r="AB138" s="62"/>
      <c r="AC138" s="62"/>
      <c r="AD138" s="62"/>
    </row>
    <row r="139" spans="15:30" x14ac:dyDescent="0.3">
      <c r="O139" s="61"/>
      <c r="P139" s="61"/>
      <c r="Q139" s="53"/>
      <c r="R139" s="62"/>
      <c r="S139" s="62"/>
      <c r="T139" s="62"/>
      <c r="U139" s="62"/>
      <c r="V139" s="62"/>
      <c r="W139" s="62"/>
      <c r="X139" s="61"/>
      <c r="Y139" s="53"/>
      <c r="Z139" s="62"/>
      <c r="AA139" s="62"/>
      <c r="AB139" s="62"/>
      <c r="AC139" s="62"/>
      <c r="AD139" s="62"/>
    </row>
    <row r="140" spans="15:30" x14ac:dyDescent="0.3">
      <c r="O140" s="61"/>
      <c r="P140" s="61"/>
      <c r="Q140" s="53"/>
      <c r="R140" s="62"/>
      <c r="S140" s="62"/>
      <c r="T140" s="62"/>
      <c r="U140" s="62"/>
      <c r="V140" s="62"/>
      <c r="W140" s="62"/>
      <c r="X140" s="61"/>
      <c r="Y140" s="53"/>
      <c r="Z140" s="62"/>
      <c r="AA140" s="62"/>
      <c r="AB140" s="62"/>
      <c r="AC140" s="62"/>
      <c r="AD140" s="62"/>
    </row>
    <row r="141" spans="15:30" x14ac:dyDescent="0.3">
      <c r="O141" s="61"/>
      <c r="P141" s="61"/>
      <c r="Q141" s="53"/>
      <c r="R141" s="62"/>
      <c r="S141" s="62"/>
      <c r="T141" s="62"/>
      <c r="U141" s="62"/>
      <c r="V141" s="62"/>
      <c r="W141" s="62"/>
      <c r="X141" s="61"/>
      <c r="Y141" s="53"/>
      <c r="Z141" s="62"/>
      <c r="AA141" s="62"/>
      <c r="AB141" s="62"/>
      <c r="AC141" s="62"/>
      <c r="AD141" s="62"/>
    </row>
    <row r="142" spans="15:30" x14ac:dyDescent="0.3">
      <c r="O142" s="61"/>
      <c r="P142" s="61"/>
      <c r="Q142" s="53"/>
      <c r="R142" s="62"/>
      <c r="S142" s="62"/>
      <c r="T142" s="62"/>
      <c r="U142" s="62"/>
      <c r="V142" s="62"/>
      <c r="W142" s="62"/>
      <c r="X142" s="61"/>
      <c r="Y142" s="53"/>
      <c r="Z142" s="62"/>
      <c r="AA142" s="62"/>
      <c r="AB142" s="62"/>
      <c r="AC142" s="62"/>
      <c r="AD142" s="62"/>
    </row>
    <row r="143" spans="15:30" x14ac:dyDescent="0.3">
      <c r="O143" s="61"/>
      <c r="P143" s="61"/>
      <c r="Q143" s="53"/>
      <c r="R143" s="62"/>
      <c r="S143" s="62"/>
      <c r="T143" s="62"/>
      <c r="U143" s="62"/>
      <c r="V143" s="62"/>
      <c r="W143" s="62"/>
      <c r="X143" s="61"/>
      <c r="Y143" s="53"/>
      <c r="Z143" s="62"/>
      <c r="AA143" s="62"/>
      <c r="AB143" s="62"/>
      <c r="AC143" s="62"/>
      <c r="AD143" s="62"/>
    </row>
    <row r="144" spans="15:30" x14ac:dyDescent="0.3">
      <c r="O144" s="61"/>
      <c r="P144" s="61"/>
      <c r="Q144" s="53"/>
      <c r="R144" s="62"/>
      <c r="S144" s="62"/>
      <c r="T144" s="62"/>
      <c r="U144" s="62"/>
      <c r="V144" s="62"/>
      <c r="W144" s="62"/>
      <c r="X144" s="61"/>
      <c r="Y144" s="53"/>
      <c r="Z144" s="62"/>
      <c r="AA144" s="62"/>
      <c r="AB144" s="62"/>
      <c r="AC144" s="62"/>
      <c r="AD144" s="62"/>
    </row>
    <row r="145" spans="15:30" x14ac:dyDescent="0.3">
      <c r="O145" s="61"/>
      <c r="P145" s="61"/>
      <c r="Q145" s="53"/>
      <c r="R145" s="62"/>
      <c r="S145" s="62"/>
      <c r="T145" s="62"/>
      <c r="U145" s="62"/>
      <c r="V145" s="62"/>
      <c r="W145" s="62"/>
      <c r="X145" s="61"/>
      <c r="Y145" s="53"/>
      <c r="Z145" s="62"/>
      <c r="AA145" s="62"/>
      <c r="AB145" s="62"/>
      <c r="AC145" s="62"/>
      <c r="AD145" s="62"/>
    </row>
    <row r="146" spans="15:30" x14ac:dyDescent="0.3">
      <c r="O146" s="61"/>
      <c r="P146" s="61"/>
      <c r="Q146" s="53"/>
      <c r="R146" s="62"/>
      <c r="S146" s="62"/>
      <c r="T146" s="62"/>
      <c r="U146" s="62"/>
      <c r="V146" s="62"/>
      <c r="W146" s="62"/>
      <c r="X146" s="61"/>
      <c r="Y146" s="53"/>
      <c r="Z146" s="62"/>
      <c r="AA146" s="62"/>
      <c r="AB146" s="62"/>
      <c r="AC146" s="62"/>
      <c r="AD146" s="62"/>
    </row>
    <row r="147" spans="15:30" x14ac:dyDescent="0.3">
      <c r="O147" s="61"/>
      <c r="P147" s="61"/>
      <c r="Q147" s="53"/>
      <c r="R147" s="62"/>
      <c r="S147" s="62"/>
      <c r="T147" s="62"/>
      <c r="U147" s="62"/>
      <c r="V147" s="62"/>
      <c r="W147" s="62"/>
      <c r="X147" s="61"/>
      <c r="Y147" s="53"/>
      <c r="Z147" s="62"/>
      <c r="AA147" s="62"/>
      <c r="AB147" s="62"/>
      <c r="AC147" s="62"/>
      <c r="AD147" s="62"/>
    </row>
    <row r="148" spans="15:30" x14ac:dyDescent="0.3">
      <c r="O148" s="61"/>
      <c r="P148" s="61"/>
      <c r="Q148" s="53"/>
      <c r="R148" s="62"/>
      <c r="S148" s="62"/>
      <c r="T148" s="62"/>
      <c r="U148" s="62"/>
      <c r="V148" s="62"/>
      <c r="W148" s="62"/>
      <c r="X148" s="61"/>
      <c r="Y148" s="53"/>
      <c r="Z148" s="62"/>
      <c r="AA148" s="62"/>
      <c r="AB148" s="62"/>
      <c r="AC148" s="62"/>
      <c r="AD148" s="62"/>
    </row>
    <row r="149" spans="15:30" x14ac:dyDescent="0.3">
      <c r="O149" s="61"/>
      <c r="P149" s="61"/>
      <c r="Q149" s="53"/>
      <c r="R149" s="62"/>
      <c r="S149" s="62"/>
      <c r="T149" s="62"/>
      <c r="U149" s="62"/>
      <c r="V149" s="62"/>
      <c r="W149" s="62"/>
      <c r="X149" s="61"/>
      <c r="Y149" s="53"/>
      <c r="Z149" s="62"/>
      <c r="AA149" s="62"/>
      <c r="AB149" s="62"/>
      <c r="AC149" s="62"/>
      <c r="AD149" s="62"/>
    </row>
    <row r="150" spans="15:30" x14ac:dyDescent="0.3">
      <c r="O150" s="61"/>
      <c r="P150" s="61"/>
      <c r="Q150" s="53"/>
      <c r="R150" s="62"/>
      <c r="S150" s="62"/>
      <c r="T150" s="62"/>
      <c r="U150" s="62"/>
      <c r="V150" s="62"/>
      <c r="W150" s="62"/>
      <c r="X150" s="61"/>
      <c r="Y150" s="53"/>
      <c r="Z150" s="62"/>
      <c r="AA150" s="62"/>
      <c r="AB150" s="62"/>
      <c r="AC150" s="62"/>
      <c r="AD150" s="62"/>
    </row>
    <row r="151" spans="15:30" x14ac:dyDescent="0.3">
      <c r="O151" s="61"/>
      <c r="P151" s="61"/>
      <c r="Q151" s="53"/>
      <c r="R151" s="62"/>
      <c r="S151" s="62"/>
      <c r="T151" s="62"/>
      <c r="U151" s="62"/>
      <c r="V151" s="62"/>
      <c r="W151" s="62"/>
      <c r="X151" s="61"/>
      <c r="Y151" s="53"/>
      <c r="Z151" s="62"/>
      <c r="AA151" s="62"/>
      <c r="AB151" s="62"/>
      <c r="AC151" s="62"/>
      <c r="AD151" s="62"/>
    </row>
    <row r="152" spans="15:30" x14ac:dyDescent="0.3">
      <c r="O152" s="61"/>
      <c r="P152" s="61"/>
      <c r="Q152" s="53"/>
      <c r="R152" s="62"/>
      <c r="S152" s="62"/>
      <c r="T152" s="62"/>
      <c r="U152" s="62"/>
      <c r="V152" s="62"/>
      <c r="W152" s="62"/>
      <c r="X152" s="61"/>
      <c r="Y152" s="53"/>
      <c r="Z152" s="62"/>
      <c r="AA152" s="62"/>
      <c r="AB152" s="62"/>
      <c r="AC152" s="62"/>
      <c r="AD152" s="62"/>
    </row>
    <row r="153" spans="15:30" x14ac:dyDescent="0.3">
      <c r="O153" s="61"/>
      <c r="P153" s="61"/>
      <c r="Q153" s="53"/>
      <c r="R153" s="62"/>
      <c r="S153" s="62"/>
      <c r="T153" s="62"/>
      <c r="U153" s="62"/>
      <c r="V153" s="62"/>
      <c r="W153" s="62"/>
      <c r="X153" s="61"/>
      <c r="Y153" s="53"/>
      <c r="Z153" s="62"/>
      <c r="AA153" s="62"/>
      <c r="AB153" s="62"/>
      <c r="AC153" s="62"/>
      <c r="AD153" s="62"/>
    </row>
    <row r="154" spans="15:30" x14ac:dyDescent="0.3">
      <c r="O154" s="61"/>
      <c r="P154" s="61"/>
      <c r="Q154" s="53"/>
      <c r="R154" s="62"/>
      <c r="S154" s="62"/>
      <c r="T154" s="62"/>
      <c r="U154" s="62"/>
      <c r="V154" s="62"/>
      <c r="W154" s="62"/>
      <c r="X154" s="61"/>
      <c r="Y154" s="53"/>
      <c r="Z154" s="62"/>
      <c r="AA154" s="62"/>
      <c r="AB154" s="62"/>
      <c r="AC154" s="62"/>
      <c r="AD154" s="62"/>
    </row>
    <row r="155" spans="15:30" x14ac:dyDescent="0.3">
      <c r="O155" s="61"/>
      <c r="P155" s="61"/>
      <c r="Q155" s="53"/>
      <c r="R155" s="62"/>
      <c r="S155" s="62"/>
      <c r="T155" s="62"/>
      <c r="U155" s="62"/>
      <c r="V155" s="62"/>
      <c r="W155" s="62"/>
      <c r="X155" s="61"/>
      <c r="Y155" s="53"/>
      <c r="Z155" s="62"/>
      <c r="AA155" s="62"/>
      <c r="AB155" s="62"/>
      <c r="AC155" s="62"/>
      <c r="AD155" s="62"/>
    </row>
    <row r="156" spans="15:30" x14ac:dyDescent="0.3">
      <c r="O156" s="61"/>
      <c r="P156" s="61"/>
      <c r="Q156" s="53"/>
      <c r="R156" s="62"/>
      <c r="S156" s="62"/>
      <c r="T156" s="62"/>
      <c r="U156" s="62"/>
      <c r="V156" s="62"/>
      <c r="W156" s="62"/>
      <c r="X156" s="61"/>
      <c r="Y156" s="53"/>
      <c r="Z156" s="62"/>
      <c r="AA156" s="62"/>
      <c r="AB156" s="62"/>
      <c r="AC156" s="62"/>
      <c r="AD156" s="62"/>
    </row>
    <row r="157" spans="15:30" x14ac:dyDescent="0.3">
      <c r="O157" s="61"/>
      <c r="P157" s="61"/>
      <c r="Q157" s="53"/>
      <c r="R157" s="62"/>
      <c r="S157" s="62"/>
      <c r="T157" s="62"/>
      <c r="U157" s="62"/>
      <c r="V157" s="62"/>
      <c r="W157" s="62"/>
      <c r="X157" s="61"/>
      <c r="Y157" s="53"/>
      <c r="Z157" s="62"/>
      <c r="AA157" s="62"/>
      <c r="AB157" s="62"/>
      <c r="AC157" s="62"/>
      <c r="AD157" s="62"/>
    </row>
    <row r="158" spans="15:30" x14ac:dyDescent="0.3">
      <c r="O158" s="61"/>
      <c r="P158" s="61"/>
      <c r="Q158" s="53"/>
      <c r="R158" s="62"/>
      <c r="S158" s="62"/>
      <c r="T158" s="62"/>
      <c r="U158" s="62"/>
      <c r="V158" s="62"/>
      <c r="W158" s="62"/>
      <c r="X158" s="61"/>
      <c r="Y158" s="53"/>
      <c r="Z158" s="62"/>
      <c r="AA158" s="62"/>
      <c r="AB158" s="62"/>
      <c r="AC158" s="62"/>
      <c r="AD158" s="62"/>
    </row>
    <row r="159" spans="15:30" x14ac:dyDescent="0.3">
      <c r="O159" s="61"/>
      <c r="P159" s="61"/>
      <c r="Q159" s="53"/>
      <c r="R159" s="62"/>
      <c r="S159" s="62"/>
      <c r="T159" s="62"/>
      <c r="U159" s="62"/>
      <c r="V159" s="62"/>
      <c r="W159" s="62"/>
      <c r="X159" s="61"/>
      <c r="Y159" s="53"/>
      <c r="Z159" s="62"/>
      <c r="AA159" s="62"/>
      <c r="AB159" s="62"/>
      <c r="AC159" s="62"/>
      <c r="AD159" s="62"/>
    </row>
    <row r="160" spans="15:30" x14ac:dyDescent="0.3">
      <c r="O160" s="61"/>
      <c r="P160" s="61"/>
      <c r="Q160" s="53"/>
      <c r="R160" s="62"/>
      <c r="S160" s="62"/>
      <c r="T160" s="62"/>
      <c r="U160" s="62"/>
      <c r="V160" s="62"/>
      <c r="W160" s="62"/>
      <c r="X160" s="61"/>
      <c r="Y160" s="53"/>
      <c r="Z160" s="62"/>
      <c r="AA160" s="62"/>
      <c r="AB160" s="62"/>
      <c r="AC160" s="62"/>
      <c r="AD160" s="62"/>
    </row>
    <row r="161" spans="15:30" x14ac:dyDescent="0.3">
      <c r="O161" s="61"/>
      <c r="P161" s="61"/>
      <c r="Q161" s="53"/>
      <c r="R161" s="62"/>
      <c r="S161" s="62"/>
      <c r="T161" s="62"/>
      <c r="U161" s="62"/>
      <c r="V161" s="62"/>
      <c r="W161" s="62"/>
      <c r="X161" s="61"/>
      <c r="Y161" s="53"/>
      <c r="Z161" s="62"/>
      <c r="AA161" s="62"/>
      <c r="AB161" s="62"/>
      <c r="AC161" s="62"/>
      <c r="AD161" s="62"/>
    </row>
    <row r="162" spans="15:30" x14ac:dyDescent="0.3">
      <c r="O162" s="61"/>
      <c r="P162" s="61"/>
      <c r="Q162" s="53"/>
      <c r="R162" s="62"/>
      <c r="S162" s="62"/>
      <c r="T162" s="62"/>
      <c r="U162" s="62"/>
      <c r="V162" s="62"/>
      <c r="W162" s="62"/>
      <c r="X162" s="61"/>
      <c r="Y162" s="53"/>
      <c r="Z162" s="62"/>
      <c r="AA162" s="62"/>
      <c r="AB162" s="62"/>
      <c r="AC162" s="62"/>
      <c r="AD162" s="62"/>
    </row>
    <row r="163" spans="15:30" x14ac:dyDescent="0.3">
      <c r="O163" s="61"/>
      <c r="P163" s="61"/>
      <c r="Q163" s="53"/>
      <c r="R163" s="62"/>
      <c r="S163" s="62"/>
      <c r="T163" s="62"/>
      <c r="U163" s="62"/>
      <c r="V163" s="62"/>
      <c r="W163" s="62"/>
      <c r="X163" s="61"/>
      <c r="Y163" s="53"/>
      <c r="Z163" s="62"/>
      <c r="AA163" s="62"/>
      <c r="AB163" s="62"/>
      <c r="AC163" s="62"/>
      <c r="AD163" s="62"/>
    </row>
    <row r="164" spans="15:30" x14ac:dyDescent="0.3">
      <c r="O164" s="61"/>
      <c r="P164" s="61"/>
      <c r="Q164" s="53"/>
      <c r="R164" s="62"/>
      <c r="S164" s="62"/>
      <c r="T164" s="62"/>
      <c r="U164" s="62"/>
      <c r="V164" s="62"/>
      <c r="W164" s="62"/>
      <c r="X164" s="61"/>
      <c r="Y164" s="53"/>
      <c r="Z164" s="62"/>
      <c r="AA164" s="62"/>
      <c r="AB164" s="62"/>
      <c r="AC164" s="62"/>
      <c r="AD164" s="62"/>
    </row>
    <row r="165" spans="15:30" x14ac:dyDescent="0.3">
      <c r="O165" s="61"/>
      <c r="P165" s="61"/>
      <c r="Q165" s="53"/>
      <c r="R165" s="62"/>
      <c r="S165" s="62"/>
      <c r="T165" s="62"/>
      <c r="U165" s="62"/>
      <c r="V165" s="62"/>
      <c r="W165" s="62"/>
      <c r="X165" s="61"/>
      <c r="Y165" s="53"/>
      <c r="Z165" s="62"/>
      <c r="AA165" s="62"/>
      <c r="AB165" s="62"/>
      <c r="AC165" s="62"/>
      <c r="AD165" s="62"/>
    </row>
    <row r="166" spans="15:30" x14ac:dyDescent="0.3">
      <c r="O166" s="61"/>
      <c r="P166" s="61"/>
      <c r="Q166" s="53"/>
      <c r="R166" s="62"/>
      <c r="S166" s="62"/>
      <c r="T166" s="62"/>
      <c r="U166" s="62"/>
      <c r="V166" s="62"/>
      <c r="W166" s="62"/>
      <c r="X166" s="61"/>
      <c r="Y166" s="53"/>
      <c r="Z166" s="62"/>
      <c r="AA166" s="62"/>
      <c r="AB166" s="62"/>
      <c r="AC166" s="62"/>
      <c r="AD166" s="62"/>
    </row>
    <row r="167" spans="15:30" x14ac:dyDescent="0.3">
      <c r="O167" s="61"/>
      <c r="P167" s="61"/>
      <c r="Q167" s="53"/>
      <c r="R167" s="62"/>
      <c r="S167" s="62"/>
      <c r="T167" s="62"/>
      <c r="U167" s="62"/>
      <c r="V167" s="62"/>
      <c r="W167" s="62"/>
      <c r="X167" s="61"/>
      <c r="Y167" s="53"/>
      <c r="Z167" s="62"/>
      <c r="AA167" s="62"/>
      <c r="AB167" s="62"/>
      <c r="AC167" s="62"/>
      <c r="AD167" s="62"/>
    </row>
    <row r="168" spans="15:30" x14ac:dyDescent="0.3">
      <c r="O168" s="61"/>
      <c r="P168" s="61"/>
      <c r="Q168" s="53"/>
      <c r="R168" s="62"/>
      <c r="S168" s="62"/>
      <c r="T168" s="62"/>
      <c r="U168" s="62"/>
      <c r="V168" s="62"/>
      <c r="W168" s="62"/>
      <c r="X168" s="61"/>
      <c r="Y168" s="53"/>
      <c r="Z168" s="62"/>
      <c r="AA168" s="62"/>
      <c r="AB168" s="62"/>
      <c r="AC168" s="62"/>
      <c r="AD168" s="62"/>
    </row>
    <row r="169" spans="15:30" x14ac:dyDescent="0.3">
      <c r="O169" s="61"/>
      <c r="P169" s="61"/>
      <c r="Q169" s="53"/>
      <c r="R169" s="62"/>
      <c r="S169" s="62"/>
      <c r="T169" s="62"/>
      <c r="U169" s="62"/>
      <c r="V169" s="62"/>
      <c r="W169" s="62"/>
      <c r="X169" s="61"/>
      <c r="Y169" s="53"/>
      <c r="Z169" s="62"/>
      <c r="AA169" s="62"/>
      <c r="AB169" s="62"/>
      <c r="AC169" s="62"/>
      <c r="AD169" s="62"/>
    </row>
    <row r="170" spans="15:30" x14ac:dyDescent="0.3">
      <c r="O170" s="61"/>
      <c r="P170" s="61"/>
      <c r="Q170" s="53"/>
      <c r="R170" s="62"/>
      <c r="S170" s="62"/>
      <c r="T170" s="62"/>
      <c r="U170" s="62"/>
      <c r="V170" s="62"/>
      <c r="W170" s="62"/>
      <c r="X170" s="61"/>
      <c r="Y170" s="53"/>
      <c r="Z170" s="62"/>
      <c r="AA170" s="62"/>
      <c r="AB170" s="62"/>
      <c r="AC170" s="62"/>
      <c r="AD170" s="62"/>
    </row>
    <row r="171" spans="15:30" x14ac:dyDescent="0.3">
      <c r="O171" s="61"/>
      <c r="P171" s="61"/>
      <c r="Q171" s="53"/>
      <c r="R171" s="62"/>
      <c r="S171" s="62"/>
      <c r="T171" s="62"/>
      <c r="U171" s="62"/>
      <c r="V171" s="62"/>
      <c r="W171" s="62"/>
      <c r="X171" s="61"/>
      <c r="Y171" s="53"/>
      <c r="Z171" s="62"/>
      <c r="AA171" s="62"/>
      <c r="AB171" s="62"/>
      <c r="AC171" s="62"/>
      <c r="AD171" s="62"/>
    </row>
    <row r="172" spans="15:30" x14ac:dyDescent="0.3">
      <c r="O172" s="61"/>
      <c r="P172" s="61"/>
      <c r="Q172" s="53"/>
      <c r="R172" s="62"/>
      <c r="S172" s="62"/>
      <c r="T172" s="62"/>
      <c r="U172" s="62"/>
      <c r="V172" s="62"/>
      <c r="W172" s="62"/>
      <c r="X172" s="61"/>
      <c r="Y172" s="53"/>
      <c r="Z172" s="62"/>
      <c r="AA172" s="62"/>
      <c r="AB172" s="62"/>
      <c r="AC172" s="62"/>
      <c r="AD172" s="62"/>
    </row>
    <row r="173" spans="15:30" x14ac:dyDescent="0.3">
      <c r="O173" s="61"/>
      <c r="P173" s="61"/>
      <c r="Q173" s="53"/>
      <c r="R173" s="62"/>
      <c r="S173" s="62"/>
      <c r="T173" s="62"/>
      <c r="U173" s="62"/>
      <c r="V173" s="62"/>
      <c r="W173" s="62"/>
      <c r="X173" s="61"/>
      <c r="Y173" s="53"/>
      <c r="Z173" s="62"/>
      <c r="AA173" s="62"/>
      <c r="AB173" s="62"/>
      <c r="AC173" s="62"/>
      <c r="AD173" s="62"/>
    </row>
    <row r="174" spans="15:30" x14ac:dyDescent="0.3">
      <c r="O174" s="61"/>
      <c r="P174" s="61"/>
      <c r="Q174" s="53"/>
      <c r="R174" s="62"/>
      <c r="S174" s="62"/>
      <c r="T174" s="62"/>
      <c r="U174" s="62"/>
      <c r="V174" s="62"/>
      <c r="W174" s="62"/>
      <c r="X174" s="61"/>
      <c r="Y174" s="53"/>
      <c r="Z174" s="62"/>
      <c r="AA174" s="62"/>
      <c r="AB174" s="62"/>
      <c r="AC174" s="62"/>
      <c r="AD174" s="62"/>
    </row>
    <row r="175" spans="15:30" x14ac:dyDescent="0.3">
      <c r="O175" s="61"/>
      <c r="P175" s="61"/>
      <c r="Q175" s="53"/>
      <c r="R175" s="62"/>
      <c r="S175" s="62"/>
      <c r="T175" s="62"/>
      <c r="U175" s="62"/>
      <c r="V175" s="62"/>
      <c r="W175" s="62"/>
      <c r="X175" s="61"/>
      <c r="Y175" s="53"/>
      <c r="Z175" s="62"/>
      <c r="AA175" s="62"/>
      <c r="AB175" s="62"/>
      <c r="AC175" s="62"/>
      <c r="AD175" s="62"/>
    </row>
    <row r="176" spans="15:30" x14ac:dyDescent="0.3">
      <c r="O176" s="61"/>
      <c r="P176" s="61"/>
      <c r="Q176" s="53"/>
      <c r="R176" s="62"/>
      <c r="S176" s="62"/>
      <c r="T176" s="62"/>
      <c r="U176" s="62"/>
      <c r="V176" s="62"/>
      <c r="W176" s="62"/>
      <c r="X176" s="61"/>
      <c r="Y176" s="53"/>
      <c r="Z176" s="62"/>
      <c r="AA176" s="62"/>
      <c r="AB176" s="62"/>
      <c r="AC176" s="62"/>
      <c r="AD176" s="62"/>
    </row>
    <row r="177" spans="15:30" x14ac:dyDescent="0.3">
      <c r="O177" s="61"/>
      <c r="P177" s="61"/>
      <c r="Q177" s="53"/>
      <c r="R177" s="62"/>
      <c r="S177" s="62"/>
      <c r="T177" s="62"/>
      <c r="U177" s="62"/>
      <c r="V177" s="62"/>
      <c r="W177" s="62"/>
      <c r="X177" s="61"/>
      <c r="Y177" s="53"/>
      <c r="Z177" s="62"/>
      <c r="AA177" s="62"/>
      <c r="AB177" s="62"/>
      <c r="AC177" s="62"/>
      <c r="AD177" s="62"/>
    </row>
    <row r="178" spans="15:30" x14ac:dyDescent="0.3">
      <c r="O178" s="61"/>
      <c r="P178" s="61"/>
      <c r="Q178" s="53"/>
      <c r="R178" s="62"/>
      <c r="S178" s="62"/>
      <c r="T178" s="62"/>
      <c r="U178" s="62"/>
      <c r="V178" s="62"/>
      <c r="W178" s="62"/>
      <c r="X178" s="61"/>
      <c r="Y178" s="53"/>
      <c r="Z178" s="62"/>
      <c r="AA178" s="62"/>
      <c r="AB178" s="62"/>
      <c r="AC178" s="62"/>
      <c r="AD178" s="62"/>
    </row>
    <row r="179" spans="15:30" x14ac:dyDescent="0.3">
      <c r="O179" s="61"/>
      <c r="P179" s="61"/>
      <c r="Q179" s="53"/>
      <c r="R179" s="62"/>
      <c r="S179" s="62"/>
      <c r="T179" s="62"/>
      <c r="U179" s="62"/>
      <c r="V179" s="62"/>
      <c r="W179" s="62"/>
      <c r="X179" s="61"/>
      <c r="Y179" s="53"/>
      <c r="Z179" s="62"/>
      <c r="AA179" s="62"/>
      <c r="AB179" s="62"/>
      <c r="AC179" s="62"/>
      <c r="AD179" s="62"/>
    </row>
    <row r="180" spans="15:30" x14ac:dyDescent="0.3">
      <c r="O180" s="61"/>
      <c r="P180" s="61"/>
      <c r="Q180" s="53"/>
      <c r="R180" s="62"/>
      <c r="S180" s="62"/>
      <c r="T180" s="62"/>
      <c r="U180" s="62"/>
      <c r="V180" s="62"/>
      <c r="W180" s="62"/>
      <c r="X180" s="61"/>
      <c r="Y180" s="53"/>
      <c r="Z180" s="62"/>
      <c r="AA180" s="62"/>
      <c r="AB180" s="62"/>
      <c r="AC180" s="62"/>
      <c r="AD180" s="62"/>
    </row>
    <row r="181" spans="15:30" x14ac:dyDescent="0.3">
      <c r="O181" s="61"/>
      <c r="P181" s="61"/>
      <c r="Q181" s="53"/>
      <c r="R181" s="62"/>
      <c r="S181" s="62"/>
      <c r="T181" s="62"/>
      <c r="U181" s="62"/>
      <c r="V181" s="62"/>
      <c r="W181" s="62"/>
      <c r="X181" s="61"/>
      <c r="Y181" s="53"/>
      <c r="Z181" s="62"/>
      <c r="AA181" s="62"/>
      <c r="AB181" s="62"/>
      <c r="AC181" s="62"/>
      <c r="AD181" s="62"/>
    </row>
    <row r="182" spans="15:30" x14ac:dyDescent="0.3">
      <c r="O182" s="61"/>
      <c r="P182" s="61"/>
      <c r="Q182" s="53"/>
      <c r="R182" s="62"/>
      <c r="S182" s="62"/>
      <c r="T182" s="62"/>
      <c r="U182" s="62"/>
      <c r="V182" s="62"/>
      <c r="W182" s="62"/>
      <c r="X182" s="61"/>
      <c r="Y182" s="53"/>
      <c r="Z182" s="62"/>
      <c r="AA182" s="62"/>
      <c r="AB182" s="62"/>
      <c r="AC182" s="62"/>
      <c r="AD182" s="62"/>
    </row>
    <row r="183" spans="15:30" x14ac:dyDescent="0.3">
      <c r="O183" s="61"/>
      <c r="P183" s="61"/>
      <c r="Q183" s="53"/>
      <c r="R183" s="62"/>
      <c r="S183" s="62"/>
      <c r="T183" s="62"/>
      <c r="U183" s="62"/>
      <c r="V183" s="62"/>
      <c r="W183" s="62"/>
      <c r="X183" s="61"/>
      <c r="Y183" s="53"/>
      <c r="Z183" s="62"/>
      <c r="AA183" s="62"/>
      <c r="AB183" s="62"/>
      <c r="AC183" s="62"/>
      <c r="AD183" s="62"/>
    </row>
    <row r="184" spans="15:30" x14ac:dyDescent="0.3">
      <c r="O184" s="61"/>
      <c r="P184" s="61"/>
      <c r="Q184" s="53"/>
      <c r="R184" s="62"/>
      <c r="S184" s="62"/>
      <c r="T184" s="62"/>
      <c r="U184" s="62"/>
      <c r="V184" s="62"/>
      <c r="W184" s="62"/>
      <c r="X184" s="61"/>
      <c r="Y184" s="53"/>
      <c r="Z184" s="62"/>
      <c r="AA184" s="62"/>
      <c r="AB184" s="62"/>
      <c r="AC184" s="62"/>
      <c r="AD184" s="62"/>
    </row>
    <row r="185" spans="15:30" x14ac:dyDescent="0.3">
      <c r="O185" s="61"/>
      <c r="P185" s="61"/>
      <c r="Q185" s="53"/>
      <c r="R185" s="62"/>
      <c r="S185" s="62"/>
      <c r="T185" s="62"/>
      <c r="U185" s="62"/>
      <c r="V185" s="62"/>
      <c r="W185" s="62"/>
      <c r="X185" s="61"/>
      <c r="Y185" s="53"/>
      <c r="Z185" s="62"/>
      <c r="AA185" s="62"/>
      <c r="AB185" s="62"/>
      <c r="AC185" s="62"/>
      <c r="AD185" s="62"/>
    </row>
    <row r="186" spans="15:30" x14ac:dyDescent="0.3">
      <c r="O186" s="61"/>
      <c r="P186" s="61"/>
      <c r="Q186" s="53"/>
      <c r="R186" s="62"/>
      <c r="S186" s="62"/>
      <c r="T186" s="62"/>
      <c r="U186" s="62"/>
      <c r="V186" s="62"/>
      <c r="W186" s="62"/>
      <c r="X186" s="61"/>
      <c r="Y186" s="53"/>
      <c r="Z186" s="62"/>
      <c r="AA186" s="62"/>
      <c r="AB186" s="62"/>
      <c r="AC186" s="62"/>
      <c r="AD186" s="62"/>
    </row>
    <row r="187" spans="15:30" x14ac:dyDescent="0.3">
      <c r="O187" s="61"/>
      <c r="P187" s="61"/>
      <c r="Q187" s="53"/>
      <c r="R187" s="62"/>
      <c r="S187" s="62"/>
      <c r="T187" s="62"/>
      <c r="U187" s="62"/>
      <c r="V187" s="62"/>
      <c r="W187" s="62"/>
      <c r="X187" s="61"/>
      <c r="Y187" s="53"/>
      <c r="Z187" s="62"/>
      <c r="AA187" s="62"/>
      <c r="AB187" s="62"/>
      <c r="AC187" s="62"/>
      <c r="AD187" s="62"/>
    </row>
    <row r="188" spans="15:30" x14ac:dyDescent="0.3">
      <c r="O188" s="61"/>
      <c r="P188" s="61"/>
      <c r="Q188" s="53"/>
      <c r="R188" s="62"/>
      <c r="S188" s="62"/>
      <c r="T188" s="62"/>
      <c r="U188" s="62"/>
      <c r="V188" s="62"/>
      <c r="W188" s="62"/>
      <c r="X188" s="61"/>
      <c r="Y188" s="53"/>
      <c r="Z188" s="62"/>
      <c r="AA188" s="62"/>
      <c r="AB188" s="62"/>
      <c r="AC188" s="62"/>
      <c r="AD188" s="62"/>
    </row>
    <row r="189" spans="15:30" x14ac:dyDescent="0.3">
      <c r="O189" s="61"/>
      <c r="P189" s="61"/>
      <c r="Q189" s="53"/>
      <c r="R189" s="62"/>
      <c r="S189" s="62"/>
      <c r="T189" s="62"/>
      <c r="U189" s="62"/>
      <c r="V189" s="62"/>
      <c r="W189" s="62"/>
      <c r="X189" s="61"/>
      <c r="Y189" s="53"/>
      <c r="Z189" s="62"/>
      <c r="AA189" s="62"/>
      <c r="AB189" s="62"/>
      <c r="AC189" s="62"/>
      <c r="AD189" s="62"/>
    </row>
    <row r="190" spans="15:30" x14ac:dyDescent="0.3">
      <c r="O190" s="61"/>
      <c r="P190" s="61"/>
      <c r="Q190" s="53"/>
      <c r="R190" s="62"/>
      <c r="S190" s="62"/>
      <c r="T190" s="62"/>
      <c r="U190" s="62"/>
      <c r="V190" s="62"/>
      <c r="W190" s="62"/>
      <c r="X190" s="61"/>
      <c r="Y190" s="53"/>
      <c r="Z190" s="62"/>
      <c r="AA190" s="62"/>
      <c r="AB190" s="62"/>
      <c r="AC190" s="62"/>
      <c r="AD190" s="62"/>
    </row>
    <row r="191" spans="15:30" x14ac:dyDescent="0.3">
      <c r="O191" s="61"/>
      <c r="P191" s="61"/>
      <c r="Q191" s="53"/>
      <c r="R191" s="62"/>
      <c r="S191" s="62"/>
      <c r="T191" s="62"/>
      <c r="U191" s="62"/>
      <c r="V191" s="62"/>
      <c r="W191" s="62"/>
      <c r="X191" s="61"/>
      <c r="Y191" s="53"/>
      <c r="Z191" s="62"/>
      <c r="AA191" s="62"/>
      <c r="AB191" s="62"/>
      <c r="AC191" s="62"/>
      <c r="AD191" s="62"/>
    </row>
    <row r="192" spans="15:30" x14ac:dyDescent="0.3">
      <c r="O192" s="61"/>
      <c r="P192" s="61"/>
      <c r="Q192" s="53"/>
      <c r="R192" s="62"/>
      <c r="S192" s="62"/>
      <c r="T192" s="62"/>
      <c r="U192" s="62"/>
      <c r="V192" s="62"/>
      <c r="W192" s="62"/>
      <c r="X192" s="61"/>
      <c r="Y192" s="53"/>
      <c r="Z192" s="62"/>
      <c r="AA192" s="62"/>
      <c r="AB192" s="62"/>
      <c r="AC192" s="62"/>
      <c r="AD192" s="62"/>
    </row>
    <row r="193" spans="15:30" x14ac:dyDescent="0.3">
      <c r="O193" s="61"/>
      <c r="P193" s="61"/>
      <c r="Q193" s="53"/>
      <c r="R193" s="62"/>
      <c r="S193" s="62"/>
      <c r="T193" s="62"/>
      <c r="U193" s="62"/>
      <c r="V193" s="62"/>
      <c r="W193" s="62"/>
      <c r="X193" s="61"/>
      <c r="Y193" s="53"/>
      <c r="Z193" s="62"/>
      <c r="AA193" s="62"/>
      <c r="AB193" s="62"/>
      <c r="AC193" s="62"/>
      <c r="AD193" s="62"/>
    </row>
    <row r="194" spans="15:30" x14ac:dyDescent="0.3">
      <c r="O194" s="61"/>
      <c r="P194" s="61"/>
      <c r="Q194" s="53"/>
      <c r="R194" s="62"/>
      <c r="S194" s="62"/>
      <c r="T194" s="62"/>
      <c r="U194" s="62"/>
      <c r="V194" s="62"/>
      <c r="W194" s="62"/>
      <c r="X194" s="61"/>
      <c r="Y194" s="53"/>
      <c r="Z194" s="62"/>
      <c r="AA194" s="62"/>
      <c r="AB194" s="62"/>
      <c r="AC194" s="62"/>
      <c r="AD194" s="62"/>
    </row>
    <row r="195" spans="15:30" x14ac:dyDescent="0.3">
      <c r="O195" s="61"/>
      <c r="P195" s="61"/>
      <c r="Q195" s="53"/>
      <c r="R195" s="62"/>
      <c r="S195" s="62"/>
      <c r="T195" s="62"/>
      <c r="U195" s="62"/>
      <c r="V195" s="62"/>
      <c r="W195" s="62"/>
      <c r="X195" s="61"/>
      <c r="Y195" s="53"/>
      <c r="Z195" s="62"/>
      <c r="AA195" s="62"/>
      <c r="AB195" s="62"/>
      <c r="AC195" s="62"/>
      <c r="AD195" s="62"/>
    </row>
    <row r="196" spans="15:30" x14ac:dyDescent="0.3">
      <c r="O196" s="61"/>
      <c r="P196" s="61"/>
      <c r="Q196" s="53"/>
      <c r="R196" s="62"/>
      <c r="S196" s="62"/>
      <c r="T196" s="62"/>
      <c r="U196" s="62"/>
      <c r="V196" s="62"/>
      <c r="W196" s="62"/>
      <c r="X196" s="61"/>
      <c r="Y196" s="53"/>
      <c r="Z196" s="62"/>
      <c r="AA196" s="62"/>
      <c r="AB196" s="62"/>
      <c r="AC196" s="62"/>
      <c r="AD196" s="62"/>
    </row>
    <row r="197" spans="15:30" x14ac:dyDescent="0.3">
      <c r="O197" s="61"/>
      <c r="P197" s="61"/>
      <c r="Q197" s="53"/>
      <c r="R197" s="62"/>
      <c r="S197" s="62"/>
      <c r="T197" s="62"/>
      <c r="U197" s="62"/>
      <c r="V197" s="62"/>
      <c r="W197" s="62"/>
      <c r="X197" s="61"/>
      <c r="Y197" s="53"/>
      <c r="Z197" s="62"/>
      <c r="AA197" s="62"/>
      <c r="AB197" s="62"/>
      <c r="AC197" s="62"/>
      <c r="AD197" s="62"/>
    </row>
    <row r="198" spans="15:30" x14ac:dyDescent="0.3">
      <c r="O198" s="61"/>
      <c r="P198" s="61"/>
      <c r="Q198" s="53"/>
      <c r="R198" s="62"/>
      <c r="S198" s="62"/>
      <c r="T198" s="62"/>
      <c r="U198" s="62"/>
      <c r="V198" s="62"/>
      <c r="W198" s="62"/>
      <c r="X198" s="61"/>
      <c r="Y198" s="53"/>
      <c r="Z198" s="62"/>
      <c r="AA198" s="62"/>
      <c r="AB198" s="62"/>
      <c r="AC198" s="62"/>
      <c r="AD198" s="62"/>
    </row>
    <row r="199" spans="15:30" x14ac:dyDescent="0.3">
      <c r="O199" s="61"/>
      <c r="P199" s="61"/>
      <c r="Q199" s="53"/>
      <c r="R199" s="62"/>
      <c r="S199" s="62"/>
      <c r="T199" s="62"/>
      <c r="U199" s="62"/>
      <c r="V199" s="62"/>
      <c r="W199" s="62"/>
      <c r="X199" s="61"/>
      <c r="Y199" s="53"/>
      <c r="Z199" s="62"/>
      <c r="AA199" s="62"/>
      <c r="AB199" s="62"/>
      <c r="AC199" s="62"/>
      <c r="AD199" s="62"/>
    </row>
    <row r="200" spans="15:30" x14ac:dyDescent="0.3">
      <c r="O200" s="61"/>
      <c r="P200" s="61"/>
      <c r="Q200" s="53"/>
      <c r="R200" s="62"/>
      <c r="S200" s="62"/>
      <c r="T200" s="62"/>
      <c r="U200" s="62"/>
      <c r="V200" s="62"/>
      <c r="W200" s="62"/>
      <c r="X200" s="61"/>
      <c r="Y200" s="53"/>
      <c r="Z200" s="62"/>
      <c r="AA200" s="62"/>
      <c r="AB200" s="62"/>
      <c r="AC200" s="62"/>
      <c r="AD200" s="62"/>
    </row>
    <row r="201" spans="15:30" x14ac:dyDescent="0.3">
      <c r="O201" s="61"/>
      <c r="P201" s="61"/>
      <c r="Q201" s="53"/>
      <c r="R201" s="62"/>
      <c r="S201" s="62"/>
      <c r="T201" s="62"/>
      <c r="U201" s="62"/>
      <c r="V201" s="62"/>
      <c r="W201" s="62"/>
      <c r="X201" s="61"/>
      <c r="Y201" s="53"/>
      <c r="Z201" s="62"/>
      <c r="AA201" s="62"/>
      <c r="AB201" s="62"/>
      <c r="AC201" s="62"/>
      <c r="AD201" s="62"/>
    </row>
    <row r="202" spans="15:30" x14ac:dyDescent="0.3">
      <c r="O202" s="61"/>
      <c r="P202" s="61"/>
      <c r="Q202" s="53"/>
      <c r="R202" s="62"/>
      <c r="S202" s="62"/>
      <c r="T202" s="62"/>
      <c r="U202" s="62"/>
      <c r="V202" s="62"/>
      <c r="W202" s="62"/>
      <c r="X202" s="61"/>
      <c r="Y202" s="53"/>
      <c r="Z202" s="62"/>
      <c r="AA202" s="62"/>
      <c r="AB202" s="62"/>
      <c r="AC202" s="62"/>
      <c r="AD202" s="62"/>
    </row>
    <row r="203" spans="15:30" x14ac:dyDescent="0.3">
      <c r="O203" s="61"/>
      <c r="P203" s="61"/>
      <c r="Q203" s="53"/>
      <c r="R203" s="62"/>
      <c r="S203" s="62"/>
      <c r="T203" s="62"/>
      <c r="U203" s="62"/>
      <c r="V203" s="62"/>
      <c r="W203" s="62"/>
      <c r="X203" s="61"/>
      <c r="Y203" s="53"/>
      <c r="Z203" s="62"/>
      <c r="AA203" s="62"/>
      <c r="AB203" s="62"/>
      <c r="AC203" s="62"/>
      <c r="AD203" s="62"/>
    </row>
    <row r="204" spans="15:30" x14ac:dyDescent="0.3">
      <c r="O204" s="61"/>
      <c r="P204" s="61"/>
      <c r="Q204" s="53"/>
      <c r="R204" s="62"/>
      <c r="S204" s="62"/>
      <c r="T204" s="62"/>
      <c r="U204" s="62"/>
      <c r="V204" s="62"/>
      <c r="W204" s="62"/>
      <c r="X204" s="61"/>
      <c r="Y204" s="53"/>
      <c r="Z204" s="62"/>
      <c r="AA204" s="62"/>
      <c r="AB204" s="62"/>
      <c r="AC204" s="62"/>
      <c r="AD204" s="62"/>
    </row>
    <row r="205" spans="15:30" x14ac:dyDescent="0.3">
      <c r="O205" s="61"/>
      <c r="P205" s="61"/>
      <c r="Q205" s="53"/>
      <c r="R205" s="62"/>
      <c r="S205" s="62"/>
      <c r="T205" s="62"/>
      <c r="U205" s="62"/>
      <c r="V205" s="62"/>
      <c r="W205" s="62"/>
      <c r="X205" s="61"/>
      <c r="Y205" s="53"/>
      <c r="Z205" s="62"/>
      <c r="AA205" s="62"/>
      <c r="AB205" s="62"/>
      <c r="AC205" s="62"/>
      <c r="AD205" s="62"/>
    </row>
    <row r="206" spans="15:30" x14ac:dyDescent="0.3">
      <c r="O206" s="61"/>
      <c r="P206" s="61"/>
      <c r="Q206" s="53"/>
      <c r="R206" s="62"/>
      <c r="S206" s="62"/>
      <c r="T206" s="62"/>
      <c r="U206" s="62"/>
      <c r="V206" s="62"/>
      <c r="W206" s="62"/>
      <c r="X206" s="61"/>
      <c r="Y206" s="53"/>
      <c r="Z206" s="62"/>
      <c r="AA206" s="62"/>
      <c r="AB206" s="62"/>
      <c r="AC206" s="62"/>
      <c r="AD206" s="62"/>
    </row>
    <row r="207" spans="15:30" x14ac:dyDescent="0.3">
      <c r="O207" s="61"/>
      <c r="P207" s="61"/>
      <c r="Q207" s="53"/>
      <c r="R207" s="62"/>
      <c r="S207" s="62"/>
      <c r="T207" s="62"/>
      <c r="U207" s="62"/>
      <c r="V207" s="62"/>
      <c r="W207" s="62"/>
      <c r="X207" s="61"/>
      <c r="Y207" s="53"/>
      <c r="Z207" s="62"/>
      <c r="AA207" s="62"/>
      <c r="AB207" s="62"/>
      <c r="AC207" s="62"/>
      <c r="AD207" s="62"/>
    </row>
    <row r="208" spans="15:30" x14ac:dyDescent="0.3">
      <c r="O208" s="61"/>
      <c r="P208" s="61"/>
      <c r="Q208" s="53"/>
      <c r="R208" s="62"/>
      <c r="S208" s="62"/>
      <c r="T208" s="62"/>
      <c r="U208" s="62"/>
      <c r="V208" s="62"/>
      <c r="W208" s="62"/>
      <c r="X208" s="61"/>
      <c r="Y208" s="53"/>
      <c r="Z208" s="62"/>
      <c r="AA208" s="62"/>
      <c r="AB208" s="62"/>
      <c r="AC208" s="62"/>
      <c r="AD208" s="62"/>
    </row>
    <row r="209" spans="15:30" x14ac:dyDescent="0.3">
      <c r="O209" s="61"/>
      <c r="P209" s="61"/>
      <c r="Q209" s="53"/>
      <c r="R209" s="62"/>
      <c r="S209" s="62"/>
      <c r="T209" s="62"/>
      <c r="U209" s="62"/>
      <c r="V209" s="62"/>
      <c r="W209" s="62"/>
      <c r="X209" s="61"/>
      <c r="Y209" s="53"/>
      <c r="Z209" s="62"/>
      <c r="AA209" s="62"/>
      <c r="AB209" s="62"/>
      <c r="AC209" s="62"/>
      <c r="AD209" s="62"/>
    </row>
    <row r="210" spans="15:30" x14ac:dyDescent="0.3">
      <c r="O210" s="61"/>
      <c r="P210" s="61"/>
      <c r="Q210" s="53"/>
      <c r="R210" s="62"/>
      <c r="S210" s="62"/>
      <c r="T210" s="62"/>
      <c r="U210" s="62"/>
      <c r="V210" s="62"/>
      <c r="W210" s="62"/>
      <c r="X210" s="61"/>
      <c r="Y210" s="53"/>
      <c r="Z210" s="62"/>
      <c r="AA210" s="62"/>
      <c r="AB210" s="62"/>
      <c r="AC210" s="62"/>
      <c r="AD210" s="62"/>
    </row>
    <row r="211" spans="15:30" x14ac:dyDescent="0.3">
      <c r="O211" s="61"/>
      <c r="P211" s="61"/>
      <c r="Q211" s="53"/>
      <c r="R211" s="62"/>
      <c r="S211" s="62"/>
      <c r="T211" s="62"/>
      <c r="U211" s="62"/>
      <c r="V211" s="62"/>
      <c r="W211" s="62"/>
      <c r="X211" s="61"/>
      <c r="Y211" s="53"/>
      <c r="Z211" s="62"/>
      <c r="AA211" s="62"/>
      <c r="AB211" s="62"/>
      <c r="AC211" s="62"/>
      <c r="AD211" s="62"/>
    </row>
    <row r="212" spans="15:30" x14ac:dyDescent="0.3">
      <c r="O212" s="61"/>
      <c r="P212" s="61"/>
      <c r="Q212" s="53"/>
      <c r="R212" s="62"/>
      <c r="S212" s="62"/>
      <c r="T212" s="62"/>
      <c r="U212" s="62"/>
      <c r="V212" s="62"/>
      <c r="W212" s="62"/>
      <c r="X212" s="61"/>
      <c r="Y212" s="53"/>
      <c r="Z212" s="62"/>
      <c r="AA212" s="62"/>
      <c r="AB212" s="62"/>
      <c r="AC212" s="62"/>
      <c r="AD212" s="62"/>
    </row>
    <row r="213" spans="15:30" x14ac:dyDescent="0.3">
      <c r="O213" s="61"/>
      <c r="P213" s="61"/>
      <c r="Q213" s="53"/>
      <c r="R213" s="62"/>
      <c r="S213" s="62"/>
      <c r="T213" s="62"/>
      <c r="U213" s="62"/>
      <c r="V213" s="62"/>
      <c r="W213" s="62"/>
      <c r="X213" s="61"/>
      <c r="Y213" s="53"/>
      <c r="Z213" s="62"/>
      <c r="AA213" s="62"/>
      <c r="AB213" s="62"/>
      <c r="AC213" s="62"/>
      <c r="AD213" s="62"/>
    </row>
    <row r="214" spans="15:30" x14ac:dyDescent="0.3">
      <c r="O214" s="61"/>
      <c r="P214" s="61"/>
      <c r="Q214" s="53"/>
      <c r="R214" s="62"/>
      <c r="S214" s="62"/>
      <c r="T214" s="62"/>
      <c r="U214" s="62"/>
      <c r="V214" s="62"/>
      <c r="W214" s="62"/>
      <c r="X214" s="61"/>
      <c r="Y214" s="53"/>
      <c r="Z214" s="62"/>
      <c r="AA214" s="62"/>
      <c r="AB214" s="62"/>
      <c r="AC214" s="62"/>
      <c r="AD214" s="62"/>
    </row>
    <row r="215" spans="15:30" x14ac:dyDescent="0.3">
      <c r="O215" s="61"/>
      <c r="P215" s="61"/>
      <c r="Q215" s="53"/>
      <c r="R215" s="62"/>
      <c r="S215" s="62"/>
      <c r="T215" s="62"/>
      <c r="U215" s="62"/>
      <c r="V215" s="62"/>
      <c r="W215" s="62"/>
      <c r="X215" s="61"/>
      <c r="Y215" s="53"/>
      <c r="Z215" s="62"/>
      <c r="AA215" s="62"/>
      <c r="AB215" s="62"/>
      <c r="AC215" s="62"/>
      <c r="AD215" s="62"/>
    </row>
    <row r="216" spans="15:30" x14ac:dyDescent="0.3">
      <c r="O216" s="61"/>
      <c r="P216" s="61"/>
      <c r="Q216" s="53"/>
      <c r="R216" s="62"/>
      <c r="S216" s="62"/>
      <c r="T216" s="62"/>
      <c r="U216" s="62"/>
      <c r="V216" s="62"/>
      <c r="W216" s="62"/>
      <c r="X216" s="61"/>
      <c r="Y216" s="53"/>
      <c r="Z216" s="62"/>
      <c r="AA216" s="62"/>
      <c r="AB216" s="62"/>
      <c r="AC216" s="62"/>
      <c r="AD216" s="62"/>
    </row>
    <row r="217" spans="15:30" x14ac:dyDescent="0.3">
      <c r="O217" s="61"/>
      <c r="P217" s="61"/>
      <c r="Q217" s="53"/>
      <c r="R217" s="62"/>
      <c r="S217" s="62"/>
      <c r="T217" s="62"/>
      <c r="U217" s="62"/>
      <c r="V217" s="62"/>
      <c r="W217" s="62"/>
      <c r="X217" s="61"/>
      <c r="Y217" s="53"/>
      <c r="Z217" s="62"/>
      <c r="AA217" s="62"/>
      <c r="AB217" s="62"/>
      <c r="AC217" s="62"/>
      <c r="AD217" s="62"/>
    </row>
    <row r="218" spans="15:30" x14ac:dyDescent="0.3">
      <c r="O218" s="61"/>
      <c r="P218" s="61"/>
      <c r="Q218" s="53"/>
      <c r="R218" s="62"/>
      <c r="S218" s="62"/>
      <c r="T218" s="62"/>
      <c r="U218" s="62"/>
      <c r="V218" s="62"/>
      <c r="W218" s="62"/>
      <c r="X218" s="61"/>
      <c r="Y218" s="53"/>
      <c r="Z218" s="62"/>
      <c r="AA218" s="62"/>
      <c r="AB218" s="62"/>
      <c r="AC218" s="62"/>
      <c r="AD218" s="62"/>
    </row>
    <row r="219" spans="15:30" x14ac:dyDescent="0.3">
      <c r="O219" s="61"/>
      <c r="P219" s="61"/>
      <c r="Q219" s="53"/>
      <c r="R219" s="62"/>
      <c r="S219" s="62"/>
      <c r="T219" s="62"/>
      <c r="U219" s="62"/>
      <c r="V219" s="62"/>
      <c r="W219" s="62"/>
      <c r="X219" s="61"/>
      <c r="Y219" s="53"/>
      <c r="Z219" s="62"/>
      <c r="AA219" s="62"/>
      <c r="AB219" s="62"/>
      <c r="AC219" s="62"/>
      <c r="AD219" s="62"/>
    </row>
    <row r="220" spans="15:30" x14ac:dyDescent="0.3">
      <c r="O220" s="61"/>
      <c r="P220" s="61"/>
      <c r="Q220" s="53"/>
      <c r="R220" s="62"/>
      <c r="S220" s="62"/>
      <c r="T220" s="62"/>
      <c r="U220" s="62"/>
      <c r="V220" s="62"/>
      <c r="W220" s="62"/>
      <c r="X220" s="61"/>
      <c r="Y220" s="53"/>
      <c r="Z220" s="62"/>
      <c r="AA220" s="62"/>
      <c r="AB220" s="62"/>
      <c r="AC220" s="62"/>
      <c r="AD220" s="62"/>
    </row>
    <row r="221" spans="15:30" x14ac:dyDescent="0.3">
      <c r="O221" s="61"/>
      <c r="P221" s="61"/>
      <c r="Q221" s="53"/>
      <c r="R221" s="62"/>
      <c r="S221" s="62"/>
      <c r="T221" s="62"/>
      <c r="U221" s="62"/>
      <c r="V221" s="62"/>
      <c r="W221" s="62"/>
      <c r="X221" s="61"/>
      <c r="Y221" s="53"/>
      <c r="Z221" s="62"/>
      <c r="AA221" s="62"/>
      <c r="AB221" s="62"/>
      <c r="AC221" s="62"/>
      <c r="AD221" s="62"/>
    </row>
    <row r="222" spans="15:30" x14ac:dyDescent="0.3">
      <c r="O222" s="61"/>
      <c r="P222" s="61"/>
      <c r="Q222" s="53"/>
      <c r="R222" s="62"/>
      <c r="S222" s="62"/>
      <c r="T222" s="62"/>
      <c r="U222" s="62"/>
      <c r="V222" s="62"/>
      <c r="W222" s="62"/>
      <c r="X222" s="61"/>
      <c r="Y222" s="53"/>
      <c r="Z222" s="62"/>
      <c r="AA222" s="62"/>
      <c r="AB222" s="62"/>
      <c r="AC222" s="62"/>
      <c r="AD222" s="62"/>
    </row>
    <row r="223" spans="15:30" x14ac:dyDescent="0.3">
      <c r="O223" s="61"/>
      <c r="P223" s="61"/>
      <c r="Q223" s="53"/>
      <c r="R223" s="62"/>
      <c r="S223" s="62"/>
      <c r="T223" s="62"/>
      <c r="U223" s="62"/>
      <c r="V223" s="62"/>
      <c r="W223" s="62"/>
      <c r="X223" s="61"/>
      <c r="Y223" s="53"/>
      <c r="Z223" s="62"/>
      <c r="AA223" s="62"/>
      <c r="AB223" s="62"/>
      <c r="AC223" s="62"/>
      <c r="AD223" s="62"/>
    </row>
    <row r="224" spans="15:30" x14ac:dyDescent="0.3">
      <c r="O224" s="61"/>
      <c r="P224" s="61"/>
      <c r="Q224" s="53"/>
      <c r="R224" s="62"/>
      <c r="S224" s="62"/>
      <c r="T224" s="62"/>
      <c r="U224" s="62"/>
      <c r="V224" s="62"/>
      <c r="W224" s="62"/>
      <c r="X224" s="61"/>
      <c r="Y224" s="53"/>
      <c r="Z224" s="62"/>
      <c r="AA224" s="62"/>
      <c r="AB224" s="62"/>
      <c r="AC224" s="62"/>
      <c r="AD224" s="62"/>
    </row>
    <row r="225" spans="15:30" x14ac:dyDescent="0.3">
      <c r="O225" s="61"/>
      <c r="P225" s="61"/>
      <c r="Q225" s="53"/>
      <c r="R225" s="62"/>
      <c r="S225" s="62"/>
      <c r="T225" s="62"/>
      <c r="U225" s="62"/>
      <c r="V225" s="62"/>
      <c r="W225" s="62"/>
      <c r="X225" s="61"/>
      <c r="Y225" s="53"/>
      <c r="Z225" s="62"/>
      <c r="AA225" s="62"/>
      <c r="AB225" s="62"/>
      <c r="AC225" s="62"/>
      <c r="AD225" s="62"/>
    </row>
    <row r="226" spans="15:30" x14ac:dyDescent="0.3">
      <c r="O226" s="61"/>
      <c r="P226" s="61"/>
      <c r="Q226" s="53"/>
      <c r="R226" s="62"/>
      <c r="S226" s="62"/>
      <c r="T226" s="62"/>
      <c r="U226" s="62"/>
      <c r="V226" s="62"/>
      <c r="W226" s="62"/>
      <c r="X226" s="61"/>
      <c r="Y226" s="53"/>
      <c r="Z226" s="62"/>
      <c r="AA226" s="62"/>
      <c r="AB226" s="62"/>
      <c r="AC226" s="62"/>
      <c r="AD226" s="62"/>
    </row>
    <row r="227" spans="15:30" x14ac:dyDescent="0.3">
      <c r="O227" s="61"/>
      <c r="P227" s="61"/>
      <c r="Q227" s="53"/>
      <c r="R227" s="62"/>
      <c r="S227" s="62"/>
      <c r="T227" s="62"/>
      <c r="U227" s="62"/>
      <c r="V227" s="62"/>
      <c r="W227" s="62"/>
      <c r="X227" s="61"/>
      <c r="Y227" s="53"/>
      <c r="Z227" s="62"/>
      <c r="AA227" s="62"/>
      <c r="AB227" s="62"/>
      <c r="AC227" s="62"/>
      <c r="AD227" s="62"/>
    </row>
    <row r="228" spans="15:30" x14ac:dyDescent="0.3">
      <c r="O228" s="61"/>
      <c r="P228" s="61"/>
      <c r="Q228" s="53"/>
      <c r="R228" s="62"/>
      <c r="S228" s="62"/>
      <c r="T228" s="62"/>
      <c r="U228" s="62"/>
      <c r="V228" s="62"/>
      <c r="W228" s="62"/>
      <c r="X228" s="61"/>
      <c r="Y228" s="53"/>
      <c r="Z228" s="62"/>
      <c r="AA228" s="62"/>
      <c r="AB228" s="62"/>
      <c r="AC228" s="62"/>
      <c r="AD228" s="62"/>
    </row>
    <row r="229" spans="15:30" x14ac:dyDescent="0.3">
      <c r="O229" s="61"/>
      <c r="P229" s="61"/>
      <c r="Q229" s="53"/>
      <c r="R229" s="62"/>
      <c r="S229" s="62"/>
      <c r="T229" s="62"/>
      <c r="U229" s="62"/>
      <c r="V229" s="62"/>
      <c r="W229" s="62"/>
      <c r="X229" s="61"/>
      <c r="Y229" s="53"/>
      <c r="Z229" s="62"/>
      <c r="AA229" s="62"/>
      <c r="AB229" s="62"/>
      <c r="AC229" s="62"/>
      <c r="AD229" s="62"/>
    </row>
    <row r="230" spans="15:30" x14ac:dyDescent="0.3">
      <c r="O230" s="61"/>
      <c r="P230" s="61"/>
      <c r="Q230" s="53"/>
      <c r="R230" s="62"/>
      <c r="S230" s="62"/>
      <c r="T230" s="62"/>
      <c r="U230" s="62"/>
      <c r="V230" s="62"/>
      <c r="W230" s="62"/>
      <c r="X230" s="61"/>
      <c r="Y230" s="53"/>
      <c r="Z230" s="62"/>
      <c r="AA230" s="62"/>
      <c r="AB230" s="62"/>
      <c r="AC230" s="62"/>
      <c r="AD230" s="62"/>
    </row>
    <row r="231" spans="15:30" x14ac:dyDescent="0.3">
      <c r="O231" s="61"/>
      <c r="P231" s="61"/>
      <c r="Q231" s="53"/>
      <c r="R231" s="62"/>
      <c r="S231" s="62"/>
      <c r="T231" s="62"/>
      <c r="U231" s="62"/>
      <c r="V231" s="62"/>
      <c r="W231" s="62"/>
      <c r="X231" s="61"/>
      <c r="Y231" s="53"/>
      <c r="Z231" s="62"/>
      <c r="AA231" s="62"/>
      <c r="AB231" s="62"/>
      <c r="AC231" s="62"/>
      <c r="AD231" s="62"/>
    </row>
    <row r="232" spans="15:30" x14ac:dyDescent="0.3">
      <c r="O232" s="61"/>
      <c r="P232" s="61"/>
      <c r="Q232" s="53"/>
      <c r="R232" s="62"/>
      <c r="S232" s="62"/>
      <c r="T232" s="62"/>
      <c r="U232" s="62"/>
      <c r="V232" s="62"/>
      <c r="W232" s="62"/>
      <c r="X232" s="61"/>
      <c r="Y232" s="53"/>
      <c r="Z232" s="62"/>
      <c r="AA232" s="62"/>
      <c r="AB232" s="62"/>
      <c r="AC232" s="62"/>
      <c r="AD232" s="62"/>
    </row>
    <row r="233" spans="15:30" x14ac:dyDescent="0.3">
      <c r="O233" s="61"/>
      <c r="P233" s="61"/>
      <c r="Q233" s="53"/>
      <c r="R233" s="62"/>
      <c r="S233" s="62"/>
      <c r="T233" s="62"/>
      <c r="U233" s="62"/>
      <c r="V233" s="62"/>
      <c r="W233" s="62"/>
      <c r="X233" s="61"/>
      <c r="Y233" s="53"/>
      <c r="Z233" s="62"/>
      <c r="AA233" s="62"/>
      <c r="AB233" s="62"/>
      <c r="AC233" s="62"/>
      <c r="AD233" s="62"/>
    </row>
    <row r="234" spans="15:30" x14ac:dyDescent="0.3">
      <c r="O234" s="61"/>
      <c r="P234" s="61"/>
      <c r="Q234" s="53"/>
      <c r="R234" s="62"/>
      <c r="S234" s="62"/>
      <c r="T234" s="62"/>
      <c r="U234" s="62"/>
      <c r="V234" s="62"/>
      <c r="W234" s="62"/>
      <c r="X234" s="61"/>
      <c r="Y234" s="53"/>
      <c r="Z234" s="62"/>
      <c r="AA234" s="62"/>
      <c r="AB234" s="62"/>
      <c r="AC234" s="62"/>
      <c r="AD234" s="62"/>
    </row>
    <row r="235" spans="15:30" x14ac:dyDescent="0.3">
      <c r="O235" s="61"/>
      <c r="P235" s="61"/>
      <c r="Q235" s="53"/>
      <c r="R235" s="62"/>
      <c r="S235" s="62"/>
      <c r="T235" s="62"/>
      <c r="U235" s="62"/>
      <c r="V235" s="62"/>
      <c r="W235" s="62"/>
      <c r="X235" s="61"/>
      <c r="Y235" s="53"/>
      <c r="Z235" s="62"/>
      <c r="AA235" s="62"/>
      <c r="AB235" s="62"/>
      <c r="AC235" s="62"/>
      <c r="AD235" s="62"/>
    </row>
    <row r="236" spans="15:30" x14ac:dyDescent="0.3">
      <c r="O236" s="61"/>
      <c r="P236" s="61"/>
      <c r="Q236" s="53"/>
      <c r="R236" s="62"/>
      <c r="S236" s="62"/>
      <c r="T236" s="62"/>
      <c r="U236" s="62"/>
      <c r="V236" s="62"/>
      <c r="W236" s="62"/>
      <c r="X236" s="61"/>
      <c r="Y236" s="53"/>
      <c r="Z236" s="62"/>
      <c r="AA236" s="62"/>
      <c r="AB236" s="62"/>
      <c r="AC236" s="62"/>
      <c r="AD236" s="62"/>
    </row>
    <row r="237" spans="15:30" x14ac:dyDescent="0.3">
      <c r="O237" s="61"/>
      <c r="P237" s="61"/>
      <c r="Q237" s="53"/>
      <c r="R237" s="62"/>
      <c r="S237" s="62"/>
      <c r="T237" s="62"/>
      <c r="U237" s="62"/>
      <c r="V237" s="62"/>
      <c r="W237" s="62"/>
      <c r="X237" s="61"/>
      <c r="Y237" s="53"/>
      <c r="Z237" s="62"/>
      <c r="AA237" s="62"/>
      <c r="AB237" s="62"/>
      <c r="AC237" s="62"/>
      <c r="AD237" s="62"/>
    </row>
    <row r="238" spans="15:30" x14ac:dyDescent="0.3">
      <c r="O238" s="61"/>
      <c r="P238" s="61"/>
      <c r="Q238" s="53"/>
      <c r="R238" s="62"/>
      <c r="S238" s="62"/>
      <c r="T238" s="62"/>
      <c r="U238" s="62"/>
      <c r="V238" s="62"/>
      <c r="W238" s="62"/>
      <c r="X238" s="61"/>
      <c r="Y238" s="53"/>
      <c r="Z238" s="62"/>
      <c r="AA238" s="62"/>
      <c r="AB238" s="62"/>
      <c r="AC238" s="62"/>
      <c r="AD238" s="62"/>
    </row>
    <row r="239" spans="15:30" x14ac:dyDescent="0.3">
      <c r="O239" s="61"/>
      <c r="P239" s="61"/>
      <c r="Q239" s="53"/>
      <c r="R239" s="62"/>
      <c r="S239" s="62"/>
      <c r="T239" s="62"/>
      <c r="U239" s="62"/>
      <c r="V239" s="62"/>
      <c r="W239" s="62"/>
      <c r="X239" s="61"/>
      <c r="Y239" s="53"/>
      <c r="Z239" s="62"/>
      <c r="AA239" s="62"/>
      <c r="AB239" s="62"/>
      <c r="AC239" s="62"/>
      <c r="AD239" s="62"/>
    </row>
    <row r="240" spans="15:30" x14ac:dyDescent="0.3">
      <c r="O240" s="61"/>
      <c r="P240" s="61"/>
      <c r="Q240" s="53"/>
      <c r="R240" s="62"/>
      <c r="S240" s="62"/>
      <c r="T240" s="62"/>
      <c r="U240" s="62"/>
      <c r="V240" s="62"/>
      <c r="W240" s="62"/>
      <c r="X240" s="61"/>
      <c r="Y240" s="53"/>
      <c r="Z240" s="62"/>
      <c r="AA240" s="62"/>
      <c r="AB240" s="62"/>
      <c r="AC240" s="62"/>
      <c r="AD240" s="62"/>
    </row>
    <row r="241" spans="15:30" x14ac:dyDescent="0.3">
      <c r="O241" s="61"/>
      <c r="P241" s="61"/>
      <c r="Q241" s="53"/>
      <c r="R241" s="62"/>
      <c r="S241" s="62"/>
      <c r="T241" s="62"/>
      <c r="U241" s="62"/>
      <c r="V241" s="62"/>
      <c r="W241" s="62"/>
      <c r="X241" s="61"/>
      <c r="Y241" s="53"/>
      <c r="Z241" s="62"/>
      <c r="AA241" s="62"/>
      <c r="AB241" s="62"/>
      <c r="AC241" s="62"/>
      <c r="AD241" s="62"/>
    </row>
    <row r="242" spans="15:30" x14ac:dyDescent="0.3">
      <c r="O242" s="61"/>
      <c r="P242" s="61"/>
      <c r="Q242" s="53"/>
      <c r="R242" s="62"/>
      <c r="S242" s="62"/>
      <c r="T242" s="62"/>
      <c r="U242" s="62"/>
      <c r="V242" s="62"/>
      <c r="W242" s="62"/>
      <c r="X242" s="61"/>
      <c r="Y242" s="53"/>
      <c r="Z242" s="62"/>
      <c r="AA242" s="62"/>
      <c r="AB242" s="62"/>
      <c r="AC242" s="62"/>
      <c r="AD242" s="62"/>
    </row>
    <row r="243" spans="15:30" x14ac:dyDescent="0.3">
      <c r="O243" s="61"/>
      <c r="P243" s="61"/>
      <c r="Q243" s="53"/>
      <c r="R243" s="62"/>
      <c r="S243" s="62"/>
      <c r="T243" s="62"/>
      <c r="U243" s="62"/>
      <c r="V243" s="62"/>
      <c r="W243" s="62"/>
      <c r="X243" s="61"/>
      <c r="Y243" s="53"/>
      <c r="Z243" s="62"/>
      <c r="AA243" s="62"/>
      <c r="AB243" s="62"/>
      <c r="AC243" s="62"/>
      <c r="AD243" s="62"/>
    </row>
    <row r="244" spans="15:30" x14ac:dyDescent="0.3">
      <c r="O244" s="61"/>
      <c r="P244" s="61"/>
      <c r="Q244" s="53"/>
      <c r="R244" s="62"/>
      <c r="S244" s="62"/>
      <c r="T244" s="62"/>
      <c r="U244" s="62"/>
      <c r="V244" s="62"/>
      <c r="W244" s="62"/>
      <c r="X244" s="61"/>
      <c r="Y244" s="53"/>
      <c r="Z244" s="62"/>
      <c r="AA244" s="62"/>
      <c r="AB244" s="62"/>
      <c r="AC244" s="62"/>
      <c r="AD244" s="62"/>
    </row>
    <row r="245" spans="15:30" x14ac:dyDescent="0.3">
      <c r="O245" s="61"/>
      <c r="P245" s="61"/>
      <c r="Q245" s="53"/>
      <c r="R245" s="62"/>
      <c r="S245" s="62"/>
      <c r="T245" s="62"/>
      <c r="U245" s="62"/>
      <c r="V245" s="62"/>
      <c r="W245" s="62"/>
      <c r="X245" s="61"/>
      <c r="Y245" s="53"/>
      <c r="Z245" s="62"/>
      <c r="AA245" s="62"/>
      <c r="AB245" s="62"/>
      <c r="AC245" s="62"/>
      <c r="AD245" s="62"/>
    </row>
    <row r="246" spans="15:30" x14ac:dyDescent="0.3">
      <c r="O246" s="61"/>
      <c r="P246" s="61"/>
      <c r="Q246" s="53"/>
      <c r="R246" s="62"/>
      <c r="S246" s="62"/>
      <c r="T246" s="62"/>
      <c r="U246" s="62"/>
      <c r="V246" s="62"/>
      <c r="W246" s="62"/>
      <c r="X246" s="61"/>
      <c r="Y246" s="53"/>
      <c r="Z246" s="62"/>
      <c r="AA246" s="62"/>
      <c r="AB246" s="62"/>
      <c r="AC246" s="62"/>
      <c r="AD246" s="62"/>
    </row>
    <row r="247" spans="15:30" x14ac:dyDescent="0.3">
      <c r="O247" s="61"/>
      <c r="P247" s="61"/>
      <c r="Q247" s="53"/>
      <c r="R247" s="62"/>
      <c r="S247" s="62"/>
      <c r="T247" s="62"/>
      <c r="U247" s="62"/>
      <c r="V247" s="62"/>
      <c r="W247" s="62"/>
      <c r="X247" s="61"/>
      <c r="Y247" s="53"/>
      <c r="Z247" s="62"/>
      <c r="AA247" s="62"/>
      <c r="AB247" s="62"/>
      <c r="AC247" s="62"/>
      <c r="AD247" s="62"/>
    </row>
    <row r="248" spans="15:30" x14ac:dyDescent="0.3">
      <c r="O248" s="61"/>
      <c r="P248" s="61"/>
      <c r="Q248" s="53"/>
      <c r="R248" s="62"/>
      <c r="S248" s="62"/>
      <c r="T248" s="62"/>
      <c r="U248" s="62"/>
      <c r="V248" s="62"/>
      <c r="W248" s="62"/>
      <c r="X248" s="61"/>
      <c r="Y248" s="53"/>
      <c r="Z248" s="62"/>
      <c r="AA248" s="62"/>
      <c r="AB248" s="62"/>
      <c r="AC248" s="62"/>
      <c r="AD248" s="62"/>
    </row>
    <row r="249" spans="15:30" x14ac:dyDescent="0.3">
      <c r="O249" s="61"/>
      <c r="P249" s="61"/>
      <c r="Q249" s="53"/>
      <c r="R249" s="62"/>
      <c r="S249" s="62"/>
      <c r="T249" s="62"/>
      <c r="U249" s="62"/>
      <c r="V249" s="62"/>
      <c r="W249" s="62"/>
      <c r="X249" s="61"/>
      <c r="Y249" s="53"/>
      <c r="Z249" s="62"/>
      <c r="AA249" s="62"/>
      <c r="AB249" s="62"/>
      <c r="AC249" s="62"/>
      <c r="AD249" s="62"/>
    </row>
    <row r="250" spans="15:30" x14ac:dyDescent="0.3">
      <c r="O250" s="61"/>
      <c r="P250" s="61"/>
      <c r="Q250" s="53"/>
      <c r="R250" s="62"/>
      <c r="S250" s="62"/>
      <c r="T250" s="62"/>
      <c r="U250" s="62"/>
      <c r="V250" s="62"/>
      <c r="W250" s="62"/>
      <c r="X250" s="61"/>
      <c r="Y250" s="53"/>
      <c r="Z250" s="62"/>
      <c r="AA250" s="62"/>
      <c r="AB250" s="62"/>
      <c r="AC250" s="62"/>
      <c r="AD250" s="62"/>
    </row>
    <row r="251" spans="15:30" x14ac:dyDescent="0.3">
      <c r="O251" s="61"/>
      <c r="P251" s="61"/>
      <c r="Q251" s="53"/>
      <c r="R251" s="62"/>
      <c r="S251" s="62"/>
      <c r="T251" s="62"/>
      <c r="U251" s="62"/>
      <c r="V251" s="62"/>
      <c r="W251" s="62"/>
      <c r="X251" s="61"/>
      <c r="Y251" s="53"/>
      <c r="Z251" s="62"/>
      <c r="AA251" s="62"/>
      <c r="AB251" s="62"/>
      <c r="AC251" s="62"/>
      <c r="AD251" s="62"/>
    </row>
    <row r="252" spans="15:30" x14ac:dyDescent="0.3">
      <c r="O252" s="61"/>
      <c r="P252" s="61"/>
      <c r="Q252" s="53"/>
      <c r="R252" s="62"/>
      <c r="S252" s="62"/>
      <c r="T252" s="62"/>
      <c r="U252" s="62"/>
      <c r="V252" s="62"/>
      <c r="W252" s="62"/>
      <c r="X252" s="61"/>
      <c r="Y252" s="53"/>
      <c r="Z252" s="62"/>
      <c r="AA252" s="62"/>
      <c r="AB252" s="62"/>
      <c r="AC252" s="62"/>
      <c r="AD252" s="62"/>
    </row>
    <row r="253" spans="15:30" x14ac:dyDescent="0.3">
      <c r="O253" s="61"/>
      <c r="P253" s="61"/>
      <c r="Q253" s="53"/>
      <c r="R253" s="62"/>
      <c r="S253" s="62"/>
      <c r="T253" s="62"/>
      <c r="U253" s="62"/>
      <c r="V253" s="62"/>
      <c r="W253" s="62"/>
      <c r="X253" s="61"/>
      <c r="Y253" s="53"/>
      <c r="Z253" s="62"/>
      <c r="AA253" s="62"/>
      <c r="AB253" s="62"/>
      <c r="AC253" s="62"/>
      <c r="AD253" s="62"/>
    </row>
    <row r="254" spans="15:30" x14ac:dyDescent="0.3">
      <c r="O254" s="61"/>
      <c r="P254" s="61"/>
      <c r="Q254" s="53"/>
      <c r="R254" s="62"/>
      <c r="S254" s="62"/>
      <c r="T254" s="62"/>
      <c r="U254" s="62"/>
      <c r="V254" s="62"/>
      <c r="W254" s="62"/>
      <c r="X254" s="61"/>
      <c r="Y254" s="53"/>
      <c r="Z254" s="62"/>
      <c r="AA254" s="62"/>
      <c r="AB254" s="62"/>
      <c r="AC254" s="62"/>
      <c r="AD254" s="62"/>
    </row>
    <row r="255" spans="15:30" x14ac:dyDescent="0.3">
      <c r="O255" s="61"/>
      <c r="P255" s="61"/>
      <c r="Q255" s="53"/>
      <c r="R255" s="62"/>
      <c r="S255" s="62"/>
      <c r="T255" s="62"/>
      <c r="U255" s="62"/>
      <c r="V255" s="62"/>
      <c r="W255" s="62"/>
      <c r="X255" s="61"/>
      <c r="Y255" s="53"/>
      <c r="Z255" s="62"/>
      <c r="AA255" s="62"/>
      <c r="AB255" s="62"/>
      <c r="AC255" s="62"/>
      <c r="AD255" s="62"/>
    </row>
    <row r="256" spans="15:30" x14ac:dyDescent="0.3">
      <c r="O256" s="61"/>
      <c r="P256" s="61"/>
      <c r="Q256" s="53"/>
      <c r="R256" s="62"/>
      <c r="S256" s="62"/>
      <c r="T256" s="62"/>
      <c r="U256" s="62"/>
      <c r="V256" s="62"/>
      <c r="W256" s="62"/>
      <c r="X256" s="61"/>
      <c r="Y256" s="53"/>
      <c r="Z256" s="62"/>
      <c r="AA256" s="62"/>
      <c r="AB256" s="62"/>
      <c r="AC256" s="62"/>
      <c r="AD256" s="62"/>
    </row>
    <row r="257" spans="15:30" x14ac:dyDescent="0.3">
      <c r="O257" s="61"/>
      <c r="P257" s="61"/>
      <c r="Q257" s="53"/>
      <c r="R257" s="62"/>
      <c r="S257" s="62"/>
      <c r="T257" s="62"/>
      <c r="U257" s="62"/>
      <c r="V257" s="62"/>
      <c r="W257" s="62"/>
      <c r="X257" s="61"/>
      <c r="Y257" s="53"/>
      <c r="Z257" s="62"/>
      <c r="AA257" s="62"/>
      <c r="AB257" s="62"/>
      <c r="AC257" s="62"/>
      <c r="AD257" s="62"/>
    </row>
    <row r="258" spans="15:30" x14ac:dyDescent="0.3">
      <c r="O258" s="61"/>
      <c r="P258" s="61"/>
      <c r="Q258" s="53"/>
      <c r="R258" s="62"/>
      <c r="S258" s="62"/>
      <c r="T258" s="62"/>
      <c r="U258" s="62"/>
      <c r="V258" s="62"/>
      <c r="W258" s="62"/>
      <c r="X258" s="61"/>
      <c r="Y258" s="53"/>
      <c r="Z258" s="62"/>
      <c r="AA258" s="62"/>
      <c r="AB258" s="62"/>
      <c r="AC258" s="62"/>
      <c r="AD258" s="62"/>
    </row>
    <row r="259" spans="15:30" x14ac:dyDescent="0.3">
      <c r="O259" s="61"/>
      <c r="P259" s="61"/>
      <c r="Q259" s="53"/>
      <c r="R259" s="62"/>
      <c r="S259" s="62"/>
      <c r="T259" s="62"/>
      <c r="U259" s="62"/>
      <c r="V259" s="62"/>
      <c r="W259" s="62"/>
      <c r="X259" s="61"/>
      <c r="Y259" s="53"/>
      <c r="Z259" s="62"/>
      <c r="AA259" s="62"/>
      <c r="AB259" s="62"/>
      <c r="AC259" s="62"/>
      <c r="AD259" s="62"/>
    </row>
    <row r="260" spans="15:30" x14ac:dyDescent="0.3">
      <c r="O260" s="61"/>
      <c r="P260" s="61"/>
      <c r="Q260" s="53"/>
      <c r="R260" s="62"/>
      <c r="S260" s="62"/>
      <c r="T260" s="62"/>
      <c r="U260" s="62"/>
      <c r="V260" s="62"/>
      <c r="W260" s="62"/>
      <c r="X260" s="61"/>
      <c r="Y260" s="53"/>
      <c r="Z260" s="62"/>
      <c r="AA260" s="62"/>
      <c r="AB260" s="62"/>
      <c r="AC260" s="62"/>
      <c r="AD260" s="62"/>
    </row>
    <row r="261" spans="15:30" x14ac:dyDescent="0.3">
      <c r="O261" s="61"/>
      <c r="P261" s="61"/>
      <c r="Q261" s="53"/>
      <c r="R261" s="62"/>
      <c r="S261" s="62"/>
      <c r="T261" s="62"/>
      <c r="U261" s="62"/>
      <c r="V261" s="62"/>
      <c r="W261" s="62"/>
      <c r="X261" s="61"/>
      <c r="Y261" s="53"/>
      <c r="Z261" s="62"/>
      <c r="AA261" s="62"/>
      <c r="AB261" s="62"/>
      <c r="AC261" s="62"/>
      <c r="AD261" s="62"/>
    </row>
    <row r="262" spans="15:30" x14ac:dyDescent="0.3">
      <c r="O262" s="61"/>
      <c r="P262" s="61"/>
      <c r="Q262" s="53"/>
      <c r="R262" s="62"/>
      <c r="S262" s="62"/>
      <c r="T262" s="62"/>
      <c r="U262" s="62"/>
      <c r="V262" s="62"/>
      <c r="W262" s="62"/>
      <c r="X262" s="61"/>
      <c r="Y262" s="53"/>
      <c r="Z262" s="62"/>
      <c r="AA262" s="62"/>
      <c r="AB262" s="62"/>
      <c r="AC262" s="62"/>
      <c r="AD262" s="62"/>
    </row>
    <row r="263" spans="15:30" x14ac:dyDescent="0.3">
      <c r="O263" s="61"/>
      <c r="P263" s="61"/>
      <c r="Q263" s="53"/>
      <c r="R263" s="62"/>
      <c r="S263" s="62"/>
      <c r="T263" s="62"/>
      <c r="U263" s="62"/>
      <c r="V263" s="62"/>
      <c r="W263" s="62"/>
      <c r="X263" s="61"/>
      <c r="Y263" s="53"/>
      <c r="Z263" s="62"/>
      <c r="AA263" s="62"/>
      <c r="AB263" s="62"/>
      <c r="AC263" s="62"/>
      <c r="AD263" s="62"/>
    </row>
    <row r="264" spans="15:30" x14ac:dyDescent="0.3">
      <c r="O264" s="61"/>
      <c r="P264" s="61"/>
      <c r="Q264" s="53"/>
      <c r="R264" s="62"/>
      <c r="S264" s="62"/>
      <c r="T264" s="62"/>
      <c r="U264" s="62"/>
      <c r="V264" s="62"/>
      <c r="W264" s="62"/>
      <c r="X264" s="61"/>
      <c r="Y264" s="53"/>
      <c r="Z264" s="62"/>
      <c r="AA264" s="62"/>
      <c r="AB264" s="62"/>
      <c r="AC264" s="62"/>
      <c r="AD264" s="62"/>
    </row>
    <row r="265" spans="15:30" x14ac:dyDescent="0.3">
      <c r="O265" s="61"/>
      <c r="P265" s="61"/>
      <c r="Q265" s="53"/>
      <c r="R265" s="62"/>
      <c r="S265" s="62"/>
      <c r="T265" s="62"/>
      <c r="U265" s="62"/>
      <c r="V265" s="62"/>
      <c r="W265" s="62"/>
      <c r="X265" s="61"/>
      <c r="Y265" s="53"/>
      <c r="Z265" s="62"/>
      <c r="AA265" s="62"/>
      <c r="AB265" s="62"/>
      <c r="AC265" s="62"/>
      <c r="AD265" s="62"/>
    </row>
    <row r="266" spans="15:30" x14ac:dyDescent="0.3">
      <c r="O266" s="61"/>
      <c r="P266" s="61"/>
      <c r="Q266" s="53"/>
      <c r="R266" s="62"/>
      <c r="S266" s="62"/>
      <c r="T266" s="62"/>
      <c r="U266" s="62"/>
      <c r="V266" s="62"/>
      <c r="W266" s="62"/>
      <c r="X266" s="61"/>
      <c r="Y266" s="53"/>
      <c r="Z266" s="62"/>
      <c r="AA266" s="62"/>
      <c r="AB266" s="62"/>
      <c r="AC266" s="62"/>
      <c r="AD266" s="62"/>
    </row>
    <row r="267" spans="15:30" x14ac:dyDescent="0.3">
      <c r="O267" s="61"/>
      <c r="P267" s="61"/>
      <c r="Q267" s="53"/>
      <c r="R267" s="62"/>
      <c r="S267" s="62"/>
      <c r="T267" s="62"/>
      <c r="U267" s="62"/>
      <c r="V267" s="62"/>
      <c r="W267" s="62"/>
      <c r="X267" s="61"/>
      <c r="Y267" s="53"/>
      <c r="Z267" s="62"/>
      <c r="AA267" s="62"/>
      <c r="AB267" s="62"/>
      <c r="AC267" s="62"/>
      <c r="AD267" s="62"/>
    </row>
    <row r="268" spans="15:30" x14ac:dyDescent="0.3">
      <c r="O268" s="61"/>
      <c r="P268" s="61"/>
      <c r="Q268" s="53"/>
      <c r="R268" s="62"/>
      <c r="S268" s="62"/>
      <c r="T268" s="62"/>
      <c r="U268" s="62"/>
      <c r="V268" s="62"/>
      <c r="W268" s="62"/>
      <c r="X268" s="61"/>
      <c r="Y268" s="53"/>
      <c r="Z268" s="62"/>
      <c r="AA268" s="62"/>
      <c r="AB268" s="62"/>
      <c r="AC268" s="62"/>
      <c r="AD268" s="62"/>
    </row>
    <row r="269" spans="15:30" x14ac:dyDescent="0.3">
      <c r="O269" s="61"/>
      <c r="P269" s="61"/>
      <c r="Q269" s="53"/>
      <c r="R269" s="62"/>
      <c r="S269" s="62"/>
      <c r="T269" s="62"/>
      <c r="U269" s="62"/>
      <c r="V269" s="62"/>
      <c r="W269" s="62"/>
      <c r="X269" s="61"/>
      <c r="Y269" s="53"/>
      <c r="Z269" s="62"/>
      <c r="AA269" s="62"/>
      <c r="AB269" s="62"/>
      <c r="AC269" s="62"/>
      <c r="AD269" s="62"/>
    </row>
    <row r="270" spans="15:30" x14ac:dyDescent="0.3">
      <c r="O270" s="61"/>
      <c r="P270" s="61"/>
      <c r="Q270" s="53"/>
      <c r="R270" s="62"/>
      <c r="S270" s="62"/>
      <c r="T270" s="62"/>
      <c r="U270" s="62"/>
      <c r="V270" s="62"/>
      <c r="W270" s="62"/>
      <c r="X270" s="61"/>
      <c r="Y270" s="53"/>
      <c r="Z270" s="62"/>
      <c r="AA270" s="62"/>
      <c r="AB270" s="62"/>
      <c r="AC270" s="62"/>
      <c r="AD270" s="62"/>
    </row>
    <row r="271" spans="15:30" x14ac:dyDescent="0.3">
      <c r="O271" s="61"/>
      <c r="P271" s="61"/>
      <c r="Q271" s="53"/>
      <c r="R271" s="62"/>
      <c r="S271" s="62"/>
      <c r="T271" s="62"/>
      <c r="U271" s="62"/>
      <c r="V271" s="62"/>
      <c r="W271" s="62"/>
      <c r="X271" s="61"/>
      <c r="Y271" s="53"/>
      <c r="Z271" s="62"/>
      <c r="AA271" s="62"/>
      <c r="AB271" s="62"/>
      <c r="AC271" s="62"/>
      <c r="AD271" s="62"/>
    </row>
    <row r="272" spans="15:30" x14ac:dyDescent="0.3">
      <c r="O272" s="61"/>
      <c r="P272" s="61"/>
      <c r="Q272" s="53"/>
      <c r="R272" s="62"/>
      <c r="S272" s="62"/>
      <c r="T272" s="62"/>
      <c r="U272" s="62"/>
      <c r="V272" s="62"/>
      <c r="W272" s="62"/>
      <c r="X272" s="61"/>
      <c r="Y272" s="53"/>
      <c r="Z272" s="62"/>
      <c r="AA272" s="62"/>
      <c r="AB272" s="62"/>
      <c r="AC272" s="62"/>
      <c r="AD272" s="62"/>
    </row>
    <row r="273" spans="15:30" x14ac:dyDescent="0.3">
      <c r="O273" s="61"/>
      <c r="P273" s="61"/>
      <c r="Q273" s="53"/>
      <c r="R273" s="62"/>
      <c r="S273" s="62"/>
      <c r="T273" s="62"/>
      <c r="U273" s="62"/>
      <c r="V273" s="62"/>
      <c r="W273" s="62"/>
      <c r="X273" s="61"/>
      <c r="Y273" s="53"/>
      <c r="Z273" s="62"/>
      <c r="AA273" s="62"/>
      <c r="AB273" s="62"/>
      <c r="AC273" s="62"/>
      <c r="AD273" s="62"/>
    </row>
    <row r="274" spans="15:30" x14ac:dyDescent="0.3">
      <c r="O274" s="61"/>
      <c r="P274" s="61"/>
      <c r="Q274" s="53"/>
      <c r="R274" s="62"/>
      <c r="S274" s="62"/>
      <c r="T274" s="62"/>
      <c r="U274" s="62"/>
      <c r="V274" s="62"/>
      <c r="W274" s="62"/>
      <c r="X274" s="61"/>
      <c r="Y274" s="53"/>
      <c r="Z274" s="62"/>
      <c r="AA274" s="62"/>
      <c r="AB274" s="62"/>
      <c r="AC274" s="62"/>
      <c r="AD274" s="62"/>
    </row>
    <row r="275" spans="15:30" x14ac:dyDescent="0.3">
      <c r="O275" s="61"/>
      <c r="P275" s="61"/>
      <c r="Q275" s="53"/>
      <c r="R275" s="62"/>
      <c r="S275" s="62"/>
      <c r="T275" s="62"/>
      <c r="U275" s="62"/>
      <c r="V275" s="62"/>
      <c r="W275" s="62"/>
      <c r="X275" s="61"/>
      <c r="Y275" s="53"/>
      <c r="Z275" s="62"/>
      <c r="AA275" s="62"/>
      <c r="AB275" s="62"/>
      <c r="AC275" s="62"/>
      <c r="AD275" s="62"/>
    </row>
    <row r="276" spans="15:30" x14ac:dyDescent="0.3">
      <c r="O276" s="61"/>
      <c r="P276" s="61"/>
      <c r="Q276" s="53"/>
      <c r="R276" s="62"/>
      <c r="S276" s="62"/>
      <c r="T276" s="62"/>
      <c r="U276" s="62"/>
      <c r="V276" s="62"/>
      <c r="W276" s="62"/>
      <c r="X276" s="61"/>
      <c r="Y276" s="53"/>
      <c r="Z276" s="62"/>
      <c r="AA276" s="62"/>
      <c r="AB276" s="62"/>
      <c r="AC276" s="62"/>
      <c r="AD276" s="62"/>
    </row>
    <row r="277" spans="15:30" x14ac:dyDescent="0.3">
      <c r="O277" s="61"/>
      <c r="P277" s="61"/>
      <c r="Q277" s="53"/>
      <c r="R277" s="62"/>
      <c r="S277" s="62"/>
      <c r="T277" s="62"/>
      <c r="U277" s="62"/>
      <c r="V277" s="62"/>
      <c r="W277" s="62"/>
      <c r="X277" s="61"/>
      <c r="Y277" s="53"/>
      <c r="Z277" s="62"/>
      <c r="AA277" s="62"/>
      <c r="AB277" s="62"/>
      <c r="AC277" s="62"/>
      <c r="AD277" s="62"/>
    </row>
    <row r="278" spans="15:30" x14ac:dyDescent="0.3">
      <c r="O278" s="61"/>
      <c r="P278" s="61"/>
      <c r="Q278" s="53"/>
      <c r="R278" s="62"/>
      <c r="S278" s="62"/>
      <c r="T278" s="62"/>
      <c r="U278" s="62"/>
      <c r="V278" s="62"/>
      <c r="W278" s="62"/>
      <c r="X278" s="61"/>
      <c r="Y278" s="53"/>
      <c r="Z278" s="62"/>
      <c r="AA278" s="62"/>
      <c r="AB278" s="62"/>
      <c r="AC278" s="62"/>
      <c r="AD278" s="62"/>
    </row>
    <row r="279" spans="15:30" x14ac:dyDescent="0.3">
      <c r="O279" s="61"/>
      <c r="P279" s="61"/>
      <c r="Q279" s="53"/>
      <c r="R279" s="62"/>
      <c r="S279" s="62"/>
      <c r="T279" s="62"/>
      <c r="U279" s="62"/>
      <c r="V279" s="62"/>
      <c r="W279" s="62"/>
      <c r="X279" s="61"/>
      <c r="Y279" s="53"/>
      <c r="Z279" s="62"/>
      <c r="AA279" s="62"/>
      <c r="AB279" s="62"/>
      <c r="AC279" s="62"/>
      <c r="AD279" s="62"/>
    </row>
    <row r="280" spans="15:30" x14ac:dyDescent="0.3">
      <c r="O280" s="61"/>
      <c r="P280" s="61"/>
      <c r="Q280" s="53"/>
      <c r="R280" s="62"/>
      <c r="S280" s="62"/>
      <c r="T280" s="62"/>
      <c r="U280" s="62"/>
      <c r="V280" s="62"/>
      <c r="W280" s="62"/>
      <c r="X280" s="61"/>
      <c r="Y280" s="53"/>
      <c r="Z280" s="62"/>
      <c r="AA280" s="62"/>
      <c r="AB280" s="62"/>
      <c r="AC280" s="62"/>
      <c r="AD280" s="62"/>
    </row>
    <row r="281" spans="15:30" x14ac:dyDescent="0.3">
      <c r="O281" s="61"/>
      <c r="P281" s="61"/>
      <c r="Q281" s="53"/>
      <c r="R281" s="62"/>
      <c r="S281" s="62"/>
      <c r="T281" s="62"/>
      <c r="U281" s="62"/>
      <c r="V281" s="62"/>
      <c r="W281" s="62"/>
      <c r="X281" s="61"/>
      <c r="Y281" s="53"/>
      <c r="Z281" s="62"/>
      <c r="AA281" s="62"/>
      <c r="AB281" s="62"/>
      <c r="AC281" s="62"/>
      <c r="AD281" s="62"/>
    </row>
    <row r="282" spans="15:30" x14ac:dyDescent="0.3">
      <c r="O282" s="61"/>
      <c r="P282" s="61"/>
      <c r="Q282" s="53"/>
      <c r="R282" s="62"/>
      <c r="S282" s="62"/>
      <c r="T282" s="62"/>
      <c r="U282" s="62"/>
      <c r="V282" s="62"/>
      <c r="W282" s="62"/>
      <c r="X282" s="61"/>
      <c r="Y282" s="53"/>
      <c r="Z282" s="62"/>
      <c r="AA282" s="62"/>
      <c r="AB282" s="62"/>
      <c r="AC282" s="62"/>
      <c r="AD282" s="62"/>
    </row>
    <row r="283" spans="15:30" x14ac:dyDescent="0.3">
      <c r="O283" s="61"/>
      <c r="P283" s="61"/>
      <c r="Q283" s="53"/>
      <c r="R283" s="62"/>
      <c r="S283" s="62"/>
      <c r="T283" s="62"/>
      <c r="U283" s="62"/>
      <c r="V283" s="62"/>
      <c r="W283" s="62"/>
      <c r="X283" s="61"/>
      <c r="Y283" s="53"/>
      <c r="Z283" s="62"/>
      <c r="AA283" s="62"/>
      <c r="AB283" s="62"/>
      <c r="AC283" s="62"/>
      <c r="AD283" s="62"/>
    </row>
    <row r="284" spans="15:30" x14ac:dyDescent="0.3">
      <c r="O284" s="61"/>
      <c r="P284" s="61"/>
      <c r="Q284" s="53"/>
      <c r="R284" s="62"/>
      <c r="S284" s="62"/>
      <c r="T284" s="62"/>
      <c r="U284" s="62"/>
      <c r="V284" s="62"/>
      <c r="W284" s="62"/>
      <c r="X284" s="61"/>
      <c r="Y284" s="53"/>
      <c r="Z284" s="62"/>
      <c r="AA284" s="62"/>
      <c r="AB284" s="62"/>
      <c r="AC284" s="62"/>
      <c r="AD284" s="62"/>
    </row>
    <row r="285" spans="15:30" x14ac:dyDescent="0.3">
      <c r="O285" s="61"/>
      <c r="P285" s="61"/>
      <c r="Q285" s="53"/>
      <c r="R285" s="62"/>
      <c r="S285" s="62"/>
      <c r="T285" s="62"/>
      <c r="U285" s="62"/>
      <c r="V285" s="62"/>
      <c r="W285" s="62"/>
      <c r="X285" s="61"/>
      <c r="Y285" s="53"/>
      <c r="Z285" s="62"/>
      <c r="AA285" s="62"/>
      <c r="AB285" s="62"/>
      <c r="AC285" s="62"/>
      <c r="AD285" s="62"/>
    </row>
    <row r="286" spans="15:30" x14ac:dyDescent="0.3">
      <c r="O286" s="61"/>
      <c r="P286" s="61"/>
      <c r="Q286" s="53"/>
      <c r="R286" s="62"/>
      <c r="S286" s="62"/>
      <c r="T286" s="62"/>
      <c r="U286" s="62"/>
      <c r="V286" s="62"/>
      <c r="W286" s="62"/>
      <c r="X286" s="61"/>
      <c r="Y286" s="53"/>
      <c r="Z286" s="62"/>
      <c r="AA286" s="62"/>
      <c r="AB286" s="62"/>
      <c r="AC286" s="62"/>
      <c r="AD286" s="62"/>
    </row>
    <row r="287" spans="15:30" x14ac:dyDescent="0.3">
      <c r="O287" s="61"/>
      <c r="P287" s="61"/>
      <c r="Q287" s="53"/>
      <c r="R287" s="62"/>
      <c r="S287" s="62"/>
      <c r="T287" s="62"/>
      <c r="U287" s="62"/>
      <c r="V287" s="62"/>
      <c r="W287" s="62"/>
      <c r="X287" s="61"/>
      <c r="Y287" s="53"/>
      <c r="Z287" s="62"/>
      <c r="AA287" s="62"/>
      <c r="AB287" s="62"/>
      <c r="AC287" s="62"/>
      <c r="AD287" s="62"/>
    </row>
    <row r="288" spans="15:30" x14ac:dyDescent="0.3">
      <c r="O288" s="61"/>
      <c r="P288" s="61"/>
      <c r="Q288" s="53"/>
      <c r="R288" s="62"/>
      <c r="S288" s="62"/>
      <c r="T288" s="62"/>
      <c r="U288" s="62"/>
      <c r="V288" s="62"/>
      <c r="W288" s="62"/>
      <c r="X288" s="61"/>
      <c r="Y288" s="53"/>
      <c r="Z288" s="62"/>
      <c r="AA288" s="62"/>
      <c r="AB288" s="62"/>
      <c r="AC288" s="62"/>
      <c r="AD288" s="62"/>
    </row>
    <row r="289" spans="15:30" x14ac:dyDescent="0.3">
      <c r="O289" s="61"/>
      <c r="P289" s="61"/>
      <c r="Q289" s="53"/>
      <c r="R289" s="62"/>
      <c r="S289" s="62"/>
      <c r="T289" s="62"/>
      <c r="U289" s="62"/>
      <c r="V289" s="62"/>
      <c r="W289" s="62"/>
      <c r="X289" s="61"/>
      <c r="Y289" s="53"/>
      <c r="Z289" s="62"/>
      <c r="AA289" s="62"/>
      <c r="AB289" s="62"/>
      <c r="AC289" s="62"/>
      <c r="AD289" s="62"/>
    </row>
    <row r="290" spans="15:30" x14ac:dyDescent="0.3">
      <c r="O290" s="61"/>
      <c r="P290" s="61"/>
      <c r="Q290" s="53"/>
      <c r="R290" s="62"/>
      <c r="S290" s="62"/>
      <c r="T290" s="62"/>
      <c r="U290" s="62"/>
      <c r="V290" s="62"/>
      <c r="W290" s="62"/>
      <c r="X290" s="61"/>
      <c r="Y290" s="53"/>
      <c r="Z290" s="62"/>
      <c r="AA290" s="62"/>
      <c r="AB290" s="62"/>
      <c r="AC290" s="62"/>
      <c r="AD290" s="62"/>
    </row>
    <row r="291" spans="15:30" x14ac:dyDescent="0.3">
      <c r="O291" s="61"/>
      <c r="P291" s="61"/>
      <c r="Q291" s="53"/>
      <c r="R291" s="62"/>
      <c r="S291" s="62"/>
      <c r="T291" s="62"/>
      <c r="U291" s="62"/>
      <c r="V291" s="62"/>
      <c r="W291" s="62"/>
      <c r="X291" s="61"/>
      <c r="Y291" s="53"/>
      <c r="Z291" s="62"/>
      <c r="AA291" s="62"/>
      <c r="AB291" s="62"/>
      <c r="AC291" s="62"/>
      <c r="AD291" s="62"/>
    </row>
    <row r="292" spans="15:30" x14ac:dyDescent="0.3">
      <c r="O292" s="61"/>
      <c r="P292" s="61"/>
      <c r="Q292" s="53"/>
      <c r="R292" s="62"/>
      <c r="S292" s="62"/>
      <c r="T292" s="62"/>
      <c r="U292" s="62"/>
      <c r="V292" s="62"/>
      <c r="W292" s="62"/>
      <c r="X292" s="61"/>
      <c r="Y292" s="53"/>
      <c r="Z292" s="62"/>
      <c r="AA292" s="62"/>
      <c r="AB292" s="62"/>
      <c r="AC292" s="62"/>
      <c r="AD292" s="62"/>
    </row>
    <row r="293" spans="15:30" x14ac:dyDescent="0.3">
      <c r="O293" s="61"/>
      <c r="P293" s="61"/>
      <c r="Q293" s="53"/>
      <c r="R293" s="62"/>
      <c r="S293" s="62"/>
      <c r="T293" s="62"/>
      <c r="U293" s="62"/>
      <c r="V293" s="62"/>
      <c r="W293" s="62"/>
      <c r="X293" s="61"/>
      <c r="Y293" s="53"/>
      <c r="Z293" s="62"/>
      <c r="AA293" s="62"/>
      <c r="AB293" s="62"/>
      <c r="AC293" s="62"/>
      <c r="AD293" s="62"/>
    </row>
    <row r="294" spans="15:30" x14ac:dyDescent="0.3">
      <c r="O294" s="61"/>
      <c r="P294" s="61"/>
      <c r="Q294" s="53"/>
      <c r="R294" s="62"/>
      <c r="S294" s="62"/>
      <c r="T294" s="62"/>
      <c r="U294" s="62"/>
      <c r="V294" s="62"/>
      <c r="W294" s="62"/>
      <c r="X294" s="61"/>
      <c r="Y294" s="53"/>
      <c r="Z294" s="62"/>
      <c r="AA294" s="62"/>
      <c r="AB294" s="62"/>
      <c r="AC294" s="62"/>
      <c r="AD294" s="62"/>
    </row>
    <row r="295" spans="15:30" x14ac:dyDescent="0.3">
      <c r="O295" s="61"/>
      <c r="P295" s="61"/>
      <c r="Q295" s="53"/>
      <c r="R295" s="62"/>
      <c r="S295" s="62"/>
      <c r="T295" s="62"/>
      <c r="U295" s="62"/>
      <c r="V295" s="62"/>
      <c r="W295" s="62"/>
      <c r="X295" s="61"/>
      <c r="Y295" s="53"/>
      <c r="Z295" s="62"/>
      <c r="AA295" s="62"/>
      <c r="AB295" s="62"/>
      <c r="AC295" s="62"/>
      <c r="AD295" s="62"/>
    </row>
    <row r="296" spans="15:30" x14ac:dyDescent="0.3">
      <c r="O296" s="61"/>
      <c r="P296" s="61"/>
      <c r="Q296" s="53"/>
      <c r="R296" s="62"/>
      <c r="S296" s="62"/>
      <c r="T296" s="62"/>
      <c r="U296" s="62"/>
      <c r="V296" s="62"/>
      <c r="W296" s="62"/>
      <c r="X296" s="61"/>
      <c r="Y296" s="53"/>
      <c r="Z296" s="62"/>
      <c r="AA296" s="62"/>
      <c r="AB296" s="62"/>
      <c r="AC296" s="62"/>
      <c r="AD296" s="62"/>
    </row>
    <row r="297" spans="15:30" x14ac:dyDescent="0.3">
      <c r="O297" s="61"/>
      <c r="P297" s="61"/>
      <c r="Q297" s="53"/>
      <c r="R297" s="62"/>
      <c r="S297" s="62"/>
      <c r="T297" s="62"/>
      <c r="U297" s="62"/>
      <c r="V297" s="62"/>
      <c r="W297" s="62"/>
      <c r="X297" s="61"/>
      <c r="Y297" s="53"/>
      <c r="Z297" s="62"/>
      <c r="AA297" s="62"/>
      <c r="AB297" s="62"/>
      <c r="AC297" s="62"/>
      <c r="AD297" s="62"/>
    </row>
    <row r="298" spans="15:30" x14ac:dyDescent="0.3">
      <c r="O298" s="61"/>
      <c r="P298" s="61"/>
      <c r="Q298" s="53"/>
      <c r="R298" s="62"/>
      <c r="S298" s="62"/>
      <c r="T298" s="62"/>
      <c r="U298" s="62"/>
      <c r="V298" s="62"/>
      <c r="W298" s="62"/>
      <c r="X298" s="61"/>
      <c r="Y298" s="53"/>
      <c r="Z298" s="62"/>
      <c r="AA298" s="62"/>
      <c r="AB298" s="62"/>
      <c r="AC298" s="62"/>
      <c r="AD298" s="62"/>
    </row>
    <row r="299" spans="15:30" x14ac:dyDescent="0.3">
      <c r="O299" s="61"/>
      <c r="P299" s="61"/>
      <c r="Q299" s="53"/>
      <c r="R299" s="62"/>
      <c r="S299" s="62"/>
      <c r="T299" s="62"/>
      <c r="U299" s="62"/>
      <c r="V299" s="62"/>
      <c r="W299" s="62"/>
      <c r="X299" s="61"/>
      <c r="Y299" s="53"/>
      <c r="Z299" s="62"/>
      <c r="AA299" s="62"/>
      <c r="AB299" s="62"/>
      <c r="AC299" s="62"/>
      <c r="AD299" s="62"/>
    </row>
    <row r="300" spans="15:30" x14ac:dyDescent="0.3">
      <c r="O300" s="61"/>
      <c r="P300" s="61"/>
      <c r="Q300" s="53"/>
      <c r="R300" s="62"/>
      <c r="S300" s="62"/>
      <c r="T300" s="62"/>
      <c r="U300" s="62"/>
      <c r="V300" s="62"/>
      <c r="W300" s="62"/>
      <c r="X300" s="61"/>
      <c r="Y300" s="53"/>
      <c r="Z300" s="62"/>
      <c r="AA300" s="62"/>
      <c r="AB300" s="62"/>
      <c r="AC300" s="62"/>
      <c r="AD300" s="62"/>
    </row>
    <row r="301" spans="15:30" x14ac:dyDescent="0.3">
      <c r="O301" s="61"/>
      <c r="P301" s="61"/>
      <c r="Q301" s="53"/>
      <c r="R301" s="62"/>
      <c r="S301" s="62"/>
      <c r="T301" s="62"/>
      <c r="U301" s="62"/>
      <c r="V301" s="62"/>
      <c r="W301" s="62"/>
      <c r="X301" s="61"/>
      <c r="Y301" s="53"/>
      <c r="Z301" s="62"/>
      <c r="AA301" s="62"/>
      <c r="AB301" s="62"/>
      <c r="AC301" s="62"/>
      <c r="AD301" s="62"/>
    </row>
    <row r="302" spans="15:30" x14ac:dyDescent="0.3">
      <c r="O302" s="61"/>
      <c r="P302" s="61"/>
      <c r="Q302" s="53"/>
      <c r="R302" s="62"/>
      <c r="S302" s="62"/>
      <c r="T302" s="62"/>
      <c r="U302" s="62"/>
      <c r="V302" s="62"/>
      <c r="W302" s="62"/>
      <c r="X302" s="61"/>
      <c r="Y302" s="53"/>
      <c r="Z302" s="62"/>
      <c r="AA302" s="62"/>
      <c r="AB302" s="62"/>
      <c r="AC302" s="62"/>
      <c r="AD302" s="62"/>
    </row>
    <row r="303" spans="15:30" x14ac:dyDescent="0.3">
      <c r="O303" s="61"/>
      <c r="P303" s="61"/>
      <c r="Q303" s="53"/>
      <c r="R303" s="62"/>
      <c r="S303" s="62"/>
      <c r="T303" s="62"/>
      <c r="U303" s="62"/>
      <c r="V303" s="62"/>
      <c r="W303" s="62"/>
      <c r="X303" s="61"/>
      <c r="Y303" s="53"/>
      <c r="Z303" s="62"/>
      <c r="AA303" s="62"/>
      <c r="AB303" s="62"/>
      <c r="AC303" s="62"/>
      <c r="AD303" s="62"/>
    </row>
    <row r="304" spans="15:30" x14ac:dyDescent="0.3">
      <c r="O304" s="61"/>
      <c r="P304" s="61"/>
      <c r="Q304" s="53"/>
      <c r="R304" s="62"/>
      <c r="S304" s="62"/>
      <c r="T304" s="62"/>
      <c r="U304" s="62"/>
      <c r="V304" s="62"/>
      <c r="W304" s="62"/>
      <c r="X304" s="61"/>
      <c r="Y304" s="53"/>
      <c r="Z304" s="62"/>
      <c r="AA304" s="62"/>
      <c r="AB304" s="62"/>
      <c r="AC304" s="62"/>
      <c r="AD304" s="62"/>
    </row>
    <row r="305" spans="15:30" x14ac:dyDescent="0.3">
      <c r="O305" s="61"/>
      <c r="P305" s="61"/>
      <c r="Q305" s="53"/>
      <c r="R305" s="62"/>
      <c r="S305" s="62"/>
      <c r="T305" s="62"/>
      <c r="U305" s="62"/>
      <c r="V305" s="62"/>
      <c r="W305" s="62"/>
      <c r="X305" s="61"/>
      <c r="Y305" s="53"/>
      <c r="Z305" s="62"/>
      <c r="AA305" s="62"/>
      <c r="AB305" s="62"/>
      <c r="AC305" s="62"/>
      <c r="AD305" s="62"/>
    </row>
    <row r="306" spans="15:30" x14ac:dyDescent="0.3">
      <c r="O306" s="61"/>
      <c r="P306" s="61"/>
      <c r="Q306" s="53"/>
      <c r="R306" s="62"/>
      <c r="S306" s="62"/>
      <c r="T306" s="62"/>
      <c r="U306" s="62"/>
      <c r="V306" s="62"/>
      <c r="W306" s="62"/>
      <c r="X306" s="61"/>
      <c r="Y306" s="53"/>
      <c r="Z306" s="62"/>
      <c r="AA306" s="62"/>
      <c r="AB306" s="62"/>
      <c r="AC306" s="62"/>
      <c r="AD306" s="62"/>
    </row>
    <row r="307" spans="15:30" x14ac:dyDescent="0.3">
      <c r="O307" s="61"/>
      <c r="P307" s="61"/>
      <c r="Q307" s="53"/>
      <c r="R307" s="62"/>
      <c r="S307" s="62"/>
      <c r="T307" s="62"/>
      <c r="U307" s="62"/>
      <c r="V307" s="62"/>
      <c r="W307" s="62"/>
      <c r="X307" s="61"/>
      <c r="Y307" s="53"/>
      <c r="Z307" s="62"/>
      <c r="AA307" s="62"/>
      <c r="AB307" s="62"/>
      <c r="AC307" s="62"/>
      <c r="AD307" s="62"/>
    </row>
    <row r="308" spans="15:30" x14ac:dyDescent="0.3">
      <c r="O308" s="61"/>
      <c r="P308" s="61"/>
      <c r="Q308" s="53"/>
      <c r="R308" s="62"/>
      <c r="S308" s="62"/>
      <c r="T308" s="62"/>
      <c r="U308" s="62"/>
      <c r="V308" s="62"/>
      <c r="W308" s="62"/>
      <c r="X308" s="61"/>
      <c r="Y308" s="53"/>
      <c r="Z308" s="62"/>
      <c r="AA308" s="62"/>
      <c r="AB308" s="62"/>
      <c r="AC308" s="62"/>
      <c r="AD308" s="62"/>
    </row>
    <row r="309" spans="15:30" x14ac:dyDescent="0.3">
      <c r="O309" s="61"/>
      <c r="P309" s="61"/>
      <c r="Q309" s="53"/>
      <c r="R309" s="62"/>
      <c r="S309" s="62"/>
      <c r="T309" s="62"/>
      <c r="U309" s="62"/>
      <c r="V309" s="62"/>
      <c r="W309" s="62"/>
      <c r="X309" s="61"/>
      <c r="Y309" s="53"/>
      <c r="Z309" s="62"/>
      <c r="AA309" s="62"/>
      <c r="AB309" s="62"/>
      <c r="AC309" s="62"/>
      <c r="AD309" s="62"/>
    </row>
    <row r="310" spans="15:30" x14ac:dyDescent="0.3">
      <c r="O310" s="61"/>
      <c r="P310" s="61"/>
      <c r="Q310" s="53"/>
      <c r="R310" s="62"/>
      <c r="S310" s="62"/>
      <c r="T310" s="62"/>
      <c r="U310" s="62"/>
      <c r="V310" s="62"/>
      <c r="W310" s="62"/>
      <c r="X310" s="61"/>
      <c r="Y310" s="53"/>
      <c r="Z310" s="62"/>
      <c r="AA310" s="62"/>
      <c r="AB310" s="62"/>
      <c r="AC310" s="62"/>
      <c r="AD310" s="62"/>
    </row>
    <row r="311" spans="15:30" x14ac:dyDescent="0.3">
      <c r="O311" s="61"/>
      <c r="P311" s="61"/>
      <c r="Q311" s="53"/>
      <c r="R311" s="62"/>
      <c r="S311" s="62"/>
      <c r="T311" s="62"/>
      <c r="U311" s="62"/>
      <c r="V311" s="62"/>
      <c r="W311" s="62"/>
      <c r="X311" s="61"/>
      <c r="Y311" s="53"/>
      <c r="Z311" s="62"/>
      <c r="AA311" s="62"/>
      <c r="AB311" s="62"/>
      <c r="AC311" s="62"/>
      <c r="AD311" s="62"/>
    </row>
    <row r="312" spans="15:30" x14ac:dyDescent="0.3">
      <c r="O312" s="61"/>
      <c r="P312" s="61"/>
      <c r="Q312" s="53"/>
      <c r="R312" s="62"/>
      <c r="S312" s="62"/>
      <c r="T312" s="62"/>
      <c r="U312" s="62"/>
      <c r="V312" s="62"/>
      <c r="W312" s="62"/>
      <c r="X312" s="61"/>
      <c r="Y312" s="53"/>
      <c r="Z312" s="62"/>
      <c r="AA312" s="62"/>
      <c r="AB312" s="62"/>
      <c r="AC312" s="62"/>
      <c r="AD312" s="62"/>
    </row>
    <row r="313" spans="15:30" x14ac:dyDescent="0.3">
      <c r="O313" s="61"/>
      <c r="P313" s="61"/>
      <c r="Q313" s="53"/>
      <c r="R313" s="62"/>
      <c r="S313" s="62"/>
      <c r="T313" s="62"/>
      <c r="U313" s="62"/>
      <c r="V313" s="62"/>
      <c r="W313" s="62"/>
      <c r="X313" s="61"/>
      <c r="Y313" s="53"/>
      <c r="Z313" s="62"/>
      <c r="AA313" s="62"/>
      <c r="AB313" s="62"/>
      <c r="AC313" s="62"/>
      <c r="AD313" s="62"/>
    </row>
    <row r="314" spans="15:30" x14ac:dyDescent="0.3">
      <c r="O314" s="61"/>
      <c r="P314" s="61"/>
      <c r="Q314" s="53"/>
      <c r="R314" s="62"/>
      <c r="S314" s="62"/>
      <c r="T314" s="62"/>
      <c r="U314" s="62"/>
      <c r="V314" s="62"/>
      <c r="W314" s="62"/>
      <c r="X314" s="61"/>
      <c r="Y314" s="53"/>
      <c r="Z314" s="62"/>
      <c r="AA314" s="62"/>
      <c r="AB314" s="62"/>
      <c r="AC314" s="62"/>
      <c r="AD314" s="62"/>
    </row>
    <row r="315" spans="15:30" x14ac:dyDescent="0.3">
      <c r="O315" s="61"/>
      <c r="P315" s="61"/>
      <c r="Q315" s="53"/>
      <c r="R315" s="62"/>
      <c r="S315" s="62"/>
      <c r="T315" s="62"/>
      <c r="U315" s="62"/>
      <c r="V315" s="62"/>
      <c r="W315" s="62"/>
      <c r="X315" s="61"/>
      <c r="Y315" s="53"/>
      <c r="Z315" s="62"/>
      <c r="AA315" s="62"/>
      <c r="AB315" s="62"/>
      <c r="AC315" s="62"/>
      <c r="AD315" s="62"/>
    </row>
    <row r="316" spans="15:30" x14ac:dyDescent="0.3">
      <c r="O316" s="61"/>
      <c r="P316" s="61"/>
      <c r="Q316" s="53"/>
      <c r="R316" s="62"/>
      <c r="S316" s="62"/>
      <c r="T316" s="62"/>
      <c r="U316" s="62"/>
      <c r="V316" s="62"/>
      <c r="W316" s="62"/>
      <c r="X316" s="61"/>
      <c r="Y316" s="53"/>
      <c r="Z316" s="62"/>
      <c r="AA316" s="62"/>
      <c r="AB316" s="62"/>
      <c r="AC316" s="62"/>
      <c r="AD316" s="62"/>
    </row>
    <row r="317" spans="15:30" x14ac:dyDescent="0.3">
      <c r="O317" s="61"/>
      <c r="P317" s="61"/>
      <c r="Q317" s="53"/>
      <c r="R317" s="62"/>
      <c r="S317" s="62"/>
      <c r="T317" s="62"/>
      <c r="U317" s="62"/>
      <c r="V317" s="62"/>
      <c r="W317" s="62"/>
      <c r="X317" s="61"/>
      <c r="Y317" s="53"/>
      <c r="Z317" s="62"/>
      <c r="AA317" s="62"/>
      <c r="AB317" s="62"/>
      <c r="AC317" s="62"/>
      <c r="AD317" s="62"/>
    </row>
    <row r="318" spans="15:30" x14ac:dyDescent="0.3">
      <c r="O318" s="61"/>
      <c r="P318" s="61"/>
      <c r="Q318" s="53"/>
      <c r="R318" s="62"/>
      <c r="S318" s="62"/>
      <c r="T318" s="62"/>
      <c r="U318" s="62"/>
      <c r="V318" s="62"/>
      <c r="W318" s="62"/>
      <c r="X318" s="61"/>
      <c r="Y318" s="53"/>
      <c r="Z318" s="62"/>
      <c r="AA318" s="62"/>
      <c r="AB318" s="62"/>
      <c r="AC318" s="62"/>
      <c r="AD318" s="62"/>
    </row>
    <row r="319" spans="15:30" x14ac:dyDescent="0.3">
      <c r="O319" s="61"/>
      <c r="P319" s="61"/>
      <c r="Q319" s="53"/>
      <c r="R319" s="62"/>
      <c r="S319" s="62"/>
      <c r="T319" s="62"/>
      <c r="U319" s="62"/>
      <c r="V319" s="62"/>
      <c r="W319" s="62"/>
      <c r="X319" s="61"/>
      <c r="Y319" s="53"/>
      <c r="Z319" s="62"/>
      <c r="AA319" s="62"/>
      <c r="AB319" s="62"/>
      <c r="AC319" s="62"/>
      <c r="AD319" s="62"/>
    </row>
    <row r="320" spans="15:30" x14ac:dyDescent="0.3">
      <c r="O320" s="61"/>
      <c r="P320" s="61"/>
      <c r="Q320" s="53"/>
      <c r="R320" s="62"/>
      <c r="S320" s="62"/>
      <c r="T320" s="62"/>
      <c r="U320" s="62"/>
      <c r="V320" s="62"/>
      <c r="W320" s="62"/>
      <c r="X320" s="61"/>
      <c r="Y320" s="53"/>
      <c r="Z320" s="62"/>
      <c r="AA320" s="62"/>
      <c r="AB320" s="62"/>
      <c r="AC320" s="62"/>
      <c r="AD320" s="62"/>
    </row>
    <row r="321" spans="15:30" x14ac:dyDescent="0.3">
      <c r="O321" s="61"/>
      <c r="P321" s="61"/>
      <c r="Q321" s="53"/>
      <c r="R321" s="62"/>
      <c r="S321" s="62"/>
      <c r="T321" s="62"/>
      <c r="U321" s="62"/>
      <c r="V321" s="62"/>
      <c r="W321" s="62"/>
      <c r="X321" s="61"/>
      <c r="Y321" s="53"/>
      <c r="Z321" s="62"/>
      <c r="AA321" s="62"/>
      <c r="AB321" s="62"/>
      <c r="AC321" s="62"/>
      <c r="AD321" s="62"/>
    </row>
    <row r="322" spans="15:30" x14ac:dyDescent="0.3">
      <c r="O322" s="61"/>
      <c r="P322" s="61"/>
      <c r="Q322" s="53"/>
      <c r="R322" s="62"/>
      <c r="S322" s="62"/>
      <c r="T322" s="62"/>
      <c r="U322" s="62"/>
      <c r="V322" s="62"/>
      <c r="W322" s="62"/>
      <c r="X322" s="61"/>
      <c r="Y322" s="53"/>
      <c r="Z322" s="62"/>
      <c r="AA322" s="62"/>
      <c r="AB322" s="62"/>
      <c r="AC322" s="62"/>
      <c r="AD322" s="62"/>
    </row>
    <row r="323" spans="15:30" x14ac:dyDescent="0.3">
      <c r="O323" s="61"/>
      <c r="P323" s="61"/>
      <c r="Q323" s="53"/>
      <c r="R323" s="62"/>
      <c r="S323" s="62"/>
      <c r="T323" s="62"/>
      <c r="U323" s="62"/>
      <c r="V323" s="62"/>
      <c r="W323" s="62"/>
      <c r="X323" s="61"/>
      <c r="Y323" s="53"/>
      <c r="Z323" s="62"/>
      <c r="AA323" s="62"/>
      <c r="AB323" s="62"/>
      <c r="AC323" s="62"/>
      <c r="AD323" s="62"/>
    </row>
    <row r="324" spans="15:30" x14ac:dyDescent="0.3">
      <c r="O324" s="61"/>
      <c r="P324" s="61"/>
      <c r="Q324" s="53"/>
      <c r="R324" s="62"/>
      <c r="S324" s="62"/>
      <c r="T324" s="62"/>
      <c r="U324" s="62"/>
      <c r="V324" s="62"/>
      <c r="W324" s="62"/>
      <c r="X324" s="61"/>
      <c r="Y324" s="53"/>
      <c r="Z324" s="62"/>
      <c r="AA324" s="62"/>
      <c r="AB324" s="62"/>
      <c r="AC324" s="62"/>
      <c r="AD324" s="62"/>
    </row>
    <row r="325" spans="15:30" x14ac:dyDescent="0.3">
      <c r="O325" s="61"/>
      <c r="P325" s="61"/>
      <c r="Q325" s="53"/>
      <c r="R325" s="62"/>
      <c r="S325" s="62"/>
      <c r="T325" s="62"/>
      <c r="U325" s="62"/>
      <c r="V325" s="62"/>
      <c r="W325" s="62"/>
      <c r="X325" s="61"/>
      <c r="Y325" s="53"/>
      <c r="Z325" s="62"/>
      <c r="AA325" s="62"/>
      <c r="AB325" s="62"/>
      <c r="AC325" s="62"/>
      <c r="AD325" s="62"/>
    </row>
    <row r="326" spans="15:30" x14ac:dyDescent="0.3">
      <c r="O326" s="61"/>
      <c r="P326" s="61"/>
      <c r="Q326" s="53"/>
      <c r="R326" s="62"/>
      <c r="S326" s="62"/>
      <c r="T326" s="62"/>
      <c r="U326" s="62"/>
      <c r="V326" s="62"/>
      <c r="W326" s="62"/>
      <c r="X326" s="61"/>
      <c r="Y326" s="53"/>
      <c r="Z326" s="62"/>
      <c r="AA326" s="62"/>
      <c r="AB326" s="62"/>
      <c r="AC326" s="62"/>
      <c r="AD326" s="62"/>
    </row>
    <row r="327" spans="15:30" x14ac:dyDescent="0.3">
      <c r="O327" s="61"/>
      <c r="P327" s="61"/>
      <c r="Q327" s="53"/>
      <c r="R327" s="62"/>
      <c r="S327" s="62"/>
      <c r="T327" s="62"/>
      <c r="U327" s="62"/>
      <c r="V327" s="62"/>
      <c r="W327" s="62"/>
      <c r="X327" s="61"/>
      <c r="Y327" s="53"/>
      <c r="Z327" s="62"/>
      <c r="AA327" s="62"/>
      <c r="AB327" s="62"/>
      <c r="AC327" s="62"/>
      <c r="AD327" s="62"/>
    </row>
    <row r="328" spans="15:30" x14ac:dyDescent="0.3">
      <c r="O328" s="61"/>
      <c r="P328" s="61"/>
      <c r="Q328" s="53"/>
      <c r="R328" s="62"/>
      <c r="S328" s="62"/>
      <c r="T328" s="62"/>
      <c r="U328" s="62"/>
      <c r="V328" s="62"/>
      <c r="W328" s="62"/>
      <c r="X328" s="61"/>
      <c r="Y328" s="53"/>
      <c r="Z328" s="62"/>
      <c r="AA328" s="62"/>
      <c r="AB328" s="62"/>
      <c r="AC328" s="62"/>
      <c r="AD328" s="62"/>
    </row>
    <row r="329" spans="15:30" x14ac:dyDescent="0.3">
      <c r="O329" s="61"/>
      <c r="P329" s="61"/>
      <c r="Q329" s="53"/>
      <c r="R329" s="62"/>
      <c r="S329" s="62"/>
      <c r="T329" s="62"/>
      <c r="U329" s="62"/>
      <c r="V329" s="62"/>
      <c r="W329" s="62"/>
      <c r="X329" s="61"/>
      <c r="Y329" s="53"/>
      <c r="Z329" s="62"/>
      <c r="AA329" s="62"/>
      <c r="AB329" s="62"/>
      <c r="AC329" s="62"/>
      <c r="AD329" s="62"/>
    </row>
    <row r="330" spans="15:30" x14ac:dyDescent="0.3">
      <c r="O330" s="61"/>
      <c r="P330" s="61"/>
      <c r="Q330" s="53"/>
      <c r="R330" s="62"/>
      <c r="S330" s="62"/>
      <c r="T330" s="62"/>
      <c r="U330" s="62"/>
      <c r="V330" s="62"/>
      <c r="W330" s="62"/>
      <c r="X330" s="61"/>
      <c r="Y330" s="53"/>
      <c r="Z330" s="62"/>
      <c r="AA330" s="62"/>
      <c r="AB330" s="62"/>
      <c r="AC330" s="62"/>
      <c r="AD330" s="62"/>
    </row>
    <row r="331" spans="15:30" x14ac:dyDescent="0.3">
      <c r="O331" s="61"/>
      <c r="P331" s="61"/>
      <c r="Q331" s="53"/>
      <c r="R331" s="62"/>
      <c r="S331" s="62"/>
      <c r="T331" s="62"/>
      <c r="U331" s="62"/>
      <c r="V331" s="62"/>
      <c r="W331" s="62"/>
      <c r="X331" s="61"/>
      <c r="Y331" s="53"/>
      <c r="Z331" s="62"/>
      <c r="AA331" s="62"/>
      <c r="AB331" s="62"/>
      <c r="AC331" s="62"/>
      <c r="AD331" s="62"/>
    </row>
    <row r="332" spans="15:30" x14ac:dyDescent="0.3">
      <c r="O332" s="61"/>
      <c r="P332" s="61"/>
      <c r="Q332" s="53"/>
      <c r="R332" s="62"/>
      <c r="S332" s="62"/>
      <c r="T332" s="62"/>
      <c r="U332" s="62"/>
      <c r="V332" s="62"/>
      <c r="W332" s="62"/>
      <c r="X332" s="61"/>
      <c r="Y332" s="53"/>
      <c r="Z332" s="62"/>
      <c r="AA332" s="62"/>
      <c r="AB332" s="62"/>
      <c r="AC332" s="62"/>
      <c r="AD332" s="62"/>
    </row>
    <row r="333" spans="15:30" x14ac:dyDescent="0.3">
      <c r="O333" s="61"/>
      <c r="P333" s="61"/>
      <c r="Q333" s="53"/>
      <c r="R333" s="62"/>
      <c r="S333" s="62"/>
      <c r="T333" s="62"/>
      <c r="U333" s="62"/>
      <c r="V333" s="62"/>
      <c r="W333" s="62"/>
      <c r="X333" s="61"/>
      <c r="Y333" s="53"/>
      <c r="Z333" s="62"/>
      <c r="AA333" s="62"/>
      <c r="AB333" s="62"/>
      <c r="AC333" s="62"/>
      <c r="AD333" s="62"/>
    </row>
    <row r="334" spans="15:30" x14ac:dyDescent="0.3">
      <c r="O334" s="61"/>
      <c r="P334" s="61"/>
      <c r="Q334" s="53"/>
      <c r="R334" s="62"/>
      <c r="S334" s="62"/>
      <c r="T334" s="62"/>
      <c r="U334" s="62"/>
      <c r="V334" s="62"/>
      <c r="W334" s="62"/>
      <c r="X334" s="61"/>
      <c r="Y334" s="53"/>
      <c r="Z334" s="62"/>
      <c r="AA334" s="62"/>
      <c r="AB334" s="62"/>
      <c r="AC334" s="62"/>
      <c r="AD334" s="62"/>
    </row>
    <row r="335" spans="15:30" x14ac:dyDescent="0.3">
      <c r="O335" s="61"/>
      <c r="P335" s="61"/>
      <c r="Q335" s="53"/>
      <c r="R335" s="62"/>
      <c r="S335" s="62"/>
      <c r="T335" s="62"/>
      <c r="U335" s="62"/>
      <c r="V335" s="62"/>
      <c r="W335" s="62"/>
      <c r="X335" s="61"/>
      <c r="Y335" s="53"/>
      <c r="Z335" s="62"/>
      <c r="AA335" s="62"/>
      <c r="AB335" s="62"/>
      <c r="AC335" s="62"/>
      <c r="AD335" s="62"/>
    </row>
    <row r="336" spans="15:30" x14ac:dyDescent="0.3">
      <c r="O336" s="61"/>
      <c r="P336" s="61"/>
      <c r="Q336" s="53"/>
      <c r="R336" s="62"/>
      <c r="S336" s="62"/>
      <c r="T336" s="62"/>
      <c r="U336" s="62"/>
      <c r="V336" s="62"/>
      <c r="W336" s="62"/>
      <c r="X336" s="61"/>
      <c r="Y336" s="53"/>
      <c r="Z336" s="62"/>
      <c r="AA336" s="62"/>
      <c r="AB336" s="62"/>
      <c r="AC336" s="62"/>
      <c r="AD336" s="62"/>
    </row>
    <row r="337" spans="15:30" x14ac:dyDescent="0.3">
      <c r="O337" s="61"/>
      <c r="P337" s="61"/>
      <c r="Q337" s="53"/>
      <c r="R337" s="62"/>
      <c r="S337" s="62"/>
      <c r="T337" s="62"/>
      <c r="U337" s="62"/>
      <c r="V337" s="62"/>
      <c r="W337" s="62"/>
      <c r="X337" s="61"/>
      <c r="Y337" s="53"/>
      <c r="Z337" s="62"/>
      <c r="AA337" s="62"/>
      <c r="AB337" s="62"/>
      <c r="AC337" s="62"/>
      <c r="AD337" s="62"/>
    </row>
    <row r="338" spans="15:30" x14ac:dyDescent="0.3">
      <c r="O338" s="61"/>
      <c r="P338" s="61"/>
      <c r="Q338" s="53"/>
      <c r="R338" s="62"/>
      <c r="S338" s="62"/>
      <c r="T338" s="62"/>
      <c r="U338" s="62"/>
      <c r="V338" s="62"/>
      <c r="W338" s="62"/>
      <c r="X338" s="61"/>
      <c r="Y338" s="53"/>
      <c r="Z338" s="62"/>
      <c r="AA338" s="62"/>
      <c r="AB338" s="62"/>
      <c r="AC338" s="62"/>
      <c r="AD338" s="62"/>
    </row>
    <row r="339" spans="15:30" x14ac:dyDescent="0.3">
      <c r="O339" s="61"/>
      <c r="P339" s="61"/>
      <c r="Q339" s="53"/>
      <c r="R339" s="62"/>
      <c r="S339" s="62"/>
      <c r="T339" s="62"/>
      <c r="U339" s="62"/>
      <c r="V339" s="62"/>
      <c r="W339" s="62"/>
      <c r="X339" s="61"/>
      <c r="Y339" s="53"/>
      <c r="Z339" s="62"/>
      <c r="AA339" s="62"/>
      <c r="AB339" s="62"/>
      <c r="AC339" s="62"/>
      <c r="AD339" s="62"/>
    </row>
    <row r="340" spans="15:30" x14ac:dyDescent="0.3">
      <c r="O340" s="61"/>
      <c r="P340" s="61"/>
      <c r="Q340" s="53"/>
      <c r="R340" s="62"/>
      <c r="S340" s="62"/>
      <c r="T340" s="62"/>
      <c r="U340" s="62"/>
      <c r="V340" s="62"/>
      <c r="W340" s="62"/>
      <c r="X340" s="61"/>
      <c r="Y340" s="53"/>
      <c r="Z340" s="62"/>
      <c r="AA340" s="62"/>
      <c r="AB340" s="62"/>
      <c r="AC340" s="62"/>
      <c r="AD340" s="62"/>
    </row>
    <row r="341" spans="15:30" x14ac:dyDescent="0.3">
      <c r="O341" s="61"/>
      <c r="P341" s="61"/>
      <c r="Q341" s="53"/>
      <c r="R341" s="62"/>
      <c r="S341" s="62"/>
      <c r="T341" s="62"/>
      <c r="U341" s="62"/>
      <c r="V341" s="62"/>
      <c r="W341" s="62"/>
      <c r="X341" s="61"/>
      <c r="Y341" s="53"/>
      <c r="Z341" s="62"/>
      <c r="AA341" s="62"/>
      <c r="AB341" s="62"/>
      <c r="AC341" s="62"/>
      <c r="AD341" s="62"/>
    </row>
    <row r="342" spans="15:30" x14ac:dyDescent="0.3">
      <c r="O342" s="61"/>
      <c r="P342" s="61"/>
      <c r="Q342" s="53"/>
      <c r="R342" s="62"/>
      <c r="S342" s="62"/>
      <c r="T342" s="62"/>
      <c r="U342" s="62"/>
      <c r="V342" s="62"/>
      <c r="W342" s="62"/>
      <c r="X342" s="61"/>
      <c r="Y342" s="53"/>
      <c r="Z342" s="62"/>
      <c r="AA342" s="62"/>
      <c r="AB342" s="62"/>
      <c r="AC342" s="62"/>
      <c r="AD342" s="62"/>
    </row>
    <row r="343" spans="15:30" x14ac:dyDescent="0.3">
      <c r="O343" s="61"/>
      <c r="P343" s="61"/>
      <c r="Q343" s="53"/>
      <c r="R343" s="62"/>
      <c r="S343" s="62"/>
      <c r="T343" s="62"/>
      <c r="U343" s="62"/>
      <c r="V343" s="62"/>
      <c r="W343" s="62"/>
      <c r="X343" s="61"/>
      <c r="Y343" s="53"/>
      <c r="Z343" s="62"/>
      <c r="AA343" s="62"/>
      <c r="AB343" s="62"/>
      <c r="AC343" s="62"/>
      <c r="AD343" s="62"/>
    </row>
    <row r="344" spans="15:30" x14ac:dyDescent="0.3">
      <c r="O344" s="61"/>
      <c r="P344" s="61"/>
      <c r="Q344" s="53"/>
      <c r="R344" s="62"/>
      <c r="S344" s="62"/>
      <c r="T344" s="62"/>
      <c r="U344" s="62"/>
      <c r="V344" s="62"/>
      <c r="W344" s="62"/>
      <c r="X344" s="61"/>
      <c r="Y344" s="53"/>
      <c r="Z344" s="62"/>
      <c r="AA344" s="62"/>
      <c r="AB344" s="62"/>
      <c r="AC344" s="62"/>
      <c r="AD344" s="62"/>
    </row>
    <row r="345" spans="15:30" x14ac:dyDescent="0.3">
      <c r="O345" s="61"/>
      <c r="P345" s="61"/>
      <c r="Q345" s="53"/>
      <c r="R345" s="62"/>
      <c r="S345" s="62"/>
      <c r="T345" s="62"/>
      <c r="U345" s="62"/>
      <c r="V345" s="62"/>
      <c r="W345" s="62"/>
      <c r="X345" s="61"/>
      <c r="Y345" s="53"/>
      <c r="Z345" s="62"/>
      <c r="AA345" s="62"/>
      <c r="AB345" s="62"/>
      <c r="AC345" s="62"/>
      <c r="AD345" s="62"/>
    </row>
    <row r="346" spans="15:30" x14ac:dyDescent="0.3">
      <c r="O346" s="61"/>
      <c r="P346" s="61"/>
      <c r="Q346" s="53"/>
      <c r="R346" s="62"/>
      <c r="S346" s="62"/>
      <c r="T346" s="62"/>
      <c r="U346" s="62"/>
      <c r="V346" s="62"/>
      <c r="W346" s="62"/>
      <c r="X346" s="61"/>
      <c r="Y346" s="53"/>
      <c r="Z346" s="62"/>
      <c r="AA346" s="62"/>
      <c r="AB346" s="62"/>
      <c r="AC346" s="62"/>
      <c r="AD346" s="62"/>
    </row>
    <row r="347" spans="15:30" x14ac:dyDescent="0.3">
      <c r="O347" s="61"/>
      <c r="P347" s="61"/>
      <c r="Q347" s="53"/>
      <c r="R347" s="62"/>
      <c r="S347" s="62"/>
      <c r="T347" s="62"/>
      <c r="U347" s="62"/>
      <c r="V347" s="62"/>
      <c r="W347" s="62"/>
      <c r="X347" s="61"/>
      <c r="Y347" s="53"/>
      <c r="Z347" s="62"/>
      <c r="AA347" s="62"/>
      <c r="AB347" s="62"/>
      <c r="AC347" s="62"/>
      <c r="AD347" s="62"/>
    </row>
    <row r="348" spans="15:30" x14ac:dyDescent="0.3">
      <c r="O348" s="61"/>
      <c r="P348" s="61"/>
      <c r="Q348" s="53"/>
      <c r="R348" s="62"/>
      <c r="S348" s="62"/>
      <c r="T348" s="62"/>
      <c r="U348" s="62"/>
      <c r="V348" s="62"/>
      <c r="W348" s="62"/>
      <c r="X348" s="61"/>
      <c r="Y348" s="53"/>
      <c r="Z348" s="62"/>
      <c r="AA348" s="62"/>
      <c r="AB348" s="62"/>
      <c r="AC348" s="62"/>
      <c r="AD348" s="62"/>
    </row>
    <row r="349" spans="15:30" x14ac:dyDescent="0.3">
      <c r="O349" s="61"/>
      <c r="P349" s="61"/>
      <c r="Q349" s="53"/>
      <c r="R349" s="62"/>
      <c r="S349" s="62"/>
      <c r="T349" s="62"/>
      <c r="U349" s="62"/>
      <c r="V349" s="62"/>
      <c r="W349" s="62"/>
      <c r="X349" s="61"/>
      <c r="Y349" s="53"/>
      <c r="Z349" s="62"/>
      <c r="AA349" s="62"/>
      <c r="AB349" s="62"/>
      <c r="AC349" s="62"/>
      <c r="AD349" s="62"/>
    </row>
    <row r="350" spans="15:30" x14ac:dyDescent="0.3">
      <c r="O350" s="61"/>
      <c r="P350" s="61"/>
      <c r="Q350" s="53"/>
      <c r="R350" s="62"/>
      <c r="S350" s="62"/>
      <c r="T350" s="62"/>
      <c r="U350" s="62"/>
      <c r="V350" s="62"/>
      <c r="W350" s="62"/>
      <c r="X350" s="61"/>
      <c r="Y350" s="53"/>
      <c r="Z350" s="62"/>
      <c r="AA350" s="62"/>
      <c r="AB350" s="62"/>
      <c r="AC350" s="62"/>
      <c r="AD350" s="62"/>
    </row>
    <row r="351" spans="15:30" x14ac:dyDescent="0.3">
      <c r="O351" s="61"/>
      <c r="P351" s="61"/>
      <c r="Q351" s="53"/>
      <c r="R351" s="62"/>
      <c r="S351" s="62"/>
      <c r="T351" s="62"/>
      <c r="U351" s="62"/>
      <c r="V351" s="62"/>
      <c r="W351" s="62"/>
      <c r="X351" s="61"/>
      <c r="Y351" s="53"/>
      <c r="Z351" s="62"/>
      <c r="AA351" s="62"/>
      <c r="AB351" s="62"/>
      <c r="AC351" s="62"/>
      <c r="AD351" s="62"/>
    </row>
    <row r="352" spans="15:30" x14ac:dyDescent="0.3">
      <c r="O352" s="61"/>
      <c r="P352" s="61"/>
      <c r="Q352" s="53"/>
      <c r="R352" s="62"/>
      <c r="S352" s="62"/>
      <c r="T352" s="62"/>
      <c r="U352" s="62"/>
      <c r="V352" s="62"/>
      <c r="W352" s="62"/>
      <c r="X352" s="61"/>
      <c r="Y352" s="53"/>
      <c r="Z352" s="62"/>
      <c r="AA352" s="62"/>
      <c r="AB352" s="62"/>
      <c r="AC352" s="62"/>
      <c r="AD352" s="62"/>
    </row>
    <row r="353" spans="15:30" x14ac:dyDescent="0.3">
      <c r="O353" s="61"/>
      <c r="P353" s="61"/>
      <c r="Q353" s="53"/>
      <c r="R353" s="62"/>
      <c r="S353" s="62"/>
      <c r="T353" s="62"/>
      <c r="U353" s="62"/>
      <c r="V353" s="62"/>
      <c r="W353" s="62"/>
      <c r="X353" s="61"/>
      <c r="Y353" s="53"/>
      <c r="Z353" s="62"/>
      <c r="AA353" s="62"/>
      <c r="AB353" s="62"/>
      <c r="AC353" s="62"/>
      <c r="AD353" s="62"/>
    </row>
    <row r="354" spans="15:30" x14ac:dyDescent="0.3">
      <c r="O354" s="61"/>
      <c r="P354" s="61"/>
      <c r="Q354" s="53"/>
      <c r="R354" s="62"/>
      <c r="S354" s="62"/>
      <c r="T354" s="62"/>
      <c r="U354" s="62"/>
      <c r="V354" s="62"/>
      <c r="W354" s="62"/>
      <c r="X354" s="61"/>
      <c r="Y354" s="53"/>
      <c r="Z354" s="62"/>
      <c r="AA354" s="62"/>
      <c r="AB354" s="62"/>
      <c r="AC354" s="62"/>
      <c r="AD354" s="62"/>
    </row>
    <row r="355" spans="15:30" x14ac:dyDescent="0.3">
      <c r="O355" s="61"/>
      <c r="P355" s="61"/>
      <c r="Q355" s="53"/>
      <c r="R355" s="62"/>
      <c r="S355" s="62"/>
      <c r="T355" s="62"/>
      <c r="U355" s="62"/>
      <c r="V355" s="62"/>
      <c r="W355" s="62"/>
      <c r="X355" s="61"/>
      <c r="Y355" s="53"/>
      <c r="Z355" s="62"/>
      <c r="AA355" s="62"/>
      <c r="AB355" s="62"/>
      <c r="AC355" s="62"/>
      <c r="AD355" s="62"/>
    </row>
    <row r="356" spans="15:30" x14ac:dyDescent="0.3">
      <c r="O356" s="61"/>
      <c r="P356" s="61"/>
      <c r="Q356" s="53"/>
      <c r="R356" s="62"/>
      <c r="S356" s="62"/>
      <c r="T356" s="62"/>
      <c r="U356" s="62"/>
      <c r="V356" s="62"/>
      <c r="W356" s="62"/>
      <c r="X356" s="61"/>
      <c r="Y356" s="53"/>
      <c r="Z356" s="62"/>
      <c r="AA356" s="62"/>
      <c r="AB356" s="62"/>
      <c r="AC356" s="62"/>
      <c r="AD356" s="62"/>
    </row>
    <row r="357" spans="15:30" x14ac:dyDescent="0.3">
      <c r="O357" s="61"/>
      <c r="P357" s="61"/>
      <c r="Q357" s="53"/>
      <c r="R357" s="62"/>
      <c r="S357" s="62"/>
      <c r="T357" s="62"/>
      <c r="U357" s="62"/>
      <c r="V357" s="62"/>
      <c r="W357" s="62"/>
      <c r="X357" s="61"/>
      <c r="Y357" s="53"/>
      <c r="Z357" s="62"/>
      <c r="AA357" s="62"/>
      <c r="AB357" s="62"/>
      <c r="AC357" s="62"/>
      <c r="AD357" s="62"/>
    </row>
    <row r="358" spans="15:30" x14ac:dyDescent="0.3">
      <c r="O358" s="61"/>
      <c r="P358" s="61"/>
      <c r="Q358" s="53"/>
      <c r="R358" s="62"/>
      <c r="S358" s="62"/>
      <c r="T358" s="62"/>
      <c r="U358" s="62"/>
      <c r="V358" s="62"/>
      <c r="W358" s="62"/>
      <c r="X358" s="61"/>
      <c r="Y358" s="53"/>
      <c r="Z358" s="62"/>
      <c r="AA358" s="62"/>
      <c r="AB358" s="62"/>
      <c r="AC358" s="62"/>
      <c r="AD358" s="62"/>
    </row>
    <row r="359" spans="15:30" x14ac:dyDescent="0.3">
      <c r="O359" s="61"/>
      <c r="P359" s="61"/>
      <c r="Q359" s="53"/>
      <c r="R359" s="62"/>
      <c r="S359" s="62"/>
      <c r="T359" s="62"/>
      <c r="U359" s="62"/>
      <c r="V359" s="62"/>
      <c r="W359" s="62"/>
      <c r="X359" s="61"/>
      <c r="Y359" s="53"/>
      <c r="Z359" s="62"/>
      <c r="AA359" s="62"/>
      <c r="AB359" s="62"/>
      <c r="AC359" s="62"/>
      <c r="AD359" s="62"/>
    </row>
    <row r="360" spans="15:30" x14ac:dyDescent="0.3">
      <c r="O360" s="61"/>
      <c r="P360" s="61"/>
      <c r="Q360" s="53"/>
      <c r="R360" s="62"/>
      <c r="S360" s="62"/>
      <c r="T360" s="62"/>
      <c r="U360" s="62"/>
      <c r="V360" s="62"/>
      <c r="W360" s="62"/>
      <c r="X360" s="61"/>
      <c r="Y360" s="53"/>
      <c r="Z360" s="62"/>
      <c r="AA360" s="62"/>
      <c r="AB360" s="62"/>
      <c r="AC360" s="62"/>
      <c r="AD360" s="62"/>
    </row>
    <row r="361" spans="15:30" x14ac:dyDescent="0.3">
      <c r="O361" s="61"/>
      <c r="P361" s="61"/>
      <c r="Q361" s="53"/>
      <c r="R361" s="62"/>
      <c r="S361" s="62"/>
      <c r="T361" s="62"/>
      <c r="U361" s="62"/>
      <c r="V361" s="62"/>
      <c r="W361" s="62"/>
      <c r="X361" s="61"/>
      <c r="Y361" s="53"/>
      <c r="Z361" s="62"/>
      <c r="AA361" s="62"/>
      <c r="AB361" s="62"/>
      <c r="AC361" s="62"/>
      <c r="AD361" s="62"/>
    </row>
    <row r="362" spans="15:30" x14ac:dyDescent="0.3">
      <c r="O362" s="61"/>
      <c r="P362" s="61"/>
      <c r="Q362" s="53"/>
      <c r="R362" s="62"/>
      <c r="S362" s="62"/>
      <c r="T362" s="62"/>
      <c r="U362" s="62"/>
      <c r="V362" s="62"/>
      <c r="W362" s="62"/>
      <c r="X362" s="61"/>
      <c r="Y362" s="53"/>
      <c r="Z362" s="62"/>
      <c r="AA362" s="62"/>
      <c r="AB362" s="62"/>
      <c r="AC362" s="62"/>
      <c r="AD362" s="62"/>
    </row>
    <row r="363" spans="15:30" x14ac:dyDescent="0.3">
      <c r="O363" s="61"/>
      <c r="P363" s="61"/>
      <c r="Q363" s="53"/>
      <c r="R363" s="62"/>
      <c r="S363" s="62"/>
      <c r="T363" s="62"/>
      <c r="U363" s="62"/>
      <c r="V363" s="62"/>
      <c r="W363" s="62"/>
      <c r="X363" s="61"/>
      <c r="Y363" s="53"/>
      <c r="Z363" s="62"/>
      <c r="AA363" s="62"/>
      <c r="AB363" s="62"/>
      <c r="AC363" s="62"/>
      <c r="AD363" s="62"/>
    </row>
    <row r="364" spans="15:30" x14ac:dyDescent="0.3">
      <c r="O364" s="61"/>
      <c r="P364" s="61"/>
      <c r="Q364" s="53"/>
      <c r="R364" s="62"/>
      <c r="S364" s="62"/>
      <c r="T364" s="62"/>
      <c r="U364" s="62"/>
      <c r="V364" s="62"/>
      <c r="W364" s="62"/>
      <c r="X364" s="61"/>
      <c r="Y364" s="53"/>
      <c r="Z364" s="62"/>
      <c r="AA364" s="62"/>
      <c r="AB364" s="62"/>
      <c r="AC364" s="62"/>
      <c r="AD364" s="62"/>
    </row>
    <row r="365" spans="15:30" x14ac:dyDescent="0.3">
      <c r="O365" s="61"/>
      <c r="P365" s="61"/>
      <c r="Q365" s="53"/>
      <c r="R365" s="62"/>
      <c r="S365" s="62"/>
      <c r="T365" s="62"/>
      <c r="U365" s="62"/>
      <c r="V365" s="62"/>
      <c r="W365" s="62"/>
      <c r="X365" s="61"/>
      <c r="Y365" s="53"/>
      <c r="Z365" s="62"/>
      <c r="AA365" s="62"/>
      <c r="AB365" s="62"/>
      <c r="AC365" s="62"/>
      <c r="AD365" s="62"/>
    </row>
    <row r="366" spans="15:30" x14ac:dyDescent="0.3">
      <c r="O366" s="61"/>
      <c r="P366" s="61"/>
      <c r="Q366" s="53"/>
      <c r="R366" s="62"/>
      <c r="S366" s="62"/>
      <c r="T366" s="62"/>
      <c r="U366" s="62"/>
      <c r="V366" s="62"/>
      <c r="W366" s="62"/>
      <c r="X366" s="61"/>
      <c r="Y366" s="53"/>
      <c r="Z366" s="62"/>
      <c r="AA366" s="62"/>
      <c r="AB366" s="62"/>
      <c r="AC366" s="62"/>
      <c r="AD366" s="62"/>
    </row>
    <row r="367" spans="15:30" x14ac:dyDescent="0.3">
      <c r="O367" s="61"/>
      <c r="P367" s="61"/>
      <c r="Q367" s="53"/>
      <c r="R367" s="62"/>
      <c r="S367" s="62"/>
      <c r="T367" s="62"/>
      <c r="U367" s="62"/>
      <c r="V367" s="62"/>
      <c r="W367" s="62"/>
      <c r="X367" s="61"/>
      <c r="Y367" s="53"/>
      <c r="Z367" s="62"/>
      <c r="AA367" s="62"/>
      <c r="AB367" s="62"/>
      <c r="AC367" s="62"/>
      <c r="AD367" s="62"/>
    </row>
    <row r="368" spans="15:30" x14ac:dyDescent="0.3">
      <c r="O368" s="61"/>
      <c r="P368" s="61"/>
      <c r="Q368" s="53"/>
      <c r="R368" s="62"/>
      <c r="S368" s="62"/>
      <c r="T368" s="62"/>
      <c r="U368" s="62"/>
      <c r="V368" s="62"/>
      <c r="W368" s="62"/>
      <c r="X368" s="61"/>
      <c r="Y368" s="53"/>
      <c r="Z368" s="62"/>
      <c r="AA368" s="62"/>
      <c r="AB368" s="62"/>
      <c r="AC368" s="62"/>
      <c r="AD368" s="62"/>
    </row>
    <row r="369" spans="15:30" x14ac:dyDescent="0.3">
      <c r="O369" s="61"/>
      <c r="P369" s="61"/>
      <c r="Q369" s="53"/>
      <c r="R369" s="62"/>
      <c r="S369" s="62"/>
      <c r="T369" s="62"/>
      <c r="U369" s="62"/>
      <c r="V369" s="62"/>
      <c r="W369" s="62"/>
      <c r="X369" s="61"/>
      <c r="Y369" s="53"/>
      <c r="Z369" s="62"/>
      <c r="AA369" s="62"/>
      <c r="AB369" s="62"/>
      <c r="AC369" s="62"/>
      <c r="AD369" s="62"/>
    </row>
    <row r="370" spans="15:30" x14ac:dyDescent="0.3">
      <c r="O370" s="61"/>
      <c r="P370" s="61"/>
      <c r="Q370" s="53"/>
      <c r="R370" s="62"/>
      <c r="S370" s="62"/>
      <c r="T370" s="62"/>
      <c r="U370" s="62"/>
      <c r="V370" s="62"/>
      <c r="W370" s="62"/>
      <c r="X370" s="61"/>
      <c r="Y370" s="53"/>
      <c r="Z370" s="62"/>
      <c r="AA370" s="62"/>
      <c r="AB370" s="62"/>
      <c r="AC370" s="62"/>
      <c r="AD370" s="62"/>
    </row>
    <row r="371" spans="15:30" x14ac:dyDescent="0.3">
      <c r="O371" s="61"/>
      <c r="P371" s="61"/>
      <c r="Q371" s="53"/>
      <c r="R371" s="62"/>
      <c r="S371" s="62"/>
      <c r="T371" s="62"/>
      <c r="U371" s="62"/>
      <c r="V371" s="62"/>
      <c r="W371" s="62"/>
      <c r="X371" s="61"/>
      <c r="Y371" s="53"/>
      <c r="Z371" s="62"/>
      <c r="AA371" s="62"/>
      <c r="AB371" s="62"/>
      <c r="AC371" s="62"/>
      <c r="AD371" s="62"/>
    </row>
    <row r="372" spans="15:30" x14ac:dyDescent="0.3">
      <c r="O372" s="61"/>
      <c r="P372" s="61"/>
      <c r="Q372" s="53"/>
      <c r="R372" s="62"/>
      <c r="S372" s="62"/>
      <c r="T372" s="62"/>
      <c r="U372" s="62"/>
      <c r="V372" s="62"/>
      <c r="W372" s="62"/>
      <c r="X372" s="61"/>
      <c r="Y372" s="53"/>
      <c r="Z372" s="62"/>
      <c r="AA372" s="62"/>
      <c r="AB372" s="62"/>
      <c r="AC372" s="62"/>
      <c r="AD372" s="62"/>
    </row>
    <row r="373" spans="15:30" x14ac:dyDescent="0.3">
      <c r="O373" s="61"/>
      <c r="P373" s="61"/>
      <c r="Q373" s="53"/>
      <c r="R373" s="62"/>
      <c r="S373" s="62"/>
      <c r="T373" s="62"/>
      <c r="U373" s="62"/>
      <c r="V373" s="62"/>
      <c r="W373" s="62"/>
      <c r="X373" s="61"/>
      <c r="Y373" s="53"/>
      <c r="Z373" s="62"/>
      <c r="AA373" s="62"/>
      <c r="AB373" s="62"/>
      <c r="AC373" s="62"/>
      <c r="AD373" s="62"/>
    </row>
    <row r="374" spans="15:30" x14ac:dyDescent="0.3">
      <c r="O374" s="61"/>
      <c r="P374" s="61"/>
      <c r="Q374" s="53"/>
      <c r="R374" s="62"/>
      <c r="S374" s="62"/>
      <c r="T374" s="62"/>
      <c r="U374" s="62"/>
      <c r="V374" s="62"/>
      <c r="W374" s="62"/>
      <c r="X374" s="61"/>
      <c r="Y374" s="53"/>
      <c r="Z374" s="62"/>
      <c r="AA374" s="62"/>
      <c r="AB374" s="62"/>
      <c r="AC374" s="62"/>
      <c r="AD374" s="62"/>
    </row>
    <row r="375" spans="15:30" x14ac:dyDescent="0.3">
      <c r="O375" s="61"/>
      <c r="P375" s="61"/>
      <c r="Q375" s="53"/>
      <c r="R375" s="62"/>
      <c r="S375" s="62"/>
      <c r="T375" s="62"/>
      <c r="U375" s="62"/>
      <c r="V375" s="62"/>
      <c r="W375" s="62"/>
      <c r="X375" s="61"/>
      <c r="Y375" s="53"/>
      <c r="Z375" s="62"/>
      <c r="AA375" s="62"/>
      <c r="AB375" s="62"/>
      <c r="AC375" s="62"/>
      <c r="AD375" s="62"/>
    </row>
    <row r="376" spans="15:30" x14ac:dyDescent="0.3">
      <c r="O376" s="61"/>
      <c r="P376" s="61"/>
      <c r="Q376" s="53"/>
      <c r="R376" s="62"/>
      <c r="S376" s="62"/>
      <c r="T376" s="62"/>
      <c r="U376" s="62"/>
      <c r="V376" s="62"/>
      <c r="W376" s="62"/>
      <c r="X376" s="61"/>
      <c r="Y376" s="53"/>
      <c r="Z376" s="62"/>
      <c r="AA376" s="62"/>
      <c r="AB376" s="62"/>
      <c r="AC376" s="62"/>
      <c r="AD376" s="62"/>
    </row>
    <row r="377" spans="15:30" x14ac:dyDescent="0.3">
      <c r="O377" s="61"/>
      <c r="P377" s="61"/>
      <c r="Q377" s="53"/>
      <c r="R377" s="62"/>
      <c r="S377" s="62"/>
      <c r="T377" s="62"/>
      <c r="U377" s="62"/>
      <c r="V377" s="62"/>
      <c r="W377" s="62"/>
      <c r="X377" s="61"/>
      <c r="Y377" s="53"/>
      <c r="Z377" s="62"/>
      <c r="AA377" s="62"/>
      <c r="AB377" s="62"/>
      <c r="AC377" s="62"/>
      <c r="AD377" s="62"/>
    </row>
    <row r="378" spans="15:30" x14ac:dyDescent="0.3">
      <c r="O378" s="61"/>
      <c r="P378" s="61"/>
      <c r="Q378" s="53"/>
      <c r="R378" s="62"/>
      <c r="S378" s="62"/>
      <c r="T378" s="62"/>
      <c r="U378" s="62"/>
      <c r="V378" s="62"/>
      <c r="W378" s="62"/>
      <c r="X378" s="61"/>
      <c r="Y378" s="53"/>
      <c r="Z378" s="62"/>
      <c r="AA378" s="62"/>
      <c r="AB378" s="62"/>
      <c r="AC378" s="62"/>
      <c r="AD378" s="62"/>
    </row>
    <row r="379" spans="15:30" x14ac:dyDescent="0.3">
      <c r="O379" s="61"/>
      <c r="P379" s="61"/>
      <c r="Q379" s="53"/>
      <c r="R379" s="62"/>
      <c r="S379" s="62"/>
      <c r="T379" s="62"/>
      <c r="U379" s="62"/>
      <c r="V379" s="62"/>
      <c r="W379" s="62"/>
      <c r="X379" s="61"/>
      <c r="Y379" s="53"/>
      <c r="Z379" s="62"/>
      <c r="AA379" s="62"/>
      <c r="AB379" s="62"/>
      <c r="AC379" s="62"/>
      <c r="AD379" s="62"/>
    </row>
    <row r="380" spans="15:30" x14ac:dyDescent="0.3">
      <c r="O380" s="61"/>
      <c r="P380" s="61"/>
      <c r="Q380" s="53"/>
      <c r="R380" s="62"/>
      <c r="S380" s="62"/>
      <c r="T380" s="62"/>
      <c r="U380" s="62"/>
      <c r="V380" s="62"/>
      <c r="W380" s="62"/>
      <c r="X380" s="61"/>
      <c r="Y380" s="53"/>
      <c r="Z380" s="62"/>
      <c r="AA380" s="62"/>
      <c r="AB380" s="62"/>
      <c r="AC380" s="62"/>
      <c r="AD380" s="62"/>
    </row>
    <row r="381" spans="15:30" x14ac:dyDescent="0.3">
      <c r="O381" s="61"/>
      <c r="P381" s="61"/>
      <c r="Q381" s="53"/>
      <c r="R381" s="62"/>
      <c r="S381" s="62"/>
      <c r="T381" s="62"/>
      <c r="U381" s="62"/>
      <c r="V381" s="62"/>
      <c r="W381" s="62"/>
      <c r="X381" s="61"/>
      <c r="Y381" s="53"/>
      <c r="Z381" s="62"/>
      <c r="AA381" s="62"/>
      <c r="AB381" s="62"/>
      <c r="AC381" s="62"/>
      <c r="AD381" s="62"/>
    </row>
    <row r="382" spans="15:30" x14ac:dyDescent="0.3">
      <c r="O382" s="61"/>
      <c r="P382" s="61"/>
      <c r="Q382" s="53"/>
      <c r="R382" s="62"/>
      <c r="S382" s="62"/>
      <c r="T382" s="62"/>
      <c r="U382" s="62"/>
      <c r="V382" s="62"/>
      <c r="W382" s="62"/>
      <c r="X382" s="61"/>
      <c r="Y382" s="53"/>
      <c r="Z382" s="62"/>
      <c r="AA382" s="62"/>
      <c r="AB382" s="62"/>
      <c r="AC382" s="62"/>
      <c r="AD382" s="62"/>
    </row>
    <row r="383" spans="15:30" x14ac:dyDescent="0.3">
      <c r="O383" s="61"/>
      <c r="P383" s="61"/>
      <c r="Q383" s="53"/>
      <c r="R383" s="62"/>
      <c r="S383" s="62"/>
      <c r="T383" s="62"/>
      <c r="U383" s="62"/>
      <c r="V383" s="62"/>
      <c r="W383" s="62"/>
      <c r="X383" s="61"/>
      <c r="Y383" s="53"/>
      <c r="Z383" s="62"/>
      <c r="AA383" s="62"/>
      <c r="AB383" s="62"/>
      <c r="AC383" s="62"/>
      <c r="AD383" s="62"/>
    </row>
    <row r="384" spans="15:30" x14ac:dyDescent="0.3">
      <c r="O384" s="61"/>
      <c r="P384" s="61"/>
      <c r="Q384" s="53"/>
      <c r="R384" s="62"/>
      <c r="S384" s="62"/>
      <c r="T384" s="62"/>
      <c r="U384" s="62"/>
      <c r="V384" s="62"/>
      <c r="W384" s="62"/>
      <c r="X384" s="61"/>
      <c r="Y384" s="53"/>
      <c r="Z384" s="62"/>
      <c r="AA384" s="62"/>
      <c r="AB384" s="62"/>
      <c r="AC384" s="62"/>
      <c r="AD384" s="62"/>
    </row>
    <row r="385" spans="15:30" x14ac:dyDescent="0.3">
      <c r="O385" s="61"/>
      <c r="P385" s="61"/>
      <c r="Q385" s="53"/>
      <c r="R385" s="62"/>
      <c r="S385" s="62"/>
      <c r="T385" s="62"/>
      <c r="U385" s="62"/>
      <c r="V385" s="62"/>
      <c r="W385" s="62"/>
      <c r="X385" s="61"/>
      <c r="Y385" s="53"/>
      <c r="Z385" s="62"/>
      <c r="AA385" s="62"/>
      <c r="AB385" s="62"/>
      <c r="AC385" s="62"/>
      <c r="AD385" s="62"/>
    </row>
    <row r="386" spans="15:30" x14ac:dyDescent="0.3">
      <c r="O386" s="61"/>
      <c r="P386" s="61"/>
      <c r="Q386" s="53"/>
      <c r="R386" s="62"/>
      <c r="S386" s="62"/>
      <c r="T386" s="62"/>
      <c r="U386" s="62"/>
      <c r="V386" s="62"/>
      <c r="W386" s="62"/>
      <c r="X386" s="61"/>
      <c r="Y386" s="53"/>
      <c r="Z386" s="62"/>
      <c r="AA386" s="62"/>
      <c r="AB386" s="62"/>
      <c r="AC386" s="62"/>
      <c r="AD386" s="62"/>
    </row>
    <row r="387" spans="15:30" x14ac:dyDescent="0.3">
      <c r="O387" s="61"/>
      <c r="P387" s="61"/>
      <c r="Q387" s="53"/>
      <c r="R387" s="62"/>
      <c r="S387" s="62"/>
      <c r="T387" s="62"/>
      <c r="U387" s="62"/>
      <c r="V387" s="62"/>
      <c r="W387" s="62"/>
      <c r="X387" s="61"/>
      <c r="Y387" s="53"/>
      <c r="Z387" s="62"/>
      <c r="AA387" s="62"/>
      <c r="AB387" s="62"/>
      <c r="AC387" s="62"/>
      <c r="AD387" s="62"/>
    </row>
    <row r="388" spans="15:30" x14ac:dyDescent="0.3">
      <c r="O388" s="61"/>
      <c r="P388" s="61"/>
      <c r="Q388" s="53"/>
      <c r="R388" s="62"/>
      <c r="S388" s="62"/>
      <c r="T388" s="62"/>
      <c r="U388" s="62"/>
      <c r="V388" s="62"/>
      <c r="W388" s="62"/>
      <c r="X388" s="61"/>
      <c r="Y388" s="53"/>
      <c r="Z388" s="62"/>
      <c r="AA388" s="62"/>
      <c r="AB388" s="62"/>
      <c r="AC388" s="62"/>
      <c r="AD388" s="62"/>
    </row>
    <row r="389" spans="15:30" x14ac:dyDescent="0.3">
      <c r="O389" s="61"/>
      <c r="P389" s="61"/>
      <c r="Q389" s="53"/>
      <c r="R389" s="62"/>
      <c r="S389" s="62"/>
      <c r="T389" s="62"/>
      <c r="U389" s="62"/>
      <c r="V389" s="62"/>
      <c r="W389" s="62"/>
      <c r="X389" s="61"/>
      <c r="Y389" s="53"/>
      <c r="Z389" s="62"/>
      <c r="AA389" s="62"/>
      <c r="AB389" s="62"/>
      <c r="AC389" s="62"/>
      <c r="AD389" s="62"/>
    </row>
    <row r="390" spans="15:30" x14ac:dyDescent="0.3">
      <c r="O390" s="61"/>
      <c r="P390" s="61"/>
      <c r="Q390" s="53"/>
      <c r="R390" s="62"/>
      <c r="S390" s="62"/>
      <c r="T390" s="62"/>
      <c r="U390" s="62"/>
      <c r="V390" s="62"/>
      <c r="W390" s="62"/>
      <c r="X390" s="61"/>
      <c r="Y390" s="53"/>
      <c r="Z390" s="62"/>
      <c r="AA390" s="62"/>
      <c r="AB390" s="62"/>
      <c r="AC390" s="62"/>
      <c r="AD390" s="62"/>
    </row>
    <row r="391" spans="15:30" x14ac:dyDescent="0.3">
      <c r="O391" s="61"/>
      <c r="P391" s="61"/>
      <c r="Q391" s="53"/>
      <c r="R391" s="62"/>
      <c r="S391" s="62"/>
      <c r="T391" s="62"/>
      <c r="U391" s="62"/>
      <c r="V391" s="62"/>
      <c r="W391" s="62"/>
      <c r="X391" s="61"/>
      <c r="Y391" s="53"/>
      <c r="Z391" s="62"/>
      <c r="AA391" s="62"/>
      <c r="AB391" s="62"/>
      <c r="AC391" s="62"/>
      <c r="AD391" s="62"/>
    </row>
    <row r="392" spans="15:30" x14ac:dyDescent="0.3">
      <c r="O392" s="61"/>
      <c r="P392" s="61"/>
      <c r="Q392" s="53"/>
      <c r="R392" s="62"/>
      <c r="S392" s="62"/>
      <c r="T392" s="62"/>
      <c r="U392" s="62"/>
      <c r="V392" s="62"/>
      <c r="W392" s="62"/>
      <c r="X392" s="61"/>
      <c r="Y392" s="53"/>
      <c r="Z392" s="62"/>
      <c r="AA392" s="62"/>
      <c r="AB392" s="62"/>
      <c r="AC392" s="62"/>
      <c r="AD392" s="62"/>
    </row>
    <row r="393" spans="15:30" x14ac:dyDescent="0.3">
      <c r="O393" s="61"/>
      <c r="P393" s="61"/>
      <c r="Q393" s="53"/>
      <c r="R393" s="62"/>
      <c r="S393" s="62"/>
      <c r="T393" s="62"/>
      <c r="U393" s="62"/>
      <c r="V393" s="62"/>
      <c r="W393" s="62"/>
      <c r="X393" s="61"/>
      <c r="Y393" s="53"/>
      <c r="Z393" s="62"/>
      <c r="AA393" s="62"/>
      <c r="AB393" s="62"/>
      <c r="AC393" s="62"/>
      <c r="AD393" s="62"/>
    </row>
    <row r="394" spans="15:30" x14ac:dyDescent="0.3">
      <c r="O394" s="61"/>
      <c r="P394" s="61"/>
      <c r="Q394" s="53"/>
      <c r="R394" s="62"/>
      <c r="S394" s="62"/>
      <c r="T394" s="62"/>
      <c r="U394" s="62"/>
      <c r="V394" s="62"/>
      <c r="W394" s="62"/>
      <c r="X394" s="61"/>
      <c r="Y394" s="53"/>
      <c r="Z394" s="62"/>
      <c r="AA394" s="62"/>
      <c r="AB394" s="62"/>
      <c r="AC394" s="62"/>
      <c r="AD394" s="62"/>
    </row>
    <row r="395" spans="15:30" x14ac:dyDescent="0.3">
      <c r="O395" s="61"/>
      <c r="P395" s="61"/>
      <c r="Q395" s="53"/>
      <c r="R395" s="62"/>
      <c r="S395" s="62"/>
      <c r="T395" s="62"/>
      <c r="U395" s="62"/>
      <c r="V395" s="62"/>
      <c r="W395" s="62"/>
      <c r="X395" s="61"/>
      <c r="Y395" s="53"/>
      <c r="Z395" s="62"/>
      <c r="AA395" s="62"/>
      <c r="AB395" s="62"/>
      <c r="AC395" s="62"/>
      <c r="AD395" s="62"/>
    </row>
    <row r="396" spans="15:30" x14ac:dyDescent="0.3">
      <c r="O396" s="61"/>
      <c r="P396" s="61"/>
      <c r="Q396" s="53"/>
      <c r="R396" s="62"/>
      <c r="S396" s="62"/>
      <c r="T396" s="62"/>
      <c r="U396" s="62"/>
      <c r="V396" s="62"/>
      <c r="W396" s="62"/>
      <c r="X396" s="61"/>
      <c r="Y396" s="53"/>
      <c r="Z396" s="62"/>
      <c r="AA396" s="62"/>
      <c r="AB396" s="62"/>
      <c r="AC396" s="62"/>
      <c r="AD396" s="62"/>
    </row>
    <row r="397" spans="15:30" x14ac:dyDescent="0.3">
      <c r="O397" s="61"/>
      <c r="P397" s="61"/>
      <c r="Q397" s="53"/>
      <c r="R397" s="62"/>
      <c r="S397" s="62"/>
      <c r="T397" s="62"/>
      <c r="U397" s="62"/>
      <c r="V397" s="62"/>
      <c r="W397" s="62"/>
      <c r="X397" s="61"/>
      <c r="Y397" s="53"/>
      <c r="Z397" s="62"/>
      <c r="AA397" s="62"/>
      <c r="AB397" s="62"/>
      <c r="AC397" s="62"/>
      <c r="AD397" s="62"/>
    </row>
    <row r="398" spans="15:30" x14ac:dyDescent="0.3">
      <c r="O398" s="61"/>
      <c r="P398" s="61"/>
      <c r="Q398" s="53"/>
      <c r="R398" s="62"/>
      <c r="S398" s="62"/>
      <c r="T398" s="62"/>
      <c r="U398" s="62"/>
      <c r="V398" s="62"/>
      <c r="W398" s="62"/>
      <c r="X398" s="61"/>
      <c r="Y398" s="53"/>
      <c r="Z398" s="62"/>
      <c r="AA398" s="62"/>
      <c r="AB398" s="62"/>
      <c r="AC398" s="62"/>
      <c r="AD398" s="62"/>
    </row>
    <row r="399" spans="15:30" x14ac:dyDescent="0.3">
      <c r="O399" s="61"/>
      <c r="P399" s="61"/>
      <c r="Q399" s="53"/>
      <c r="R399" s="62"/>
      <c r="S399" s="62"/>
      <c r="T399" s="62"/>
      <c r="U399" s="62"/>
      <c r="V399" s="62"/>
      <c r="W399" s="62"/>
      <c r="X399" s="61"/>
      <c r="Y399" s="53"/>
      <c r="Z399" s="62"/>
      <c r="AA399" s="62"/>
      <c r="AB399" s="62"/>
      <c r="AC399" s="62"/>
      <c r="AD399" s="62"/>
    </row>
    <row r="400" spans="15:30" x14ac:dyDescent="0.3">
      <c r="O400" s="61"/>
      <c r="P400" s="61"/>
      <c r="Q400" s="53"/>
      <c r="R400" s="62"/>
      <c r="S400" s="62"/>
      <c r="T400" s="62"/>
      <c r="U400" s="62"/>
      <c r="V400" s="62"/>
      <c r="W400" s="62"/>
      <c r="X400" s="61"/>
      <c r="Y400" s="53"/>
      <c r="Z400" s="62"/>
      <c r="AA400" s="62"/>
      <c r="AB400" s="62"/>
      <c r="AC400" s="62"/>
      <c r="AD400" s="62"/>
    </row>
    <row r="401" spans="15:30" x14ac:dyDescent="0.3">
      <c r="O401" s="61"/>
      <c r="P401" s="61"/>
      <c r="Q401" s="53"/>
      <c r="R401" s="62"/>
      <c r="S401" s="62"/>
      <c r="T401" s="62"/>
      <c r="U401" s="62"/>
      <c r="V401" s="62"/>
      <c r="W401" s="62"/>
      <c r="X401" s="61"/>
      <c r="Y401" s="53"/>
      <c r="Z401" s="62"/>
      <c r="AA401" s="62"/>
      <c r="AB401" s="62"/>
      <c r="AC401" s="62"/>
      <c r="AD401" s="62"/>
    </row>
    <row r="402" spans="15:30" x14ac:dyDescent="0.3">
      <c r="O402" s="61"/>
      <c r="P402" s="61"/>
      <c r="Q402" s="53"/>
      <c r="R402" s="62"/>
      <c r="S402" s="62"/>
      <c r="T402" s="62"/>
      <c r="U402" s="62"/>
      <c r="V402" s="62"/>
      <c r="W402" s="62"/>
      <c r="X402" s="61"/>
      <c r="Y402" s="53"/>
      <c r="Z402" s="62"/>
      <c r="AA402" s="62"/>
      <c r="AB402" s="62"/>
      <c r="AC402" s="62"/>
      <c r="AD402" s="62"/>
    </row>
    <row r="403" spans="15:30" x14ac:dyDescent="0.3">
      <c r="O403" s="61"/>
      <c r="P403" s="61"/>
      <c r="Q403" s="53"/>
      <c r="R403" s="62"/>
      <c r="S403" s="62"/>
      <c r="T403" s="62"/>
      <c r="U403" s="62"/>
      <c r="V403" s="62"/>
      <c r="W403" s="62"/>
      <c r="X403" s="61"/>
      <c r="Y403" s="53"/>
      <c r="Z403" s="62"/>
      <c r="AA403" s="62"/>
      <c r="AB403" s="62"/>
      <c r="AC403" s="62"/>
      <c r="AD403" s="62"/>
    </row>
    <row r="404" spans="15:30" x14ac:dyDescent="0.3">
      <c r="O404" s="61"/>
      <c r="P404" s="61"/>
      <c r="Q404" s="53"/>
      <c r="R404" s="62"/>
      <c r="S404" s="62"/>
      <c r="T404" s="62"/>
      <c r="U404" s="62"/>
      <c r="V404" s="62"/>
      <c r="W404" s="62"/>
      <c r="X404" s="61"/>
      <c r="Y404" s="53"/>
      <c r="Z404" s="62"/>
      <c r="AA404" s="62"/>
      <c r="AB404" s="62"/>
      <c r="AC404" s="62"/>
      <c r="AD404" s="62"/>
    </row>
    <row r="405" spans="15:30" x14ac:dyDescent="0.3">
      <c r="O405" s="61"/>
      <c r="P405" s="61"/>
      <c r="Q405" s="53"/>
      <c r="R405" s="62"/>
      <c r="S405" s="62"/>
      <c r="T405" s="62"/>
      <c r="U405" s="62"/>
      <c r="V405" s="62"/>
      <c r="W405" s="62"/>
      <c r="X405" s="61"/>
      <c r="Y405" s="53"/>
      <c r="Z405" s="62"/>
      <c r="AA405" s="62"/>
      <c r="AB405" s="62"/>
      <c r="AC405" s="62"/>
      <c r="AD405" s="62"/>
    </row>
    <row r="406" spans="15:30" x14ac:dyDescent="0.3">
      <c r="O406" s="61"/>
      <c r="P406" s="61"/>
      <c r="Q406" s="53"/>
      <c r="R406" s="62"/>
      <c r="S406" s="62"/>
      <c r="T406" s="62"/>
      <c r="U406" s="62"/>
      <c r="V406" s="62"/>
      <c r="W406" s="62"/>
      <c r="X406" s="61"/>
      <c r="Y406" s="53"/>
      <c r="Z406" s="62"/>
      <c r="AA406" s="62"/>
      <c r="AB406" s="62"/>
      <c r="AC406" s="62"/>
      <c r="AD406" s="62"/>
    </row>
    <row r="407" spans="15:30" x14ac:dyDescent="0.3">
      <c r="O407" s="61"/>
      <c r="P407" s="61"/>
      <c r="Q407" s="53"/>
      <c r="R407" s="62"/>
      <c r="S407" s="62"/>
      <c r="T407" s="62"/>
      <c r="U407" s="62"/>
      <c r="V407" s="62"/>
      <c r="W407" s="62"/>
      <c r="X407" s="61"/>
      <c r="Y407" s="53"/>
      <c r="Z407" s="62"/>
      <c r="AA407" s="62"/>
      <c r="AB407" s="62"/>
      <c r="AC407" s="62"/>
      <c r="AD407" s="62"/>
    </row>
    <row r="408" spans="15:30" x14ac:dyDescent="0.3">
      <c r="O408" s="61"/>
      <c r="P408" s="61"/>
      <c r="Q408" s="53"/>
      <c r="R408" s="62"/>
      <c r="S408" s="62"/>
      <c r="T408" s="62"/>
      <c r="U408" s="62"/>
      <c r="V408" s="62"/>
      <c r="W408" s="62"/>
      <c r="X408" s="61"/>
      <c r="Y408" s="53"/>
      <c r="Z408" s="62"/>
      <c r="AA408" s="62"/>
      <c r="AB408" s="62"/>
      <c r="AC408" s="62"/>
      <c r="AD408" s="62"/>
    </row>
    <row r="409" spans="15:30" x14ac:dyDescent="0.3">
      <c r="O409" s="61"/>
      <c r="P409" s="61"/>
      <c r="Q409" s="53"/>
      <c r="R409" s="62"/>
      <c r="S409" s="62"/>
      <c r="T409" s="62"/>
      <c r="U409" s="62"/>
      <c r="V409" s="62"/>
      <c r="W409" s="62"/>
      <c r="X409" s="61"/>
      <c r="Y409" s="53"/>
      <c r="Z409" s="62"/>
      <c r="AA409" s="62"/>
      <c r="AB409" s="62"/>
      <c r="AC409" s="62"/>
      <c r="AD409" s="62"/>
    </row>
    <row r="410" spans="15:30" x14ac:dyDescent="0.3">
      <c r="O410" s="61"/>
      <c r="P410" s="61"/>
      <c r="Q410" s="53"/>
      <c r="R410" s="62"/>
      <c r="S410" s="62"/>
      <c r="T410" s="62"/>
      <c r="U410" s="62"/>
      <c r="V410" s="62"/>
      <c r="W410" s="62"/>
      <c r="X410" s="61"/>
      <c r="Y410" s="53"/>
      <c r="Z410" s="62"/>
      <c r="AA410" s="62"/>
      <c r="AB410" s="62"/>
      <c r="AC410" s="62"/>
      <c r="AD410" s="62"/>
    </row>
    <row r="411" spans="15:30" x14ac:dyDescent="0.3">
      <c r="O411" s="61"/>
      <c r="P411" s="61"/>
      <c r="Q411" s="53"/>
      <c r="R411" s="62"/>
      <c r="S411" s="62"/>
      <c r="T411" s="62"/>
      <c r="U411" s="62"/>
      <c r="V411" s="62"/>
      <c r="W411" s="62"/>
      <c r="X411" s="61"/>
      <c r="Y411" s="53"/>
      <c r="Z411" s="62"/>
      <c r="AA411" s="62"/>
      <c r="AB411" s="62"/>
      <c r="AC411" s="62"/>
      <c r="AD411" s="62"/>
    </row>
    <row r="412" spans="15:30" x14ac:dyDescent="0.3">
      <c r="O412" s="61"/>
      <c r="P412" s="61"/>
      <c r="Q412" s="53"/>
      <c r="R412" s="62"/>
      <c r="S412" s="62"/>
      <c r="T412" s="62"/>
      <c r="U412" s="62"/>
      <c r="V412" s="62"/>
      <c r="W412" s="62"/>
      <c r="X412" s="61"/>
      <c r="Y412" s="53"/>
      <c r="Z412" s="62"/>
      <c r="AA412" s="62"/>
      <c r="AB412" s="62"/>
      <c r="AC412" s="62"/>
      <c r="AD412" s="62"/>
    </row>
    <row r="413" spans="15:30" x14ac:dyDescent="0.3">
      <c r="O413" s="61"/>
      <c r="P413" s="61"/>
      <c r="Q413" s="53"/>
      <c r="R413" s="62"/>
      <c r="S413" s="62"/>
      <c r="T413" s="62"/>
      <c r="U413" s="62"/>
      <c r="V413" s="62"/>
      <c r="W413" s="62"/>
      <c r="X413" s="61"/>
      <c r="Y413" s="53"/>
      <c r="Z413" s="62"/>
      <c r="AA413" s="62"/>
      <c r="AB413" s="62"/>
      <c r="AC413" s="62"/>
      <c r="AD413" s="62"/>
    </row>
    <row r="414" spans="15:30" x14ac:dyDescent="0.3">
      <c r="O414" s="61"/>
      <c r="P414" s="61"/>
      <c r="Q414" s="53"/>
      <c r="R414" s="62"/>
      <c r="S414" s="62"/>
      <c r="T414" s="62"/>
      <c r="U414" s="62"/>
      <c r="V414" s="62"/>
      <c r="W414" s="62"/>
      <c r="X414" s="61"/>
      <c r="Y414" s="53"/>
      <c r="Z414" s="62"/>
      <c r="AA414" s="62"/>
      <c r="AB414" s="62"/>
      <c r="AC414" s="62"/>
      <c r="AD414" s="62"/>
    </row>
    <row r="415" spans="15:30" x14ac:dyDescent="0.3">
      <c r="O415" s="61"/>
      <c r="P415" s="61"/>
      <c r="Q415" s="53"/>
      <c r="R415" s="62"/>
      <c r="S415" s="62"/>
      <c r="T415" s="62"/>
      <c r="U415" s="62"/>
      <c r="V415" s="62"/>
      <c r="W415" s="62"/>
      <c r="X415" s="61"/>
      <c r="Y415" s="53"/>
      <c r="Z415" s="62"/>
      <c r="AA415" s="62"/>
      <c r="AB415" s="62"/>
      <c r="AC415" s="62"/>
      <c r="AD415" s="62"/>
    </row>
    <row r="416" spans="15:30" x14ac:dyDescent="0.3">
      <c r="O416" s="61"/>
      <c r="P416" s="61"/>
      <c r="Q416" s="53"/>
      <c r="R416" s="62"/>
      <c r="S416" s="62"/>
      <c r="T416" s="62"/>
      <c r="U416" s="62"/>
      <c r="V416" s="62"/>
      <c r="W416" s="62"/>
      <c r="X416" s="61"/>
      <c r="Y416" s="53"/>
      <c r="Z416" s="62"/>
      <c r="AA416" s="62"/>
      <c r="AB416" s="62"/>
      <c r="AC416" s="62"/>
      <c r="AD416" s="62"/>
    </row>
    <row r="417" spans="15:30" x14ac:dyDescent="0.3">
      <c r="O417" s="61"/>
      <c r="P417" s="61"/>
      <c r="Q417" s="53"/>
      <c r="R417" s="62"/>
      <c r="S417" s="62"/>
      <c r="T417" s="62"/>
      <c r="U417" s="62"/>
      <c r="V417" s="62"/>
      <c r="W417" s="62"/>
      <c r="X417" s="61"/>
      <c r="Y417" s="53"/>
      <c r="Z417" s="62"/>
      <c r="AA417" s="62"/>
      <c r="AB417" s="62"/>
      <c r="AC417" s="62"/>
      <c r="AD417" s="62"/>
    </row>
    <row r="418" spans="15:30" x14ac:dyDescent="0.3">
      <c r="O418" s="61"/>
      <c r="P418" s="61"/>
      <c r="Q418" s="53"/>
      <c r="R418" s="62"/>
      <c r="S418" s="62"/>
      <c r="T418" s="62"/>
      <c r="U418" s="62"/>
      <c r="V418" s="62"/>
      <c r="W418" s="62"/>
      <c r="X418" s="61"/>
      <c r="Y418" s="53"/>
      <c r="Z418" s="62"/>
      <c r="AA418" s="62"/>
      <c r="AB418" s="62"/>
      <c r="AC418" s="62"/>
      <c r="AD418" s="62"/>
    </row>
    <row r="419" spans="15:30" x14ac:dyDescent="0.3">
      <c r="O419" s="61"/>
      <c r="P419" s="61"/>
      <c r="Q419" s="53"/>
      <c r="R419" s="62"/>
      <c r="S419" s="62"/>
      <c r="T419" s="62"/>
      <c r="U419" s="62"/>
      <c r="V419" s="62"/>
      <c r="W419" s="62"/>
      <c r="X419" s="61"/>
      <c r="Y419" s="53"/>
      <c r="Z419" s="62"/>
      <c r="AA419" s="62"/>
      <c r="AB419" s="62"/>
      <c r="AC419" s="62"/>
      <c r="AD419" s="62"/>
    </row>
    <row r="420" spans="15:30" x14ac:dyDescent="0.3">
      <c r="O420" s="61"/>
      <c r="P420" s="61"/>
      <c r="Q420" s="53"/>
      <c r="R420" s="62"/>
      <c r="S420" s="62"/>
      <c r="T420" s="62"/>
      <c r="U420" s="62"/>
      <c r="V420" s="62"/>
      <c r="W420" s="62"/>
      <c r="X420" s="61"/>
      <c r="Y420" s="53"/>
      <c r="Z420" s="62"/>
      <c r="AA420" s="62"/>
      <c r="AB420" s="62"/>
      <c r="AC420" s="62"/>
      <c r="AD420" s="62"/>
    </row>
    <row r="421" spans="15:30" x14ac:dyDescent="0.3">
      <c r="O421" s="61"/>
      <c r="P421" s="61"/>
      <c r="Q421" s="53"/>
      <c r="R421" s="62"/>
      <c r="S421" s="62"/>
      <c r="T421" s="62"/>
      <c r="U421" s="62"/>
      <c r="V421" s="62"/>
      <c r="W421" s="62"/>
      <c r="X421" s="61"/>
      <c r="Y421" s="53"/>
      <c r="Z421" s="62"/>
      <c r="AA421" s="62"/>
      <c r="AB421" s="62"/>
      <c r="AC421" s="62"/>
      <c r="AD421" s="62"/>
    </row>
    <row r="422" spans="15:30" x14ac:dyDescent="0.3">
      <c r="O422" s="61"/>
      <c r="P422" s="61"/>
      <c r="Q422" s="53"/>
      <c r="R422" s="62"/>
      <c r="S422" s="62"/>
      <c r="T422" s="62"/>
      <c r="U422" s="62"/>
      <c r="V422" s="62"/>
      <c r="W422" s="62"/>
      <c r="X422" s="61"/>
      <c r="Y422" s="53"/>
      <c r="Z422" s="62"/>
      <c r="AA422" s="62"/>
      <c r="AB422" s="62"/>
      <c r="AC422" s="62"/>
      <c r="AD422" s="62"/>
    </row>
    <row r="423" spans="15:30" x14ac:dyDescent="0.3">
      <c r="O423" s="61"/>
      <c r="P423" s="61"/>
      <c r="Q423" s="53"/>
      <c r="R423" s="62"/>
      <c r="S423" s="62"/>
      <c r="T423" s="62"/>
      <c r="U423" s="62"/>
      <c r="V423" s="62"/>
      <c r="W423" s="62"/>
      <c r="X423" s="61"/>
      <c r="Y423" s="53"/>
      <c r="Z423" s="62"/>
      <c r="AA423" s="62"/>
      <c r="AB423" s="62"/>
      <c r="AC423" s="62"/>
      <c r="AD423" s="62"/>
    </row>
    <row r="424" spans="15:30" x14ac:dyDescent="0.3">
      <c r="O424" s="61"/>
      <c r="P424" s="61"/>
      <c r="Q424" s="53"/>
      <c r="R424" s="62"/>
      <c r="S424" s="62"/>
      <c r="T424" s="62"/>
      <c r="U424" s="62"/>
      <c r="V424" s="62"/>
      <c r="W424" s="62"/>
      <c r="X424" s="61"/>
      <c r="Y424" s="53"/>
      <c r="Z424" s="62"/>
      <c r="AA424" s="62"/>
      <c r="AB424" s="62"/>
      <c r="AC424" s="62"/>
      <c r="AD424" s="62"/>
    </row>
    <row r="425" spans="15:30" x14ac:dyDescent="0.3">
      <c r="O425" s="61"/>
      <c r="P425" s="61"/>
      <c r="Q425" s="53"/>
      <c r="R425" s="62"/>
      <c r="S425" s="62"/>
      <c r="T425" s="62"/>
      <c r="U425" s="62"/>
      <c r="V425" s="62"/>
      <c r="W425" s="62"/>
      <c r="X425" s="61"/>
      <c r="Y425" s="53"/>
      <c r="Z425" s="62"/>
      <c r="AA425" s="62"/>
      <c r="AB425" s="62"/>
      <c r="AC425" s="62"/>
      <c r="AD425" s="62"/>
    </row>
    <row r="426" spans="15:30" x14ac:dyDescent="0.3">
      <c r="O426" s="61"/>
      <c r="P426" s="61"/>
      <c r="Q426" s="53"/>
      <c r="R426" s="62"/>
      <c r="S426" s="62"/>
      <c r="T426" s="62"/>
      <c r="U426" s="62"/>
      <c r="V426" s="62"/>
      <c r="W426" s="62"/>
      <c r="X426" s="61"/>
      <c r="Y426" s="53"/>
      <c r="Z426" s="62"/>
      <c r="AA426" s="62"/>
      <c r="AB426" s="62"/>
      <c r="AC426" s="62"/>
      <c r="AD426" s="62"/>
    </row>
    <row r="427" spans="15:30" x14ac:dyDescent="0.3">
      <c r="O427" s="61"/>
      <c r="P427" s="61"/>
      <c r="Q427" s="53"/>
      <c r="R427" s="62"/>
      <c r="S427" s="62"/>
      <c r="T427" s="62"/>
      <c r="U427" s="62"/>
      <c r="V427" s="62"/>
      <c r="W427" s="62"/>
      <c r="X427" s="61"/>
      <c r="Y427" s="53"/>
      <c r="Z427" s="62"/>
      <c r="AA427" s="62"/>
      <c r="AB427" s="62"/>
      <c r="AC427" s="62"/>
      <c r="AD427" s="62"/>
    </row>
    <row r="428" spans="15:30" x14ac:dyDescent="0.3">
      <c r="O428" s="61"/>
      <c r="P428" s="61"/>
      <c r="Q428" s="53"/>
      <c r="R428" s="62"/>
      <c r="S428" s="62"/>
      <c r="T428" s="62"/>
      <c r="U428" s="62"/>
      <c r="V428" s="62"/>
      <c r="W428" s="62"/>
      <c r="X428" s="61"/>
      <c r="Y428" s="53"/>
      <c r="Z428" s="62"/>
      <c r="AA428" s="62"/>
      <c r="AB428" s="62"/>
      <c r="AC428" s="62"/>
      <c r="AD428" s="62"/>
    </row>
    <row r="429" spans="15:30" x14ac:dyDescent="0.3">
      <c r="O429" s="61"/>
      <c r="P429" s="61"/>
      <c r="Q429" s="53"/>
      <c r="R429" s="62"/>
      <c r="S429" s="62"/>
      <c r="T429" s="62"/>
      <c r="U429" s="62"/>
      <c r="V429" s="62"/>
      <c r="W429" s="62"/>
      <c r="X429" s="61"/>
      <c r="Y429" s="53"/>
      <c r="Z429" s="62"/>
      <c r="AA429" s="62"/>
      <c r="AB429" s="62"/>
      <c r="AC429" s="62"/>
      <c r="AD429" s="62"/>
    </row>
    <row r="430" spans="15:30" x14ac:dyDescent="0.3">
      <c r="O430" s="61"/>
      <c r="P430" s="61"/>
      <c r="Q430" s="53"/>
      <c r="R430" s="62"/>
      <c r="S430" s="62"/>
      <c r="T430" s="62"/>
      <c r="U430" s="62"/>
      <c r="V430" s="62"/>
      <c r="W430" s="62"/>
      <c r="X430" s="61"/>
      <c r="Y430" s="53"/>
      <c r="Z430" s="62"/>
      <c r="AA430" s="62"/>
      <c r="AB430" s="62"/>
      <c r="AC430" s="62"/>
      <c r="AD430" s="62"/>
    </row>
    <row r="431" spans="15:30" x14ac:dyDescent="0.3">
      <c r="O431" s="61"/>
      <c r="P431" s="61"/>
      <c r="Q431" s="53"/>
      <c r="R431" s="62"/>
      <c r="S431" s="62"/>
      <c r="T431" s="62"/>
      <c r="U431" s="62"/>
      <c r="V431" s="62"/>
      <c r="W431" s="62"/>
      <c r="X431" s="61"/>
      <c r="Y431" s="53"/>
      <c r="Z431" s="62"/>
      <c r="AA431" s="62"/>
      <c r="AB431" s="62"/>
      <c r="AC431" s="62"/>
      <c r="AD431" s="62"/>
    </row>
    <row r="432" spans="15:30" x14ac:dyDescent="0.3">
      <c r="O432" s="61"/>
      <c r="P432" s="61"/>
      <c r="Q432" s="53"/>
      <c r="R432" s="62"/>
      <c r="S432" s="62"/>
      <c r="T432" s="62"/>
      <c r="U432" s="62"/>
      <c r="V432" s="62"/>
      <c r="W432" s="62"/>
      <c r="X432" s="61"/>
      <c r="Y432" s="53"/>
      <c r="Z432" s="62"/>
      <c r="AA432" s="62"/>
      <c r="AB432" s="62"/>
      <c r="AC432" s="62"/>
      <c r="AD432" s="62"/>
    </row>
    <row r="433" spans="15:30" x14ac:dyDescent="0.3">
      <c r="O433" s="61"/>
      <c r="P433" s="61"/>
      <c r="Q433" s="53"/>
      <c r="R433" s="62"/>
      <c r="S433" s="62"/>
      <c r="T433" s="62"/>
      <c r="U433" s="62"/>
      <c r="V433" s="62"/>
      <c r="W433" s="62"/>
      <c r="X433" s="61"/>
      <c r="Y433" s="53"/>
      <c r="Z433" s="62"/>
      <c r="AA433" s="62"/>
      <c r="AB433" s="62"/>
      <c r="AC433" s="62"/>
      <c r="AD433" s="62"/>
    </row>
    <row r="434" spans="15:30" x14ac:dyDescent="0.3">
      <c r="O434" s="61"/>
      <c r="P434" s="61"/>
      <c r="Q434" s="53"/>
      <c r="R434" s="62"/>
      <c r="S434" s="62"/>
      <c r="T434" s="62"/>
      <c r="U434" s="62"/>
      <c r="V434" s="62"/>
      <c r="W434" s="62"/>
      <c r="X434" s="61"/>
      <c r="Y434" s="53"/>
      <c r="Z434" s="62"/>
      <c r="AA434" s="62"/>
      <c r="AB434" s="62"/>
      <c r="AC434" s="62"/>
      <c r="AD434" s="62"/>
    </row>
    <row r="435" spans="15:30" x14ac:dyDescent="0.3">
      <c r="O435" s="61"/>
      <c r="P435" s="61"/>
      <c r="Q435" s="53"/>
      <c r="R435" s="62"/>
      <c r="S435" s="62"/>
      <c r="T435" s="62"/>
      <c r="U435" s="62"/>
      <c r="V435" s="62"/>
      <c r="W435" s="62"/>
      <c r="X435" s="61"/>
      <c r="Y435" s="53"/>
      <c r="Z435" s="62"/>
      <c r="AA435" s="62"/>
      <c r="AB435" s="62"/>
      <c r="AC435" s="62"/>
      <c r="AD435" s="62"/>
    </row>
    <row r="436" spans="15:30" x14ac:dyDescent="0.3">
      <c r="O436" s="61"/>
      <c r="P436" s="61"/>
      <c r="Q436" s="53"/>
      <c r="R436" s="62"/>
      <c r="S436" s="62"/>
      <c r="T436" s="62"/>
      <c r="U436" s="62"/>
      <c r="V436" s="62"/>
      <c r="W436" s="62"/>
      <c r="X436" s="61"/>
      <c r="Y436" s="53"/>
      <c r="Z436" s="62"/>
      <c r="AA436" s="62"/>
      <c r="AB436" s="62"/>
      <c r="AC436" s="62"/>
      <c r="AD436" s="62"/>
    </row>
    <row r="437" spans="15:30" x14ac:dyDescent="0.3">
      <c r="O437" s="61"/>
      <c r="P437" s="61"/>
      <c r="Q437" s="53"/>
      <c r="R437" s="62"/>
      <c r="S437" s="62"/>
      <c r="T437" s="62"/>
      <c r="U437" s="62"/>
      <c r="V437" s="62"/>
      <c r="W437" s="62"/>
      <c r="X437" s="61"/>
      <c r="Y437" s="53"/>
      <c r="Z437" s="62"/>
      <c r="AA437" s="62"/>
      <c r="AB437" s="62"/>
      <c r="AC437" s="62"/>
      <c r="AD437" s="62"/>
    </row>
    <row r="438" spans="15:30" x14ac:dyDescent="0.3">
      <c r="O438" s="61"/>
      <c r="P438" s="61"/>
      <c r="Q438" s="53"/>
      <c r="R438" s="62"/>
      <c r="S438" s="62"/>
      <c r="T438" s="62"/>
      <c r="U438" s="62"/>
      <c r="V438" s="62"/>
      <c r="W438" s="62"/>
      <c r="X438" s="61"/>
      <c r="Y438" s="53"/>
      <c r="Z438" s="62"/>
      <c r="AA438" s="62"/>
      <c r="AB438" s="62"/>
      <c r="AC438" s="62"/>
      <c r="AD438" s="62"/>
    </row>
    <row r="439" spans="15:30" x14ac:dyDescent="0.3">
      <c r="O439" s="61"/>
      <c r="P439" s="61"/>
      <c r="Q439" s="53"/>
      <c r="R439" s="62"/>
      <c r="S439" s="62"/>
      <c r="T439" s="62"/>
      <c r="U439" s="62"/>
      <c r="V439" s="62"/>
      <c r="W439" s="62"/>
      <c r="X439" s="61"/>
      <c r="Y439" s="53"/>
      <c r="Z439" s="62"/>
      <c r="AA439" s="62"/>
      <c r="AB439" s="62"/>
      <c r="AC439" s="62"/>
      <c r="AD439" s="62"/>
    </row>
    <row r="440" spans="15:30" x14ac:dyDescent="0.3">
      <c r="O440" s="61"/>
      <c r="P440" s="61"/>
      <c r="Q440" s="53"/>
      <c r="R440" s="62"/>
      <c r="S440" s="62"/>
      <c r="T440" s="62"/>
      <c r="U440" s="62"/>
      <c r="V440" s="62"/>
      <c r="W440" s="62"/>
      <c r="X440" s="61"/>
      <c r="Y440" s="53"/>
      <c r="Z440" s="62"/>
      <c r="AA440" s="62"/>
      <c r="AB440" s="62"/>
      <c r="AC440" s="62"/>
      <c r="AD440" s="62"/>
    </row>
    <row r="441" spans="15:30" x14ac:dyDescent="0.3">
      <c r="O441" s="61"/>
      <c r="P441" s="61"/>
      <c r="Q441" s="53"/>
      <c r="R441" s="62"/>
      <c r="S441" s="62"/>
      <c r="T441" s="62"/>
      <c r="U441" s="62"/>
      <c r="V441" s="62"/>
      <c r="W441" s="62"/>
      <c r="X441" s="61"/>
      <c r="Y441" s="53"/>
      <c r="Z441" s="62"/>
      <c r="AA441" s="62"/>
      <c r="AB441" s="62"/>
      <c r="AC441" s="62"/>
      <c r="AD441" s="62"/>
    </row>
    <row r="442" spans="15:30" x14ac:dyDescent="0.3">
      <c r="O442" s="61"/>
      <c r="P442" s="61"/>
      <c r="Q442" s="53"/>
      <c r="R442" s="62"/>
      <c r="S442" s="62"/>
      <c r="T442" s="62"/>
      <c r="U442" s="62"/>
      <c r="V442" s="62"/>
      <c r="W442" s="62"/>
      <c r="X442" s="61"/>
      <c r="Y442" s="53"/>
      <c r="Z442" s="62"/>
      <c r="AA442" s="62"/>
      <c r="AB442" s="62"/>
      <c r="AC442" s="62"/>
      <c r="AD442" s="62"/>
    </row>
    <row r="443" spans="15:30" x14ac:dyDescent="0.3">
      <c r="O443" s="61"/>
      <c r="P443" s="61"/>
      <c r="Q443" s="53"/>
      <c r="R443" s="62"/>
      <c r="S443" s="62"/>
      <c r="T443" s="62"/>
      <c r="U443" s="62"/>
      <c r="V443" s="62"/>
      <c r="W443" s="62"/>
      <c r="X443" s="61"/>
      <c r="Y443" s="53"/>
      <c r="Z443" s="62"/>
      <c r="AA443" s="62"/>
      <c r="AB443" s="62"/>
      <c r="AC443" s="62"/>
      <c r="AD443" s="62"/>
    </row>
    <row r="444" spans="15:30" x14ac:dyDescent="0.3">
      <c r="O444" s="61"/>
      <c r="P444" s="61"/>
      <c r="Q444" s="53"/>
      <c r="R444" s="62"/>
      <c r="S444" s="62"/>
      <c r="T444" s="62"/>
      <c r="U444" s="62"/>
      <c r="V444" s="62"/>
      <c r="W444" s="62"/>
      <c r="X444" s="61"/>
      <c r="Y444" s="53"/>
      <c r="Z444" s="62"/>
      <c r="AA444" s="62"/>
      <c r="AB444" s="62"/>
      <c r="AC444" s="62"/>
      <c r="AD444" s="62"/>
    </row>
    <row r="445" spans="15:30" x14ac:dyDescent="0.3">
      <c r="O445" s="61"/>
      <c r="P445" s="61"/>
      <c r="Q445" s="53"/>
      <c r="R445" s="62"/>
      <c r="S445" s="62"/>
      <c r="T445" s="62"/>
      <c r="U445" s="62"/>
      <c r="V445" s="62"/>
      <c r="W445" s="62"/>
      <c r="X445" s="61"/>
      <c r="Y445" s="53"/>
      <c r="Z445" s="62"/>
      <c r="AA445" s="62"/>
      <c r="AB445" s="62"/>
      <c r="AC445" s="62"/>
      <c r="AD445" s="62"/>
    </row>
    <row r="446" spans="15:30" x14ac:dyDescent="0.3">
      <c r="O446" s="61"/>
      <c r="P446" s="61"/>
      <c r="Q446" s="53"/>
      <c r="R446" s="62"/>
      <c r="S446" s="62"/>
      <c r="T446" s="62"/>
      <c r="U446" s="62"/>
      <c r="V446" s="62"/>
      <c r="W446" s="62"/>
      <c r="X446" s="61"/>
      <c r="Y446" s="53"/>
      <c r="Z446" s="62"/>
      <c r="AA446" s="62"/>
      <c r="AB446" s="62"/>
      <c r="AC446" s="62"/>
      <c r="AD446" s="62"/>
    </row>
    <row r="447" spans="15:30" x14ac:dyDescent="0.3">
      <c r="O447" s="61"/>
      <c r="P447" s="61"/>
      <c r="Q447" s="53"/>
      <c r="R447" s="62"/>
      <c r="S447" s="62"/>
      <c r="T447" s="62"/>
      <c r="U447" s="62"/>
      <c r="V447" s="62"/>
      <c r="W447" s="62"/>
      <c r="X447" s="61"/>
      <c r="Y447" s="53"/>
      <c r="Z447" s="62"/>
      <c r="AA447" s="62"/>
      <c r="AB447" s="62"/>
      <c r="AC447" s="62"/>
      <c r="AD447" s="62"/>
    </row>
    <row r="448" spans="15:30" x14ac:dyDescent="0.3">
      <c r="O448" s="61"/>
      <c r="P448" s="61"/>
      <c r="Q448" s="53"/>
      <c r="R448" s="62"/>
      <c r="S448" s="62"/>
      <c r="T448" s="62"/>
      <c r="U448" s="62"/>
      <c r="V448" s="62"/>
      <c r="W448" s="62"/>
      <c r="X448" s="61"/>
      <c r="Y448" s="53"/>
      <c r="Z448" s="62"/>
      <c r="AA448" s="62"/>
      <c r="AB448" s="62"/>
      <c r="AC448" s="62"/>
      <c r="AD448" s="62"/>
    </row>
    <row r="449" spans="15:30" x14ac:dyDescent="0.3">
      <c r="O449" s="61"/>
      <c r="P449" s="61"/>
      <c r="Q449" s="53"/>
      <c r="R449" s="62"/>
      <c r="S449" s="62"/>
      <c r="T449" s="62"/>
      <c r="U449" s="62"/>
      <c r="V449" s="62"/>
      <c r="W449" s="62"/>
      <c r="X449" s="61"/>
      <c r="Y449" s="53"/>
      <c r="Z449" s="62"/>
      <c r="AA449" s="62"/>
      <c r="AB449" s="62"/>
      <c r="AC449" s="62"/>
      <c r="AD449" s="62"/>
    </row>
    <row r="450" spans="15:30" x14ac:dyDescent="0.3">
      <c r="O450" s="61"/>
      <c r="P450" s="61"/>
      <c r="Q450" s="53"/>
      <c r="R450" s="62"/>
      <c r="S450" s="62"/>
      <c r="T450" s="62"/>
      <c r="U450" s="62"/>
      <c r="V450" s="62"/>
      <c r="W450" s="62"/>
      <c r="X450" s="61"/>
      <c r="Y450" s="53"/>
      <c r="Z450" s="62"/>
      <c r="AA450" s="62"/>
      <c r="AB450" s="62"/>
      <c r="AC450" s="62"/>
      <c r="AD450" s="62"/>
    </row>
    <row r="451" spans="15:30" x14ac:dyDescent="0.3">
      <c r="O451" s="61"/>
      <c r="P451" s="61"/>
      <c r="Q451" s="53"/>
      <c r="R451" s="62"/>
      <c r="S451" s="62"/>
      <c r="T451" s="62"/>
      <c r="U451" s="62"/>
      <c r="V451" s="62"/>
      <c r="W451" s="62"/>
      <c r="X451" s="61"/>
      <c r="Y451" s="53"/>
      <c r="Z451" s="62"/>
      <c r="AA451" s="62"/>
      <c r="AB451" s="62"/>
      <c r="AC451" s="62"/>
      <c r="AD451" s="62"/>
    </row>
    <row r="452" spans="15:30" x14ac:dyDescent="0.3">
      <c r="O452" s="61"/>
      <c r="P452" s="61"/>
      <c r="Q452" s="53"/>
      <c r="R452" s="62"/>
      <c r="S452" s="62"/>
      <c r="T452" s="62"/>
      <c r="U452" s="62"/>
      <c r="V452" s="62"/>
      <c r="W452" s="62"/>
      <c r="X452" s="61"/>
      <c r="Y452" s="53"/>
      <c r="Z452" s="62"/>
      <c r="AA452" s="62"/>
      <c r="AB452" s="62"/>
      <c r="AC452" s="62"/>
      <c r="AD452" s="62"/>
    </row>
    <row r="453" spans="15:30" x14ac:dyDescent="0.3">
      <c r="O453" s="61"/>
      <c r="P453" s="61"/>
      <c r="Q453" s="53"/>
      <c r="R453" s="62"/>
      <c r="S453" s="62"/>
      <c r="T453" s="62"/>
      <c r="U453" s="62"/>
      <c r="V453" s="62"/>
      <c r="W453" s="62"/>
      <c r="X453" s="61"/>
      <c r="Y453" s="53"/>
      <c r="Z453" s="62"/>
      <c r="AA453" s="62"/>
      <c r="AB453" s="62"/>
      <c r="AC453" s="62"/>
      <c r="AD453" s="62"/>
    </row>
    <row r="454" spans="15:30" x14ac:dyDescent="0.3">
      <c r="O454" s="61"/>
      <c r="P454" s="61"/>
      <c r="Q454" s="53"/>
      <c r="R454" s="62"/>
      <c r="S454" s="62"/>
      <c r="T454" s="62"/>
      <c r="U454" s="62"/>
      <c r="V454" s="62"/>
      <c r="W454" s="62"/>
      <c r="X454" s="61"/>
      <c r="Y454" s="53"/>
      <c r="Z454" s="62"/>
      <c r="AA454" s="62"/>
      <c r="AB454" s="62"/>
      <c r="AC454" s="62"/>
      <c r="AD454" s="62"/>
    </row>
    <row r="455" spans="15:30" x14ac:dyDescent="0.3">
      <c r="O455" s="61"/>
      <c r="P455" s="61"/>
      <c r="Q455" s="53"/>
      <c r="R455" s="62"/>
      <c r="S455" s="62"/>
      <c r="T455" s="62"/>
      <c r="U455" s="62"/>
      <c r="V455" s="62"/>
      <c r="W455" s="62"/>
      <c r="X455" s="61"/>
      <c r="Y455" s="53"/>
      <c r="Z455" s="62"/>
      <c r="AA455" s="62"/>
      <c r="AB455" s="62"/>
      <c r="AC455" s="62"/>
      <c r="AD455" s="62"/>
    </row>
    <row r="456" spans="15:30" x14ac:dyDescent="0.3">
      <c r="O456" s="61"/>
      <c r="P456" s="61"/>
      <c r="Q456" s="53"/>
      <c r="R456" s="62"/>
      <c r="S456" s="62"/>
      <c r="T456" s="62"/>
      <c r="U456" s="62"/>
      <c r="V456" s="62"/>
      <c r="W456" s="62"/>
      <c r="X456" s="61"/>
      <c r="Y456" s="53"/>
      <c r="Z456" s="62"/>
      <c r="AA456" s="62"/>
      <c r="AB456" s="62"/>
      <c r="AC456" s="62"/>
      <c r="AD456" s="62"/>
    </row>
    <row r="457" spans="15:30" x14ac:dyDescent="0.3">
      <c r="O457" s="61"/>
      <c r="P457" s="61"/>
      <c r="Q457" s="53"/>
      <c r="R457" s="62"/>
      <c r="S457" s="62"/>
      <c r="T457" s="62"/>
      <c r="U457" s="62"/>
      <c r="V457" s="62"/>
      <c r="W457" s="62"/>
      <c r="X457" s="61"/>
      <c r="Y457" s="53"/>
      <c r="Z457" s="62"/>
      <c r="AA457" s="62"/>
      <c r="AB457" s="62"/>
      <c r="AC457" s="62"/>
      <c r="AD457" s="62"/>
    </row>
    <row r="458" spans="15:30" x14ac:dyDescent="0.3">
      <c r="O458" s="61"/>
      <c r="P458" s="61"/>
      <c r="Q458" s="53"/>
      <c r="R458" s="62"/>
      <c r="S458" s="62"/>
      <c r="T458" s="62"/>
      <c r="U458" s="62"/>
      <c r="V458" s="62"/>
      <c r="W458" s="62"/>
      <c r="X458" s="61"/>
      <c r="Y458" s="53"/>
      <c r="Z458" s="62"/>
      <c r="AA458" s="62"/>
      <c r="AB458" s="62"/>
      <c r="AC458" s="62"/>
      <c r="AD458" s="62"/>
    </row>
    <row r="459" spans="15:30" x14ac:dyDescent="0.3">
      <c r="O459" s="61"/>
      <c r="P459" s="61"/>
      <c r="Q459" s="53"/>
      <c r="R459" s="62"/>
      <c r="S459" s="62"/>
      <c r="T459" s="62"/>
      <c r="U459" s="62"/>
      <c r="V459" s="62"/>
      <c r="W459" s="62"/>
      <c r="X459" s="61"/>
      <c r="Y459" s="53"/>
      <c r="Z459" s="62"/>
      <c r="AA459" s="62"/>
      <c r="AB459" s="62"/>
      <c r="AC459" s="62"/>
      <c r="AD459" s="62"/>
    </row>
    <row r="460" spans="15:30" x14ac:dyDescent="0.3">
      <c r="O460" s="61"/>
      <c r="P460" s="61"/>
      <c r="Q460" s="53"/>
      <c r="R460" s="62"/>
      <c r="S460" s="62"/>
      <c r="T460" s="62"/>
      <c r="U460" s="62"/>
      <c r="V460" s="62"/>
      <c r="W460" s="62"/>
      <c r="X460" s="61"/>
      <c r="Y460" s="53"/>
      <c r="Z460" s="62"/>
      <c r="AA460" s="62"/>
      <c r="AB460" s="62"/>
      <c r="AC460" s="62"/>
      <c r="AD460" s="62"/>
    </row>
    <row r="461" spans="15:30" x14ac:dyDescent="0.3">
      <c r="O461" s="61"/>
      <c r="P461" s="61"/>
      <c r="Q461" s="53"/>
      <c r="R461" s="62"/>
      <c r="S461" s="62"/>
      <c r="T461" s="62"/>
      <c r="U461" s="62"/>
      <c r="V461" s="62"/>
      <c r="W461" s="62"/>
      <c r="X461" s="61"/>
      <c r="Y461" s="53"/>
      <c r="Z461" s="62"/>
      <c r="AA461" s="62"/>
      <c r="AB461" s="62"/>
      <c r="AC461" s="62"/>
      <c r="AD461" s="62"/>
    </row>
    <row r="462" spans="15:30" x14ac:dyDescent="0.3">
      <c r="O462" s="61"/>
      <c r="P462" s="61"/>
      <c r="Q462" s="53"/>
      <c r="R462" s="62"/>
      <c r="S462" s="62"/>
      <c r="T462" s="62"/>
      <c r="U462" s="62"/>
      <c r="V462" s="62"/>
      <c r="W462" s="62"/>
      <c r="X462" s="61"/>
      <c r="Y462" s="53"/>
      <c r="Z462" s="62"/>
      <c r="AA462" s="62"/>
      <c r="AB462" s="62"/>
      <c r="AC462" s="62"/>
      <c r="AD462" s="62"/>
    </row>
    <row r="463" spans="15:30" x14ac:dyDescent="0.3">
      <c r="O463" s="61"/>
      <c r="P463" s="61"/>
      <c r="Q463" s="53"/>
      <c r="R463" s="62"/>
      <c r="S463" s="62"/>
      <c r="T463" s="62"/>
      <c r="U463" s="62"/>
      <c r="V463" s="62"/>
      <c r="W463" s="62"/>
      <c r="X463" s="61"/>
      <c r="Y463" s="53"/>
      <c r="Z463" s="62"/>
      <c r="AA463" s="62"/>
      <c r="AB463" s="62"/>
      <c r="AC463" s="62"/>
      <c r="AD463" s="62"/>
    </row>
    <row r="464" spans="15:30" x14ac:dyDescent="0.3">
      <c r="O464" s="61"/>
      <c r="P464" s="61"/>
      <c r="Q464" s="53"/>
      <c r="R464" s="62"/>
      <c r="S464" s="62"/>
      <c r="T464" s="62"/>
      <c r="U464" s="62"/>
      <c r="V464" s="62"/>
      <c r="W464" s="62"/>
      <c r="X464" s="61"/>
      <c r="Y464" s="53"/>
      <c r="Z464" s="62"/>
      <c r="AA464" s="62"/>
      <c r="AB464" s="62"/>
      <c r="AC464" s="62"/>
      <c r="AD464" s="62"/>
    </row>
    <row r="465" spans="15:30" x14ac:dyDescent="0.3">
      <c r="O465" s="61"/>
      <c r="P465" s="61"/>
      <c r="Q465" s="53"/>
      <c r="R465" s="62"/>
      <c r="S465" s="62"/>
      <c r="T465" s="62"/>
      <c r="U465" s="62"/>
      <c r="V465" s="62"/>
      <c r="W465" s="62"/>
      <c r="X465" s="61"/>
      <c r="Y465" s="53"/>
      <c r="Z465" s="62"/>
      <c r="AA465" s="62"/>
      <c r="AB465" s="62"/>
      <c r="AC465" s="62"/>
      <c r="AD465" s="62"/>
    </row>
    <row r="466" spans="15:30" x14ac:dyDescent="0.3">
      <c r="O466" s="61"/>
      <c r="P466" s="61"/>
      <c r="Q466" s="53"/>
      <c r="R466" s="62"/>
      <c r="S466" s="62"/>
      <c r="T466" s="62"/>
      <c r="U466" s="62"/>
      <c r="V466" s="62"/>
      <c r="W466" s="62"/>
      <c r="X466" s="61"/>
      <c r="Y466" s="53"/>
      <c r="Z466" s="62"/>
      <c r="AA466" s="62"/>
      <c r="AB466" s="62"/>
      <c r="AC466" s="62"/>
      <c r="AD466" s="62"/>
    </row>
    <row r="467" spans="15:30" x14ac:dyDescent="0.3">
      <c r="O467" s="61"/>
      <c r="P467" s="61"/>
      <c r="Q467" s="53"/>
      <c r="R467" s="62"/>
      <c r="S467" s="62"/>
      <c r="T467" s="62"/>
      <c r="U467" s="62"/>
      <c r="V467" s="62"/>
      <c r="W467" s="62"/>
      <c r="X467" s="61"/>
      <c r="Y467" s="53"/>
      <c r="Z467" s="62"/>
      <c r="AA467" s="62"/>
      <c r="AB467" s="62"/>
      <c r="AC467" s="62"/>
      <c r="AD467" s="62"/>
    </row>
    <row r="468" spans="15:30" x14ac:dyDescent="0.3">
      <c r="O468" s="61"/>
      <c r="P468" s="61"/>
      <c r="Q468" s="53"/>
      <c r="R468" s="62"/>
      <c r="S468" s="62"/>
      <c r="T468" s="62"/>
      <c r="U468" s="62"/>
      <c r="V468" s="62"/>
      <c r="W468" s="62"/>
      <c r="X468" s="61"/>
      <c r="Y468" s="53"/>
      <c r="Z468" s="62"/>
      <c r="AA468" s="62"/>
      <c r="AB468" s="62"/>
      <c r="AC468" s="62"/>
      <c r="AD468" s="62"/>
    </row>
    <row r="469" spans="15:30" x14ac:dyDescent="0.3">
      <c r="O469" s="61"/>
      <c r="P469" s="61"/>
      <c r="Q469" s="53"/>
      <c r="R469" s="62"/>
      <c r="S469" s="62"/>
      <c r="T469" s="62"/>
      <c r="U469" s="62"/>
      <c r="V469" s="62"/>
      <c r="W469" s="62"/>
      <c r="X469" s="61"/>
      <c r="Y469" s="53"/>
      <c r="Z469" s="62"/>
      <c r="AA469" s="62"/>
      <c r="AB469" s="62"/>
      <c r="AC469" s="62"/>
      <c r="AD469" s="62"/>
    </row>
    <row r="470" spans="15:30" x14ac:dyDescent="0.3">
      <c r="O470" s="61"/>
      <c r="P470" s="61"/>
      <c r="Q470" s="53"/>
      <c r="R470" s="62"/>
      <c r="S470" s="62"/>
      <c r="T470" s="62"/>
      <c r="U470" s="62"/>
      <c r="V470" s="62"/>
      <c r="W470" s="62"/>
      <c r="X470" s="61"/>
      <c r="Y470" s="53"/>
      <c r="Z470" s="62"/>
      <c r="AA470" s="62"/>
      <c r="AB470" s="62"/>
      <c r="AC470" s="62"/>
      <c r="AD470" s="62"/>
    </row>
    <row r="471" spans="15:30" x14ac:dyDescent="0.3">
      <c r="O471" s="61"/>
      <c r="P471" s="61"/>
      <c r="Q471" s="53"/>
      <c r="R471" s="62"/>
      <c r="S471" s="62"/>
      <c r="T471" s="62"/>
      <c r="U471" s="62"/>
      <c r="V471" s="62"/>
      <c r="W471" s="62"/>
      <c r="X471" s="61"/>
      <c r="Y471" s="53"/>
      <c r="Z471" s="62"/>
      <c r="AA471" s="62"/>
      <c r="AB471" s="62"/>
      <c r="AC471" s="62"/>
      <c r="AD471" s="62"/>
    </row>
    <row r="472" spans="15:30" x14ac:dyDescent="0.3">
      <c r="O472" s="61"/>
      <c r="P472" s="61"/>
      <c r="Q472" s="53"/>
      <c r="R472" s="62"/>
      <c r="S472" s="62"/>
      <c r="T472" s="62"/>
      <c r="U472" s="62"/>
      <c r="V472" s="62"/>
      <c r="W472" s="62"/>
      <c r="X472" s="61"/>
      <c r="Y472" s="53"/>
      <c r="Z472" s="62"/>
      <c r="AA472" s="62"/>
      <c r="AB472" s="62"/>
      <c r="AC472" s="62"/>
      <c r="AD472" s="62"/>
    </row>
    <row r="473" spans="15:30" x14ac:dyDescent="0.3">
      <c r="O473" s="61"/>
      <c r="P473" s="61"/>
      <c r="Q473" s="53"/>
      <c r="R473" s="62"/>
      <c r="S473" s="62"/>
      <c r="T473" s="62"/>
      <c r="U473" s="62"/>
      <c r="V473" s="62"/>
      <c r="W473" s="62"/>
      <c r="X473" s="61"/>
      <c r="Y473" s="53"/>
      <c r="Z473" s="62"/>
      <c r="AA473" s="62"/>
      <c r="AB473" s="62"/>
      <c r="AC473" s="62"/>
      <c r="AD473" s="62"/>
    </row>
    <row r="474" spans="15:30" x14ac:dyDescent="0.3">
      <c r="O474" s="61"/>
      <c r="P474" s="61"/>
      <c r="Q474" s="53"/>
      <c r="R474" s="62"/>
      <c r="S474" s="62"/>
      <c r="T474" s="62"/>
      <c r="U474" s="62"/>
      <c r="V474" s="62"/>
      <c r="W474" s="62"/>
      <c r="X474" s="61"/>
      <c r="Y474" s="53"/>
      <c r="Z474" s="62"/>
      <c r="AA474" s="62"/>
      <c r="AB474" s="62"/>
      <c r="AC474" s="62"/>
      <c r="AD474" s="62"/>
    </row>
    <row r="475" spans="15:30" x14ac:dyDescent="0.3">
      <c r="O475" s="61"/>
      <c r="P475" s="61"/>
      <c r="Q475" s="53"/>
      <c r="R475" s="62"/>
      <c r="S475" s="62"/>
      <c r="T475" s="62"/>
      <c r="U475" s="62"/>
      <c r="V475" s="62"/>
      <c r="W475" s="62"/>
      <c r="X475" s="61"/>
      <c r="Y475" s="53"/>
      <c r="Z475" s="62"/>
      <c r="AA475" s="62"/>
      <c r="AB475" s="62"/>
      <c r="AC475" s="62"/>
      <c r="AD475" s="62"/>
    </row>
    <row r="476" spans="15:30" x14ac:dyDescent="0.3">
      <c r="O476" s="61"/>
      <c r="P476" s="61"/>
      <c r="Q476" s="53"/>
      <c r="R476" s="62"/>
      <c r="S476" s="62"/>
      <c r="T476" s="62"/>
      <c r="U476" s="62"/>
      <c r="V476" s="62"/>
      <c r="W476" s="62"/>
      <c r="X476" s="61"/>
      <c r="Y476" s="53"/>
      <c r="Z476" s="62"/>
      <c r="AA476" s="62"/>
      <c r="AB476" s="62"/>
      <c r="AC476" s="62"/>
      <c r="AD476" s="62"/>
    </row>
    <row r="477" spans="15:30" x14ac:dyDescent="0.3">
      <c r="O477" s="61"/>
      <c r="P477" s="61"/>
      <c r="Q477" s="53"/>
      <c r="R477" s="62"/>
      <c r="S477" s="62"/>
      <c r="T477" s="62"/>
      <c r="U477" s="62"/>
      <c r="V477" s="62"/>
      <c r="W477" s="62"/>
      <c r="X477" s="61"/>
      <c r="Y477" s="53"/>
      <c r="Z477" s="62"/>
      <c r="AA477" s="62"/>
      <c r="AB477" s="62"/>
      <c r="AC477" s="62"/>
      <c r="AD477" s="62"/>
    </row>
    <row r="478" spans="15:30" x14ac:dyDescent="0.3">
      <c r="O478" s="61"/>
      <c r="P478" s="61"/>
      <c r="Q478" s="53"/>
      <c r="R478" s="62"/>
      <c r="S478" s="62"/>
      <c r="T478" s="62"/>
      <c r="U478" s="62"/>
      <c r="V478" s="62"/>
      <c r="W478" s="62"/>
      <c r="X478" s="61"/>
      <c r="Y478" s="53"/>
      <c r="Z478" s="62"/>
      <c r="AA478" s="62"/>
      <c r="AB478" s="62"/>
      <c r="AC478" s="62"/>
      <c r="AD478" s="62"/>
    </row>
    <row r="479" spans="15:30" x14ac:dyDescent="0.3">
      <c r="O479" s="61"/>
      <c r="P479" s="61"/>
      <c r="Q479" s="53"/>
      <c r="R479" s="62"/>
      <c r="S479" s="62"/>
      <c r="T479" s="62"/>
      <c r="U479" s="62"/>
      <c r="V479" s="62"/>
      <c r="W479" s="62"/>
      <c r="X479" s="61"/>
      <c r="Y479" s="53"/>
      <c r="Z479" s="62"/>
      <c r="AA479" s="62"/>
      <c r="AB479" s="62"/>
      <c r="AC479" s="62"/>
      <c r="AD479" s="62"/>
    </row>
    <row r="480" spans="15:30" x14ac:dyDescent="0.3">
      <c r="O480" s="61"/>
      <c r="P480" s="61"/>
      <c r="Q480" s="53"/>
      <c r="R480" s="62"/>
      <c r="S480" s="62"/>
      <c r="T480" s="62"/>
      <c r="U480" s="62"/>
      <c r="V480" s="62"/>
      <c r="W480" s="62"/>
      <c r="X480" s="61"/>
      <c r="Y480" s="53"/>
      <c r="Z480" s="62"/>
      <c r="AA480" s="62"/>
      <c r="AB480" s="62"/>
      <c r="AC480" s="62"/>
      <c r="AD480" s="62"/>
    </row>
    <row r="481" spans="15:30" x14ac:dyDescent="0.3">
      <c r="O481" s="61"/>
      <c r="P481" s="61"/>
      <c r="Q481" s="53"/>
      <c r="R481" s="62"/>
      <c r="S481" s="62"/>
      <c r="T481" s="62"/>
      <c r="U481" s="62"/>
      <c r="V481" s="62"/>
      <c r="W481" s="62"/>
      <c r="X481" s="61"/>
      <c r="Y481" s="53"/>
      <c r="Z481" s="62"/>
      <c r="AA481" s="62"/>
      <c r="AB481" s="62"/>
      <c r="AC481" s="62"/>
      <c r="AD481" s="62"/>
    </row>
    <row r="482" spans="15:30" x14ac:dyDescent="0.3">
      <c r="O482" s="61"/>
      <c r="P482" s="61"/>
      <c r="Q482" s="53"/>
      <c r="R482" s="62"/>
      <c r="S482" s="62"/>
      <c r="T482" s="62"/>
      <c r="U482" s="62"/>
      <c r="V482" s="62"/>
      <c r="W482" s="62"/>
      <c r="X482" s="61"/>
      <c r="Y482" s="53"/>
      <c r="Z482" s="62"/>
      <c r="AA482" s="62"/>
      <c r="AB482" s="62"/>
      <c r="AC482" s="62"/>
      <c r="AD482" s="62"/>
    </row>
    <row r="483" spans="15:30" x14ac:dyDescent="0.3">
      <c r="O483" s="61"/>
      <c r="P483" s="61"/>
      <c r="Q483" s="53"/>
      <c r="R483" s="62"/>
      <c r="S483" s="62"/>
      <c r="T483" s="62"/>
      <c r="U483" s="62"/>
      <c r="V483" s="62"/>
      <c r="W483" s="62"/>
      <c r="X483" s="61"/>
      <c r="Y483" s="53"/>
      <c r="Z483" s="62"/>
      <c r="AA483" s="62"/>
      <c r="AB483" s="62"/>
      <c r="AC483" s="62"/>
      <c r="AD483" s="62"/>
    </row>
    <row r="484" spans="15:30" x14ac:dyDescent="0.3">
      <c r="O484" s="61"/>
      <c r="P484" s="61"/>
      <c r="Q484" s="53"/>
      <c r="R484" s="62"/>
      <c r="S484" s="62"/>
      <c r="T484" s="62"/>
      <c r="U484" s="62"/>
      <c r="V484" s="62"/>
      <c r="W484" s="62"/>
      <c r="X484" s="61"/>
      <c r="Y484" s="53"/>
      <c r="Z484" s="62"/>
      <c r="AA484" s="62"/>
      <c r="AB484" s="62"/>
      <c r="AC484" s="62"/>
      <c r="AD484" s="62"/>
    </row>
    <row r="485" spans="15:30" x14ac:dyDescent="0.3">
      <c r="O485" s="61"/>
      <c r="P485" s="61"/>
      <c r="Q485" s="53"/>
      <c r="R485" s="62"/>
      <c r="S485" s="62"/>
      <c r="T485" s="62"/>
      <c r="U485" s="62"/>
      <c r="V485" s="62"/>
      <c r="W485" s="62"/>
      <c r="X485" s="61"/>
      <c r="Y485" s="53"/>
      <c r="Z485" s="62"/>
      <c r="AA485" s="62"/>
      <c r="AB485" s="62"/>
      <c r="AC485" s="62"/>
      <c r="AD485" s="62"/>
    </row>
    <row r="486" spans="15:30" x14ac:dyDescent="0.3">
      <c r="O486" s="61"/>
      <c r="P486" s="61"/>
      <c r="Q486" s="53"/>
      <c r="R486" s="62"/>
      <c r="S486" s="62"/>
      <c r="T486" s="62"/>
      <c r="U486" s="62"/>
      <c r="V486" s="62"/>
      <c r="W486" s="62"/>
      <c r="X486" s="61"/>
      <c r="Y486" s="53"/>
      <c r="Z486" s="62"/>
      <c r="AA486" s="62"/>
      <c r="AB486" s="62"/>
      <c r="AC486" s="62"/>
      <c r="AD486" s="62"/>
    </row>
    <row r="487" spans="15:30" x14ac:dyDescent="0.3">
      <c r="O487" s="61"/>
      <c r="P487" s="61"/>
      <c r="Q487" s="53"/>
      <c r="R487" s="62"/>
      <c r="S487" s="62"/>
      <c r="T487" s="62"/>
      <c r="U487" s="62"/>
      <c r="V487" s="62"/>
      <c r="W487" s="62"/>
      <c r="X487" s="61"/>
      <c r="Y487" s="53"/>
      <c r="Z487" s="62"/>
      <c r="AA487" s="62"/>
      <c r="AB487" s="62"/>
      <c r="AC487" s="62"/>
      <c r="AD487" s="62"/>
    </row>
    <row r="488" spans="15:30" x14ac:dyDescent="0.3">
      <c r="O488" s="61"/>
      <c r="P488" s="61"/>
      <c r="Q488" s="53"/>
      <c r="R488" s="62"/>
      <c r="S488" s="62"/>
      <c r="T488" s="62"/>
      <c r="U488" s="62"/>
      <c r="V488" s="62"/>
      <c r="W488" s="62"/>
      <c r="X488" s="61"/>
      <c r="Y488" s="53"/>
      <c r="Z488" s="62"/>
      <c r="AA488" s="62"/>
      <c r="AB488" s="62"/>
      <c r="AC488" s="62"/>
      <c r="AD488" s="62"/>
    </row>
    <row r="489" spans="15:30" x14ac:dyDescent="0.3">
      <c r="O489" s="61"/>
      <c r="P489" s="61"/>
      <c r="Q489" s="53"/>
      <c r="R489" s="62"/>
      <c r="S489" s="62"/>
      <c r="T489" s="62"/>
      <c r="U489" s="62"/>
      <c r="V489" s="62"/>
      <c r="W489" s="62"/>
      <c r="X489" s="61"/>
      <c r="Y489" s="53"/>
      <c r="Z489" s="62"/>
      <c r="AA489" s="62"/>
      <c r="AB489" s="62"/>
      <c r="AC489" s="62"/>
      <c r="AD489" s="62"/>
    </row>
    <row r="490" spans="15:30" x14ac:dyDescent="0.3">
      <c r="O490" s="61"/>
      <c r="P490" s="61"/>
      <c r="Q490" s="53"/>
      <c r="R490" s="62"/>
      <c r="S490" s="62"/>
      <c r="T490" s="62"/>
      <c r="U490" s="62"/>
      <c r="V490" s="62"/>
      <c r="W490" s="62"/>
      <c r="X490" s="61"/>
      <c r="Y490" s="53"/>
      <c r="Z490" s="62"/>
      <c r="AA490" s="62"/>
      <c r="AB490" s="62"/>
      <c r="AC490" s="62"/>
      <c r="AD490" s="62"/>
    </row>
    <row r="491" spans="15:30" x14ac:dyDescent="0.3">
      <c r="O491" s="61"/>
      <c r="P491" s="61"/>
      <c r="Q491" s="53"/>
      <c r="R491" s="62"/>
      <c r="S491" s="62"/>
      <c r="T491" s="62"/>
      <c r="U491" s="62"/>
      <c r="V491" s="62"/>
      <c r="W491" s="62"/>
      <c r="X491" s="61"/>
      <c r="Y491" s="53"/>
      <c r="Z491" s="62"/>
      <c r="AA491" s="62"/>
      <c r="AB491" s="62"/>
      <c r="AC491" s="62"/>
      <c r="AD491" s="62"/>
    </row>
    <row r="492" spans="15:30" x14ac:dyDescent="0.3">
      <c r="O492" s="61"/>
      <c r="P492" s="61"/>
      <c r="Q492" s="53"/>
      <c r="R492" s="62"/>
      <c r="S492" s="62"/>
      <c r="T492" s="62"/>
      <c r="U492" s="62"/>
      <c r="V492" s="62"/>
      <c r="W492" s="62"/>
      <c r="X492" s="61"/>
      <c r="Y492" s="53"/>
      <c r="Z492" s="62"/>
      <c r="AA492" s="62"/>
      <c r="AB492" s="62"/>
      <c r="AC492" s="62"/>
      <c r="AD492" s="62"/>
    </row>
    <row r="493" spans="15:30" x14ac:dyDescent="0.3">
      <c r="O493" s="61"/>
      <c r="P493" s="61"/>
      <c r="Q493" s="53"/>
      <c r="R493" s="62"/>
      <c r="S493" s="62"/>
      <c r="T493" s="62"/>
      <c r="U493" s="62"/>
      <c r="V493" s="62"/>
      <c r="W493" s="62"/>
      <c r="X493" s="61"/>
      <c r="Y493" s="53"/>
      <c r="Z493" s="62"/>
      <c r="AA493" s="62"/>
      <c r="AB493" s="62"/>
      <c r="AC493" s="62"/>
      <c r="AD493" s="62"/>
    </row>
    <row r="494" spans="15:30" x14ac:dyDescent="0.3">
      <c r="O494" s="61"/>
      <c r="P494" s="61"/>
      <c r="Q494" s="53"/>
      <c r="R494" s="62"/>
      <c r="S494" s="62"/>
      <c r="T494" s="62"/>
      <c r="U494" s="62"/>
      <c r="V494" s="62"/>
      <c r="W494" s="62"/>
      <c r="X494" s="61"/>
      <c r="Y494" s="53"/>
      <c r="Z494" s="62"/>
      <c r="AA494" s="62"/>
      <c r="AB494" s="62"/>
      <c r="AC494" s="62"/>
      <c r="AD494" s="62"/>
    </row>
    <row r="495" spans="15:30" x14ac:dyDescent="0.3">
      <c r="O495" s="61"/>
      <c r="P495" s="61"/>
      <c r="Q495" s="53"/>
      <c r="R495" s="62"/>
      <c r="S495" s="62"/>
      <c r="T495" s="62"/>
      <c r="U495" s="62"/>
      <c r="V495" s="62"/>
      <c r="W495" s="62"/>
      <c r="X495" s="61"/>
      <c r="Y495" s="53"/>
      <c r="Z495" s="62"/>
      <c r="AA495" s="62"/>
      <c r="AB495" s="62"/>
      <c r="AC495" s="62"/>
      <c r="AD495" s="62"/>
    </row>
    <row r="496" spans="15:30" x14ac:dyDescent="0.3">
      <c r="O496" s="61"/>
      <c r="P496" s="61"/>
      <c r="Q496" s="53"/>
      <c r="R496" s="62"/>
      <c r="S496" s="62"/>
      <c r="T496" s="62"/>
      <c r="U496" s="62"/>
      <c r="V496" s="62"/>
      <c r="W496" s="62"/>
      <c r="X496" s="61"/>
      <c r="Y496" s="53"/>
      <c r="Z496" s="62"/>
      <c r="AA496" s="62"/>
      <c r="AB496" s="62"/>
      <c r="AC496" s="62"/>
      <c r="AD496" s="62"/>
    </row>
    <row r="497" spans="15:30" x14ac:dyDescent="0.3">
      <c r="O497" s="61"/>
      <c r="P497" s="61"/>
      <c r="Q497" s="53"/>
      <c r="R497" s="62"/>
      <c r="S497" s="62"/>
      <c r="T497" s="62"/>
      <c r="U497" s="62"/>
      <c r="V497" s="62"/>
      <c r="W497" s="62"/>
      <c r="X497" s="61"/>
      <c r="Y497" s="53"/>
      <c r="Z497" s="62"/>
      <c r="AA497" s="62"/>
      <c r="AB497" s="62"/>
      <c r="AC497" s="62"/>
      <c r="AD497" s="62"/>
    </row>
    <row r="498" spans="15:30" x14ac:dyDescent="0.3">
      <c r="O498" s="61"/>
      <c r="P498" s="61"/>
      <c r="Q498" s="53"/>
      <c r="R498" s="62"/>
      <c r="S498" s="62"/>
      <c r="T498" s="62"/>
      <c r="U498" s="62"/>
      <c r="V498" s="62"/>
      <c r="W498" s="62"/>
      <c r="X498" s="61"/>
      <c r="Y498" s="53"/>
      <c r="Z498" s="62"/>
      <c r="AA498" s="62"/>
      <c r="AB498" s="62"/>
      <c r="AC498" s="62"/>
      <c r="AD498" s="62"/>
    </row>
    <row r="499" spans="15:30" x14ac:dyDescent="0.3">
      <c r="O499" s="61"/>
      <c r="P499" s="61"/>
      <c r="Q499" s="53"/>
      <c r="R499" s="62"/>
      <c r="S499" s="62"/>
      <c r="T499" s="62"/>
      <c r="U499" s="62"/>
      <c r="V499" s="62"/>
      <c r="W499" s="62"/>
      <c r="X499" s="61"/>
      <c r="Y499" s="53"/>
      <c r="Z499" s="62"/>
      <c r="AA499" s="62"/>
      <c r="AB499" s="62"/>
      <c r="AC499" s="62"/>
      <c r="AD499" s="62"/>
    </row>
    <row r="500" spans="15:30" x14ac:dyDescent="0.3">
      <c r="O500" s="61"/>
      <c r="P500" s="61"/>
      <c r="Q500" s="53"/>
      <c r="R500" s="62"/>
      <c r="S500" s="62"/>
      <c r="T500" s="62"/>
      <c r="U500" s="62"/>
      <c r="V500" s="62"/>
      <c r="W500" s="62"/>
      <c r="X500" s="61"/>
      <c r="Y500" s="53"/>
      <c r="Z500" s="62"/>
      <c r="AA500" s="62"/>
      <c r="AB500" s="62"/>
      <c r="AC500" s="62"/>
      <c r="AD500" s="62"/>
    </row>
    <row r="501" spans="15:30" x14ac:dyDescent="0.3">
      <c r="O501" s="61"/>
      <c r="P501" s="61"/>
      <c r="Q501" s="53"/>
      <c r="R501" s="62"/>
      <c r="S501" s="62"/>
      <c r="T501" s="62"/>
      <c r="U501" s="62"/>
      <c r="V501" s="62"/>
      <c r="W501" s="62"/>
      <c r="X501" s="61"/>
      <c r="Y501" s="53"/>
      <c r="Z501" s="62"/>
      <c r="AA501" s="62"/>
      <c r="AB501" s="62"/>
      <c r="AC501" s="62"/>
      <c r="AD501" s="62"/>
    </row>
    <row r="502" spans="15:30" x14ac:dyDescent="0.3">
      <c r="O502" s="61"/>
      <c r="P502" s="61"/>
      <c r="Q502" s="53"/>
      <c r="R502" s="62"/>
      <c r="S502" s="62"/>
      <c r="T502" s="62"/>
      <c r="U502" s="62"/>
      <c r="V502" s="62"/>
      <c r="W502" s="62"/>
      <c r="X502" s="61"/>
      <c r="Y502" s="53"/>
      <c r="Z502" s="62"/>
      <c r="AA502" s="62"/>
      <c r="AB502" s="62"/>
      <c r="AC502" s="62"/>
      <c r="AD502" s="62"/>
    </row>
    <row r="503" spans="15:30" x14ac:dyDescent="0.3">
      <c r="O503" s="61"/>
      <c r="P503" s="61"/>
      <c r="Q503" s="53"/>
      <c r="R503" s="62"/>
      <c r="S503" s="62"/>
      <c r="T503" s="62"/>
      <c r="U503" s="62"/>
      <c r="V503" s="62"/>
      <c r="W503" s="62"/>
      <c r="X503" s="61"/>
      <c r="Y503" s="53"/>
      <c r="Z503" s="62"/>
      <c r="AA503" s="62"/>
      <c r="AB503" s="62"/>
      <c r="AC503" s="62"/>
      <c r="AD503" s="62"/>
    </row>
    <row r="504" spans="15:30" x14ac:dyDescent="0.3">
      <c r="O504" s="61"/>
      <c r="P504" s="61"/>
      <c r="Q504" s="53"/>
      <c r="R504" s="62"/>
      <c r="S504" s="62"/>
      <c r="T504" s="62"/>
      <c r="U504" s="62"/>
      <c r="V504" s="62"/>
      <c r="W504" s="62"/>
      <c r="X504" s="61"/>
      <c r="Y504" s="53"/>
      <c r="Z504" s="62"/>
      <c r="AA504" s="62"/>
      <c r="AB504" s="62"/>
      <c r="AC504" s="62"/>
      <c r="AD504" s="62"/>
    </row>
    <row r="505" spans="15:30" x14ac:dyDescent="0.3">
      <c r="O505" s="61"/>
      <c r="P505" s="61"/>
      <c r="Q505" s="53"/>
      <c r="R505" s="62"/>
      <c r="S505" s="62"/>
      <c r="T505" s="62"/>
      <c r="U505" s="62"/>
      <c r="V505" s="62"/>
      <c r="W505" s="62"/>
      <c r="X505" s="61"/>
      <c r="Y505" s="53"/>
      <c r="Z505" s="62"/>
      <c r="AA505" s="62"/>
      <c r="AB505" s="62"/>
      <c r="AC505" s="62"/>
      <c r="AD505" s="62"/>
    </row>
    <row r="506" spans="15:30" x14ac:dyDescent="0.3">
      <c r="O506" s="61"/>
      <c r="P506" s="61"/>
      <c r="Q506" s="53"/>
      <c r="R506" s="62"/>
      <c r="S506" s="62"/>
      <c r="T506" s="62"/>
      <c r="U506" s="62"/>
      <c r="V506" s="62"/>
      <c r="W506" s="62"/>
      <c r="X506" s="61"/>
      <c r="Y506" s="53"/>
      <c r="Z506" s="62"/>
      <c r="AA506" s="62"/>
      <c r="AB506" s="62"/>
      <c r="AC506" s="62"/>
      <c r="AD506" s="62"/>
    </row>
    <row r="507" spans="15:30" x14ac:dyDescent="0.3">
      <c r="O507" s="61"/>
      <c r="P507" s="61"/>
      <c r="Q507" s="53"/>
      <c r="R507" s="62"/>
      <c r="S507" s="62"/>
      <c r="T507" s="62"/>
      <c r="U507" s="62"/>
      <c r="V507" s="62"/>
      <c r="W507" s="62"/>
      <c r="X507" s="61"/>
      <c r="Y507" s="53"/>
      <c r="Z507" s="62"/>
      <c r="AA507" s="62"/>
      <c r="AB507" s="62"/>
      <c r="AC507" s="62"/>
      <c r="AD507" s="62"/>
    </row>
    <row r="508" spans="15:30" x14ac:dyDescent="0.3">
      <c r="O508" s="61"/>
      <c r="P508" s="61"/>
      <c r="Q508" s="53"/>
      <c r="R508" s="62"/>
      <c r="S508" s="62"/>
      <c r="T508" s="62"/>
      <c r="U508" s="62"/>
      <c r="V508" s="62"/>
      <c r="W508" s="62"/>
      <c r="X508" s="61"/>
      <c r="Y508" s="53"/>
      <c r="Z508" s="62"/>
      <c r="AA508" s="62"/>
      <c r="AB508" s="62"/>
      <c r="AC508" s="62"/>
      <c r="AD508" s="62"/>
    </row>
    <row r="509" spans="15:30" x14ac:dyDescent="0.3">
      <c r="O509" s="61"/>
      <c r="P509" s="61"/>
      <c r="Q509" s="53"/>
      <c r="R509" s="62"/>
      <c r="S509" s="62"/>
      <c r="T509" s="62"/>
      <c r="U509" s="62"/>
      <c r="V509" s="62"/>
      <c r="W509" s="62"/>
      <c r="X509" s="61"/>
      <c r="Y509" s="53"/>
      <c r="Z509" s="62"/>
      <c r="AA509" s="62"/>
      <c r="AB509" s="62"/>
      <c r="AC509" s="62"/>
      <c r="AD509" s="62"/>
    </row>
    <row r="510" spans="15:30" x14ac:dyDescent="0.3">
      <c r="O510" s="61"/>
      <c r="P510" s="61"/>
      <c r="Q510" s="53"/>
      <c r="R510" s="62"/>
      <c r="S510" s="62"/>
      <c r="T510" s="62"/>
      <c r="U510" s="62"/>
      <c r="V510" s="62"/>
      <c r="W510" s="62"/>
      <c r="X510" s="61"/>
      <c r="Y510" s="53"/>
      <c r="Z510" s="62"/>
      <c r="AA510" s="62"/>
      <c r="AB510" s="62"/>
      <c r="AC510" s="62"/>
      <c r="AD510" s="62"/>
    </row>
    <row r="511" spans="15:30" x14ac:dyDescent="0.3">
      <c r="O511" s="61"/>
      <c r="P511" s="61"/>
      <c r="Q511" s="53"/>
      <c r="R511" s="62"/>
      <c r="S511" s="62"/>
      <c r="T511" s="62"/>
      <c r="U511" s="62"/>
      <c r="V511" s="62"/>
      <c r="W511" s="62"/>
      <c r="X511" s="61"/>
      <c r="Y511" s="53"/>
      <c r="Z511" s="62"/>
      <c r="AA511" s="62"/>
      <c r="AB511" s="62"/>
      <c r="AC511" s="62"/>
      <c r="AD511" s="62"/>
    </row>
    <row r="512" spans="15:30" x14ac:dyDescent="0.3">
      <c r="O512" s="61"/>
      <c r="P512" s="61"/>
      <c r="Q512" s="53"/>
      <c r="R512" s="62"/>
      <c r="S512" s="62"/>
      <c r="T512" s="62"/>
      <c r="U512" s="62"/>
      <c r="V512" s="62"/>
      <c r="W512" s="62"/>
      <c r="X512" s="61"/>
      <c r="Y512" s="53"/>
      <c r="Z512" s="62"/>
      <c r="AA512" s="62"/>
      <c r="AB512" s="62"/>
      <c r="AC512" s="62"/>
      <c r="AD512" s="62"/>
    </row>
    <row r="513" spans="15:30" x14ac:dyDescent="0.3">
      <c r="O513" s="61"/>
      <c r="P513" s="61"/>
      <c r="Q513" s="53"/>
      <c r="R513" s="62"/>
      <c r="S513" s="62"/>
      <c r="T513" s="62"/>
      <c r="U513" s="62"/>
      <c r="V513" s="62"/>
      <c r="W513" s="62"/>
      <c r="X513" s="61"/>
      <c r="Y513" s="53"/>
      <c r="Z513" s="62"/>
      <c r="AA513" s="62"/>
      <c r="AB513" s="62"/>
      <c r="AC513" s="62"/>
      <c r="AD513" s="62"/>
    </row>
    <row r="514" spans="15:30" x14ac:dyDescent="0.3">
      <c r="O514" s="61"/>
      <c r="P514" s="61"/>
      <c r="Q514" s="53"/>
      <c r="R514" s="62"/>
      <c r="S514" s="62"/>
      <c r="T514" s="62"/>
      <c r="U514" s="62"/>
      <c r="V514" s="62"/>
      <c r="W514" s="62"/>
      <c r="X514" s="61"/>
      <c r="Y514" s="53"/>
      <c r="Z514" s="62"/>
      <c r="AA514" s="62"/>
      <c r="AB514" s="62"/>
      <c r="AC514" s="62"/>
      <c r="AD514" s="62"/>
    </row>
    <row r="515" spans="15:30" x14ac:dyDescent="0.3">
      <c r="O515" s="61"/>
      <c r="P515" s="61"/>
      <c r="Q515" s="53"/>
      <c r="R515" s="62"/>
      <c r="S515" s="62"/>
      <c r="T515" s="62"/>
      <c r="U515" s="62"/>
      <c r="V515" s="62"/>
      <c r="W515" s="62"/>
      <c r="X515" s="61"/>
      <c r="Y515" s="53"/>
      <c r="Z515" s="62"/>
      <c r="AA515" s="62"/>
      <c r="AB515" s="62"/>
      <c r="AC515" s="62"/>
      <c r="AD515" s="62"/>
    </row>
    <row r="516" spans="15:30" x14ac:dyDescent="0.3">
      <c r="O516" s="61"/>
      <c r="P516" s="61"/>
      <c r="Q516" s="53"/>
      <c r="R516" s="62"/>
      <c r="S516" s="62"/>
      <c r="T516" s="62"/>
      <c r="U516" s="62"/>
      <c r="V516" s="62"/>
      <c r="W516" s="62"/>
      <c r="X516" s="61"/>
      <c r="Y516" s="53"/>
      <c r="Z516" s="62"/>
      <c r="AA516" s="62"/>
      <c r="AB516" s="62"/>
      <c r="AC516" s="62"/>
      <c r="AD516" s="62"/>
    </row>
    <row r="517" spans="15:30" x14ac:dyDescent="0.3">
      <c r="O517" s="61"/>
      <c r="P517" s="61"/>
      <c r="Q517" s="53"/>
      <c r="R517" s="62"/>
      <c r="S517" s="62"/>
      <c r="T517" s="62"/>
      <c r="U517" s="62"/>
      <c r="V517" s="62"/>
      <c r="W517" s="62"/>
      <c r="X517" s="61"/>
      <c r="Y517" s="53"/>
      <c r="Z517" s="62"/>
      <c r="AA517" s="62"/>
      <c r="AB517" s="62"/>
      <c r="AC517" s="62"/>
      <c r="AD517" s="62"/>
    </row>
    <row r="518" spans="15:30" x14ac:dyDescent="0.3">
      <c r="O518" s="61"/>
      <c r="P518" s="61"/>
      <c r="Q518" s="53"/>
      <c r="R518" s="62"/>
      <c r="S518" s="62"/>
      <c r="T518" s="62"/>
      <c r="U518" s="62"/>
      <c r="V518" s="62"/>
      <c r="W518" s="62"/>
      <c r="X518" s="61"/>
      <c r="Y518" s="53"/>
      <c r="Z518" s="62"/>
      <c r="AA518" s="62"/>
      <c r="AB518" s="62"/>
      <c r="AC518" s="62"/>
      <c r="AD518" s="62"/>
    </row>
    <row r="519" spans="15:30" x14ac:dyDescent="0.3">
      <c r="O519" s="61"/>
      <c r="P519" s="61"/>
      <c r="Q519" s="53"/>
      <c r="R519" s="62"/>
      <c r="S519" s="62"/>
      <c r="T519" s="62"/>
      <c r="U519" s="62"/>
      <c r="V519" s="62"/>
      <c r="W519" s="62"/>
      <c r="X519" s="61"/>
      <c r="Y519" s="53"/>
      <c r="Z519" s="62"/>
      <c r="AA519" s="62"/>
      <c r="AB519" s="62"/>
      <c r="AC519" s="62"/>
      <c r="AD519" s="62"/>
    </row>
    <row r="520" spans="15:30" x14ac:dyDescent="0.3">
      <c r="O520" s="61"/>
      <c r="P520" s="61"/>
      <c r="Q520" s="53"/>
      <c r="R520" s="62"/>
      <c r="S520" s="62"/>
      <c r="T520" s="62"/>
      <c r="U520" s="62"/>
      <c r="V520" s="62"/>
      <c r="W520" s="62"/>
      <c r="X520" s="61"/>
      <c r="Y520" s="53"/>
      <c r="Z520" s="62"/>
      <c r="AA520" s="62"/>
      <c r="AB520" s="62"/>
      <c r="AC520" s="62"/>
      <c r="AD520" s="62"/>
    </row>
    <row r="521" spans="15:30" x14ac:dyDescent="0.3">
      <c r="O521" s="61"/>
      <c r="P521" s="61"/>
      <c r="Q521" s="53"/>
      <c r="R521" s="62"/>
      <c r="S521" s="62"/>
      <c r="T521" s="62"/>
      <c r="U521" s="62"/>
      <c r="V521" s="62"/>
      <c r="W521" s="62"/>
      <c r="X521" s="61"/>
      <c r="Y521" s="53"/>
      <c r="Z521" s="62"/>
      <c r="AA521" s="62"/>
      <c r="AB521" s="62"/>
      <c r="AC521" s="62"/>
      <c r="AD521" s="62"/>
    </row>
    <row r="522" spans="15:30" x14ac:dyDescent="0.3">
      <c r="O522" s="61"/>
      <c r="P522" s="61"/>
      <c r="Q522" s="53"/>
      <c r="R522" s="62"/>
      <c r="S522" s="62"/>
      <c r="T522" s="62"/>
      <c r="U522" s="62"/>
      <c r="V522" s="62"/>
      <c r="W522" s="62"/>
      <c r="X522" s="61"/>
      <c r="Y522" s="53"/>
      <c r="Z522" s="62"/>
      <c r="AA522" s="62"/>
      <c r="AB522" s="62"/>
      <c r="AC522" s="62"/>
      <c r="AD522" s="62"/>
    </row>
    <row r="523" spans="15:30" x14ac:dyDescent="0.3">
      <c r="O523" s="61"/>
      <c r="P523" s="61"/>
      <c r="Q523" s="53"/>
      <c r="R523" s="62"/>
      <c r="S523" s="62"/>
      <c r="T523" s="62"/>
      <c r="U523" s="62"/>
      <c r="V523" s="62"/>
      <c r="W523" s="62"/>
      <c r="X523" s="61"/>
      <c r="Y523" s="53"/>
      <c r="Z523" s="62"/>
      <c r="AA523" s="62"/>
      <c r="AB523" s="62"/>
      <c r="AC523" s="62"/>
      <c r="AD523" s="62"/>
    </row>
    <row r="524" spans="15:30" x14ac:dyDescent="0.3">
      <c r="O524" s="61"/>
      <c r="P524" s="61"/>
      <c r="Q524" s="53"/>
      <c r="R524" s="62"/>
      <c r="S524" s="62"/>
      <c r="T524" s="62"/>
      <c r="U524" s="62"/>
      <c r="V524" s="62"/>
      <c r="W524" s="62"/>
      <c r="X524" s="61"/>
      <c r="Y524" s="53"/>
      <c r="Z524" s="62"/>
      <c r="AA524" s="62"/>
      <c r="AB524" s="62"/>
      <c r="AC524" s="62"/>
      <c r="AD524" s="62"/>
    </row>
    <row r="525" spans="15:30" x14ac:dyDescent="0.3">
      <c r="O525" s="61"/>
      <c r="P525" s="61"/>
      <c r="Q525" s="53"/>
      <c r="R525" s="62"/>
      <c r="S525" s="62"/>
      <c r="T525" s="62"/>
      <c r="U525" s="62"/>
      <c r="V525" s="62"/>
      <c r="W525" s="62"/>
      <c r="X525" s="61"/>
      <c r="Y525" s="53"/>
      <c r="Z525" s="62"/>
      <c r="AA525" s="62"/>
      <c r="AB525" s="62"/>
      <c r="AC525" s="62"/>
      <c r="AD525" s="62"/>
    </row>
    <row r="526" spans="15:30" x14ac:dyDescent="0.3">
      <c r="O526" s="61"/>
      <c r="P526" s="61"/>
      <c r="Q526" s="53"/>
      <c r="R526" s="62"/>
      <c r="S526" s="62"/>
      <c r="T526" s="62"/>
      <c r="U526" s="62"/>
      <c r="V526" s="62"/>
      <c r="W526" s="62"/>
      <c r="X526" s="61"/>
      <c r="Y526" s="53"/>
      <c r="Z526" s="62"/>
      <c r="AA526" s="62"/>
      <c r="AB526" s="62"/>
      <c r="AC526" s="62"/>
      <c r="AD526" s="62"/>
    </row>
    <row r="527" spans="15:30" x14ac:dyDescent="0.3">
      <c r="O527" s="61"/>
      <c r="P527" s="61"/>
      <c r="Q527" s="53"/>
      <c r="R527" s="62"/>
      <c r="S527" s="62"/>
      <c r="T527" s="62"/>
      <c r="U527" s="62"/>
      <c r="V527" s="62"/>
      <c r="W527" s="62"/>
      <c r="X527" s="61"/>
      <c r="Y527" s="53"/>
      <c r="Z527" s="62"/>
      <c r="AA527" s="62"/>
      <c r="AB527" s="62"/>
      <c r="AC527" s="62"/>
      <c r="AD527" s="62"/>
    </row>
    <row r="528" spans="15:30" x14ac:dyDescent="0.3">
      <c r="O528" s="61"/>
      <c r="P528" s="61"/>
      <c r="Q528" s="53"/>
      <c r="R528" s="62"/>
      <c r="S528" s="62"/>
      <c r="T528" s="62"/>
      <c r="U528" s="62"/>
      <c r="V528" s="62"/>
      <c r="W528" s="62"/>
      <c r="X528" s="61"/>
      <c r="Y528" s="53"/>
      <c r="Z528" s="62"/>
      <c r="AA528" s="62"/>
      <c r="AB528" s="62"/>
      <c r="AC528" s="62"/>
      <c r="AD528" s="62"/>
    </row>
    <row r="529" spans="15:30" x14ac:dyDescent="0.3">
      <c r="O529" s="61"/>
      <c r="P529" s="61"/>
      <c r="Q529" s="53"/>
      <c r="R529" s="62"/>
      <c r="S529" s="62"/>
      <c r="T529" s="62"/>
      <c r="U529" s="62"/>
      <c r="V529" s="62"/>
      <c r="W529" s="62"/>
      <c r="X529" s="61"/>
      <c r="Y529" s="53"/>
      <c r="Z529" s="62"/>
      <c r="AA529" s="62"/>
      <c r="AB529" s="62"/>
      <c r="AC529" s="62"/>
      <c r="AD529" s="62"/>
    </row>
    <row r="530" spans="15:30" x14ac:dyDescent="0.3">
      <c r="O530" s="61"/>
      <c r="P530" s="61"/>
      <c r="Q530" s="53"/>
      <c r="R530" s="62"/>
      <c r="S530" s="62"/>
      <c r="T530" s="62"/>
      <c r="U530" s="62"/>
      <c r="V530" s="62"/>
      <c r="W530" s="62"/>
      <c r="X530" s="61"/>
      <c r="Y530" s="53"/>
      <c r="Z530" s="62"/>
      <c r="AA530" s="62"/>
      <c r="AB530" s="62"/>
      <c r="AC530" s="62"/>
      <c r="AD530" s="62"/>
    </row>
    <row r="531" spans="15:30" x14ac:dyDescent="0.3">
      <c r="O531" s="61"/>
      <c r="P531" s="61"/>
      <c r="Q531" s="53"/>
      <c r="R531" s="62"/>
      <c r="S531" s="62"/>
      <c r="T531" s="62"/>
      <c r="U531" s="62"/>
      <c r="V531" s="62"/>
      <c r="W531" s="62"/>
      <c r="X531" s="61"/>
      <c r="Y531" s="53"/>
      <c r="Z531" s="62"/>
      <c r="AA531" s="62"/>
      <c r="AB531" s="62"/>
      <c r="AC531" s="62"/>
      <c r="AD531" s="62"/>
    </row>
    <row r="532" spans="15:30" x14ac:dyDescent="0.3">
      <c r="O532" s="61"/>
      <c r="P532" s="61"/>
      <c r="Q532" s="53"/>
      <c r="R532" s="62"/>
      <c r="S532" s="62"/>
      <c r="T532" s="62"/>
      <c r="U532" s="62"/>
      <c r="V532" s="62"/>
      <c r="W532" s="62"/>
      <c r="X532" s="61"/>
      <c r="Y532" s="53"/>
      <c r="Z532" s="62"/>
      <c r="AA532" s="62"/>
      <c r="AB532" s="62"/>
      <c r="AC532" s="62"/>
      <c r="AD532" s="62"/>
    </row>
    <row r="533" spans="15:30" x14ac:dyDescent="0.3">
      <c r="O533" s="61"/>
      <c r="P533" s="61"/>
      <c r="Q533" s="53"/>
      <c r="R533" s="62"/>
      <c r="S533" s="62"/>
      <c r="T533" s="62"/>
      <c r="U533" s="62"/>
      <c r="V533" s="62"/>
      <c r="W533" s="62"/>
      <c r="X533" s="61"/>
      <c r="Y533" s="53"/>
      <c r="Z533" s="62"/>
      <c r="AA533" s="62"/>
      <c r="AB533" s="62"/>
      <c r="AC533" s="62"/>
      <c r="AD533" s="62"/>
    </row>
    <row r="534" spans="15:30" x14ac:dyDescent="0.3">
      <c r="O534" s="61"/>
      <c r="P534" s="61"/>
      <c r="Q534" s="53"/>
      <c r="R534" s="62"/>
      <c r="S534" s="62"/>
      <c r="T534" s="62"/>
      <c r="U534" s="62"/>
      <c r="V534" s="62"/>
      <c r="W534" s="62"/>
      <c r="X534" s="61"/>
      <c r="Y534" s="53"/>
      <c r="Z534" s="62"/>
      <c r="AA534" s="62"/>
      <c r="AB534" s="62"/>
      <c r="AC534" s="62"/>
      <c r="AD534" s="62"/>
    </row>
    <row r="535" spans="15:30" x14ac:dyDescent="0.3">
      <c r="O535" s="61"/>
      <c r="P535" s="61"/>
      <c r="Q535" s="53"/>
      <c r="R535" s="62"/>
      <c r="S535" s="62"/>
      <c r="T535" s="62"/>
      <c r="U535" s="62"/>
      <c r="V535" s="62"/>
      <c r="W535" s="62"/>
      <c r="X535" s="61"/>
      <c r="Y535" s="53"/>
      <c r="Z535" s="62"/>
      <c r="AA535" s="62"/>
      <c r="AB535" s="62"/>
      <c r="AC535" s="62"/>
      <c r="AD535" s="62"/>
    </row>
    <row r="536" spans="15:30" x14ac:dyDescent="0.3">
      <c r="O536" s="61"/>
      <c r="P536" s="61"/>
      <c r="Q536" s="53"/>
      <c r="R536" s="62"/>
      <c r="S536" s="62"/>
      <c r="T536" s="62"/>
      <c r="U536" s="62"/>
      <c r="V536" s="62"/>
      <c r="W536" s="62"/>
      <c r="X536" s="61"/>
      <c r="Y536" s="53"/>
      <c r="Z536" s="62"/>
      <c r="AA536" s="62"/>
      <c r="AB536" s="62"/>
      <c r="AC536" s="62"/>
      <c r="AD536" s="62"/>
    </row>
    <row r="537" spans="15:30" x14ac:dyDescent="0.3">
      <c r="O537" s="61"/>
      <c r="P537" s="61"/>
      <c r="Q537" s="53"/>
      <c r="R537" s="62"/>
      <c r="S537" s="62"/>
      <c r="T537" s="62"/>
      <c r="U537" s="62"/>
      <c r="V537" s="62"/>
      <c r="W537" s="62"/>
      <c r="X537" s="61"/>
      <c r="Y537" s="53"/>
      <c r="Z537" s="62"/>
      <c r="AA537" s="62"/>
      <c r="AB537" s="62"/>
      <c r="AC537" s="62"/>
      <c r="AD537" s="62"/>
    </row>
    <row r="538" spans="15:30" x14ac:dyDescent="0.3">
      <c r="O538" s="61"/>
      <c r="P538" s="61"/>
      <c r="Q538" s="53"/>
      <c r="R538" s="62"/>
      <c r="S538" s="62"/>
      <c r="T538" s="62"/>
      <c r="U538" s="62"/>
      <c r="V538" s="62"/>
      <c r="W538" s="62"/>
      <c r="X538" s="61"/>
      <c r="Y538" s="53"/>
      <c r="Z538" s="62"/>
      <c r="AA538" s="62"/>
      <c r="AB538" s="62"/>
      <c r="AC538" s="62"/>
      <c r="AD538" s="62"/>
    </row>
    <row r="539" spans="15:30" x14ac:dyDescent="0.3">
      <c r="O539" s="61"/>
      <c r="P539" s="61"/>
      <c r="Q539" s="53"/>
      <c r="R539" s="62"/>
      <c r="S539" s="62"/>
      <c r="T539" s="62"/>
      <c r="U539" s="62"/>
      <c r="V539" s="62"/>
      <c r="W539" s="62"/>
      <c r="X539" s="61"/>
      <c r="Y539" s="53"/>
      <c r="Z539" s="62"/>
      <c r="AA539" s="62"/>
      <c r="AB539" s="62"/>
      <c r="AC539" s="62"/>
      <c r="AD539" s="62"/>
    </row>
    <row r="540" spans="15:30" x14ac:dyDescent="0.3">
      <c r="O540" s="61"/>
      <c r="P540" s="61"/>
      <c r="Q540" s="53"/>
      <c r="R540" s="62"/>
      <c r="S540" s="62"/>
      <c r="T540" s="62"/>
      <c r="U540" s="62"/>
      <c r="V540" s="62"/>
      <c r="W540" s="62"/>
      <c r="X540" s="61"/>
      <c r="Y540" s="53"/>
      <c r="Z540" s="62"/>
      <c r="AA540" s="62"/>
      <c r="AB540" s="62"/>
      <c r="AC540" s="62"/>
      <c r="AD540" s="62"/>
    </row>
    <row r="541" spans="15:30" x14ac:dyDescent="0.3">
      <c r="O541" s="61"/>
      <c r="P541" s="61"/>
      <c r="Q541" s="53"/>
      <c r="R541" s="62"/>
      <c r="S541" s="62"/>
      <c r="T541" s="62"/>
      <c r="U541" s="62"/>
      <c r="V541" s="62"/>
      <c r="W541" s="62"/>
      <c r="X541" s="61"/>
      <c r="Y541" s="53"/>
      <c r="Z541" s="62"/>
      <c r="AA541" s="62"/>
      <c r="AB541" s="62"/>
      <c r="AC541" s="62"/>
      <c r="AD541" s="62"/>
    </row>
    <row r="542" spans="15:30" x14ac:dyDescent="0.3">
      <c r="O542" s="61"/>
      <c r="P542" s="61"/>
      <c r="Q542" s="53"/>
      <c r="R542" s="62"/>
      <c r="S542" s="62"/>
      <c r="T542" s="62"/>
      <c r="U542" s="62"/>
      <c r="V542" s="62"/>
      <c r="W542" s="62"/>
      <c r="X542" s="61"/>
      <c r="Y542" s="53"/>
      <c r="Z542" s="62"/>
      <c r="AA542" s="62"/>
      <c r="AB542" s="62"/>
      <c r="AC542" s="62"/>
      <c r="AD542" s="62"/>
    </row>
    <row r="543" spans="15:30" x14ac:dyDescent="0.3">
      <c r="O543" s="61"/>
      <c r="P543" s="61"/>
      <c r="Q543" s="53"/>
      <c r="R543" s="62"/>
      <c r="S543" s="62"/>
      <c r="T543" s="62"/>
      <c r="U543" s="62"/>
      <c r="V543" s="62"/>
      <c r="W543" s="62"/>
      <c r="X543" s="61"/>
      <c r="Y543" s="53"/>
      <c r="Z543" s="62"/>
      <c r="AA543" s="62"/>
      <c r="AB543" s="62"/>
      <c r="AC543" s="62"/>
      <c r="AD543" s="62"/>
    </row>
    <row r="544" spans="15:30" x14ac:dyDescent="0.3">
      <c r="O544" s="61"/>
      <c r="P544" s="61"/>
      <c r="Q544" s="53"/>
      <c r="R544" s="62"/>
      <c r="S544" s="62"/>
      <c r="T544" s="62"/>
      <c r="U544" s="62"/>
      <c r="V544" s="62"/>
      <c r="W544" s="62"/>
      <c r="X544" s="61"/>
      <c r="Y544" s="53"/>
      <c r="Z544" s="62"/>
      <c r="AA544" s="62"/>
      <c r="AB544" s="62"/>
      <c r="AC544" s="62"/>
      <c r="AD544" s="62"/>
    </row>
    <row r="545" spans="15:30" x14ac:dyDescent="0.3">
      <c r="O545" s="61"/>
      <c r="P545" s="61"/>
      <c r="Q545" s="53"/>
      <c r="R545" s="62"/>
      <c r="S545" s="62"/>
      <c r="T545" s="62"/>
      <c r="U545" s="62"/>
      <c r="V545" s="62"/>
      <c r="W545" s="62"/>
      <c r="X545" s="61"/>
      <c r="Y545" s="53"/>
      <c r="Z545" s="62"/>
      <c r="AA545" s="62"/>
      <c r="AB545" s="62"/>
      <c r="AC545" s="62"/>
      <c r="AD545" s="62"/>
    </row>
    <row r="546" spans="15:30" x14ac:dyDescent="0.3">
      <c r="O546" s="61"/>
      <c r="P546" s="61"/>
      <c r="Q546" s="53"/>
      <c r="R546" s="62"/>
      <c r="S546" s="62"/>
      <c r="T546" s="62"/>
      <c r="U546" s="62"/>
      <c r="V546" s="62"/>
      <c r="W546" s="62"/>
      <c r="X546" s="61"/>
      <c r="Y546" s="53"/>
      <c r="Z546" s="62"/>
      <c r="AA546" s="62"/>
      <c r="AB546" s="62"/>
      <c r="AC546" s="62"/>
      <c r="AD546" s="62"/>
    </row>
    <row r="547" spans="15:30" x14ac:dyDescent="0.3">
      <c r="O547" s="61"/>
      <c r="P547" s="61"/>
      <c r="Q547" s="53"/>
      <c r="R547" s="62"/>
      <c r="S547" s="62"/>
      <c r="T547" s="62"/>
      <c r="U547" s="62"/>
      <c r="V547" s="62"/>
      <c r="W547" s="62"/>
      <c r="X547" s="61"/>
      <c r="Y547" s="53"/>
      <c r="Z547" s="62"/>
      <c r="AA547" s="62"/>
      <c r="AB547" s="62"/>
      <c r="AC547" s="62"/>
      <c r="AD547" s="62"/>
    </row>
    <row r="548" spans="15:30" x14ac:dyDescent="0.3">
      <c r="O548" s="61"/>
      <c r="P548" s="61"/>
      <c r="Q548" s="53"/>
      <c r="R548" s="62"/>
      <c r="S548" s="62"/>
      <c r="T548" s="62"/>
      <c r="U548" s="62"/>
      <c r="V548" s="62"/>
      <c r="W548" s="62"/>
      <c r="X548" s="61"/>
      <c r="Y548" s="53"/>
      <c r="Z548" s="62"/>
      <c r="AA548" s="62"/>
      <c r="AB548" s="62"/>
      <c r="AC548" s="62"/>
      <c r="AD548" s="62"/>
    </row>
    <row r="549" spans="15:30" x14ac:dyDescent="0.3">
      <c r="O549" s="61"/>
      <c r="P549" s="61"/>
      <c r="Q549" s="53"/>
      <c r="R549" s="62"/>
      <c r="S549" s="62"/>
      <c r="T549" s="62"/>
      <c r="U549" s="62"/>
      <c r="V549" s="62"/>
      <c r="W549" s="62"/>
      <c r="X549" s="61"/>
      <c r="Y549" s="53"/>
      <c r="Z549" s="62"/>
      <c r="AA549" s="62"/>
      <c r="AB549" s="62"/>
      <c r="AC549" s="62"/>
      <c r="AD549" s="62"/>
    </row>
    <row r="550" spans="15:30" x14ac:dyDescent="0.3">
      <c r="O550" s="61"/>
      <c r="P550" s="61"/>
      <c r="Q550" s="53"/>
      <c r="R550" s="62"/>
      <c r="S550" s="62"/>
      <c r="T550" s="62"/>
      <c r="U550" s="62"/>
      <c r="V550" s="62"/>
      <c r="W550" s="62"/>
      <c r="X550" s="61"/>
      <c r="Y550" s="53"/>
      <c r="Z550" s="62"/>
      <c r="AA550" s="62"/>
      <c r="AB550" s="62"/>
      <c r="AC550" s="62"/>
      <c r="AD550" s="62"/>
    </row>
    <row r="551" spans="15:30" x14ac:dyDescent="0.3">
      <c r="O551" s="61"/>
      <c r="P551" s="61"/>
      <c r="Q551" s="53"/>
      <c r="R551" s="62"/>
      <c r="S551" s="62"/>
      <c r="T551" s="62"/>
      <c r="U551" s="62"/>
      <c r="V551" s="62"/>
      <c r="W551" s="62"/>
      <c r="X551" s="61"/>
      <c r="Y551" s="53"/>
      <c r="Z551" s="62"/>
      <c r="AA551" s="62"/>
      <c r="AB551" s="62"/>
      <c r="AC551" s="62"/>
      <c r="AD551" s="62"/>
    </row>
    <row r="552" spans="15:30" x14ac:dyDescent="0.3">
      <c r="O552" s="61"/>
      <c r="P552" s="61"/>
      <c r="Q552" s="53"/>
      <c r="R552" s="62"/>
      <c r="S552" s="62"/>
      <c r="T552" s="62"/>
      <c r="U552" s="62"/>
      <c r="V552" s="62"/>
      <c r="W552" s="62"/>
      <c r="X552" s="61"/>
      <c r="Y552" s="53"/>
      <c r="Z552" s="62"/>
      <c r="AA552" s="62"/>
      <c r="AB552" s="62"/>
      <c r="AC552" s="62"/>
      <c r="AD552" s="62"/>
    </row>
    <row r="553" spans="15:30" x14ac:dyDescent="0.3">
      <c r="O553" s="61"/>
      <c r="P553" s="61"/>
      <c r="Q553" s="53"/>
      <c r="R553" s="62"/>
      <c r="S553" s="62"/>
      <c r="T553" s="62"/>
      <c r="U553" s="62"/>
      <c r="V553" s="62"/>
      <c r="W553" s="62"/>
      <c r="X553" s="61"/>
      <c r="Y553" s="53"/>
      <c r="Z553" s="62"/>
      <c r="AA553" s="62"/>
      <c r="AB553" s="62"/>
      <c r="AC553" s="62"/>
      <c r="AD553" s="62"/>
    </row>
    <row r="554" spans="15:30" x14ac:dyDescent="0.3">
      <c r="O554" s="61"/>
      <c r="P554" s="61"/>
      <c r="Q554" s="53"/>
      <c r="R554" s="62"/>
      <c r="S554" s="62"/>
      <c r="T554" s="62"/>
      <c r="U554" s="62"/>
      <c r="V554" s="62"/>
      <c r="W554" s="62"/>
      <c r="X554" s="61"/>
      <c r="Y554" s="53"/>
      <c r="Z554" s="62"/>
      <c r="AA554" s="62"/>
      <c r="AB554" s="62"/>
      <c r="AC554" s="62"/>
      <c r="AD554" s="62"/>
    </row>
    <row r="555" spans="15:30" x14ac:dyDescent="0.3">
      <c r="O555" s="61"/>
      <c r="P555" s="61"/>
      <c r="Q555" s="53"/>
      <c r="R555" s="62"/>
      <c r="S555" s="62"/>
      <c r="T555" s="62"/>
      <c r="U555" s="62"/>
      <c r="V555" s="62"/>
      <c r="W555" s="62"/>
      <c r="X555" s="61"/>
      <c r="Y555" s="53"/>
      <c r="Z555" s="62"/>
      <c r="AA555" s="62"/>
      <c r="AB555" s="62"/>
      <c r="AC555" s="62"/>
      <c r="AD555" s="62"/>
    </row>
    <row r="556" spans="15:30" x14ac:dyDescent="0.3">
      <c r="O556" s="61"/>
      <c r="P556" s="61"/>
      <c r="Q556" s="53"/>
      <c r="R556" s="62"/>
      <c r="S556" s="62"/>
      <c r="T556" s="62"/>
      <c r="U556" s="62"/>
      <c r="V556" s="62"/>
      <c r="W556" s="62"/>
      <c r="X556" s="61"/>
      <c r="Y556" s="53"/>
      <c r="Z556" s="62"/>
      <c r="AA556" s="62"/>
      <c r="AB556" s="62"/>
      <c r="AC556" s="62"/>
      <c r="AD556" s="62"/>
    </row>
    <row r="557" spans="15:30" x14ac:dyDescent="0.3">
      <c r="O557" s="61"/>
      <c r="P557" s="61"/>
      <c r="Q557" s="53"/>
      <c r="R557" s="62"/>
      <c r="S557" s="62"/>
      <c r="T557" s="62"/>
      <c r="U557" s="62"/>
      <c r="V557" s="62"/>
      <c r="W557" s="62"/>
      <c r="X557" s="61"/>
      <c r="Y557" s="53"/>
      <c r="Z557" s="62"/>
      <c r="AA557" s="62"/>
      <c r="AB557" s="62"/>
      <c r="AC557" s="62"/>
      <c r="AD557" s="62"/>
    </row>
    <row r="558" spans="15:30" x14ac:dyDescent="0.3">
      <c r="O558" s="61"/>
      <c r="P558" s="61"/>
      <c r="Q558" s="53"/>
      <c r="R558" s="62"/>
      <c r="S558" s="62"/>
      <c r="T558" s="62"/>
      <c r="U558" s="62"/>
      <c r="V558" s="62"/>
      <c r="W558" s="62"/>
      <c r="X558" s="61"/>
      <c r="Y558" s="53"/>
      <c r="Z558" s="62"/>
      <c r="AA558" s="62"/>
      <c r="AB558" s="62"/>
      <c r="AC558" s="62"/>
      <c r="AD558" s="62"/>
    </row>
    <row r="559" spans="15:30" x14ac:dyDescent="0.3">
      <c r="O559" s="61"/>
      <c r="P559" s="61"/>
      <c r="Q559" s="53"/>
      <c r="R559" s="62"/>
      <c r="S559" s="62"/>
      <c r="T559" s="62"/>
      <c r="U559" s="62"/>
      <c r="V559" s="62"/>
      <c r="W559" s="62"/>
      <c r="X559" s="61"/>
      <c r="Y559" s="53"/>
      <c r="Z559" s="62"/>
      <c r="AA559" s="62"/>
      <c r="AB559" s="62"/>
      <c r="AC559" s="62"/>
      <c r="AD559" s="62"/>
    </row>
    <row r="560" spans="15:30" x14ac:dyDescent="0.3">
      <c r="O560" s="61"/>
      <c r="P560" s="61"/>
      <c r="Q560" s="53"/>
      <c r="R560" s="62"/>
      <c r="S560" s="62"/>
      <c r="T560" s="62"/>
      <c r="U560" s="62"/>
      <c r="V560" s="62"/>
      <c r="W560" s="62"/>
      <c r="X560" s="61"/>
      <c r="Y560" s="53"/>
      <c r="Z560" s="62"/>
      <c r="AA560" s="62"/>
      <c r="AB560" s="62"/>
      <c r="AC560" s="62"/>
      <c r="AD560" s="62"/>
    </row>
    <row r="561" spans="15:30" x14ac:dyDescent="0.3">
      <c r="O561" s="61"/>
      <c r="P561" s="61"/>
      <c r="Q561" s="53"/>
      <c r="R561" s="62"/>
      <c r="S561" s="62"/>
      <c r="T561" s="62"/>
      <c r="U561" s="62"/>
      <c r="V561" s="62"/>
      <c r="W561" s="62"/>
      <c r="X561" s="61"/>
      <c r="Y561" s="53"/>
      <c r="Z561" s="62"/>
      <c r="AA561" s="62"/>
      <c r="AB561" s="62"/>
      <c r="AC561" s="62"/>
      <c r="AD561" s="62"/>
    </row>
    <row r="562" spans="15:30" x14ac:dyDescent="0.3">
      <c r="O562" s="61"/>
      <c r="P562" s="61"/>
      <c r="Q562" s="53"/>
      <c r="R562" s="62"/>
      <c r="S562" s="62"/>
      <c r="T562" s="62"/>
      <c r="U562" s="62"/>
      <c r="V562" s="62"/>
      <c r="W562" s="62"/>
      <c r="X562" s="61"/>
      <c r="Y562" s="53"/>
      <c r="Z562" s="62"/>
      <c r="AA562" s="62"/>
      <c r="AB562" s="62"/>
      <c r="AC562" s="62"/>
      <c r="AD562" s="62"/>
    </row>
    <row r="563" spans="15:30" x14ac:dyDescent="0.3">
      <c r="O563" s="61"/>
      <c r="P563" s="61"/>
      <c r="Q563" s="53"/>
      <c r="R563" s="62"/>
      <c r="S563" s="62"/>
      <c r="T563" s="62"/>
      <c r="U563" s="62"/>
      <c r="V563" s="62"/>
      <c r="W563" s="62"/>
      <c r="X563" s="61"/>
      <c r="Y563" s="53"/>
      <c r="Z563" s="62"/>
      <c r="AA563" s="62"/>
      <c r="AB563" s="62"/>
      <c r="AC563" s="62"/>
      <c r="AD563" s="62"/>
    </row>
    <row r="663" spans="15:30" x14ac:dyDescent="0.3">
      <c r="O663" s="61"/>
      <c r="P663" s="61"/>
      <c r="Q663" s="53"/>
      <c r="R663" s="62"/>
      <c r="S663" s="62"/>
      <c r="T663" s="62"/>
      <c r="U663" s="62"/>
      <c r="V663" s="62"/>
      <c r="W663" s="62"/>
      <c r="X663" s="61"/>
      <c r="Y663" s="53"/>
      <c r="Z663" s="62"/>
      <c r="AA663" s="62"/>
      <c r="AB663" s="62"/>
      <c r="AC663" s="62"/>
      <c r="AD663" s="62"/>
    </row>
    <row r="664" spans="15:30" x14ac:dyDescent="0.3">
      <c r="O664" s="61"/>
      <c r="P664" s="61"/>
      <c r="Q664" s="53"/>
      <c r="R664" s="62"/>
      <c r="S664" s="62"/>
      <c r="T664" s="62"/>
      <c r="U664" s="62"/>
      <c r="V664" s="62"/>
      <c r="W664" s="62"/>
      <c r="X664" s="61"/>
      <c r="Y664" s="53"/>
      <c r="Z664" s="62"/>
      <c r="AA664" s="62"/>
      <c r="AB664" s="62"/>
      <c r="AC664" s="62"/>
      <c r="AD664" s="62"/>
    </row>
    <row r="665" spans="15:30" x14ac:dyDescent="0.3">
      <c r="O665" s="61"/>
      <c r="P665" s="61"/>
      <c r="Q665" s="53"/>
      <c r="R665" s="62"/>
      <c r="S665" s="62"/>
      <c r="T665" s="62"/>
      <c r="U665" s="62"/>
      <c r="V665" s="62"/>
      <c r="W665" s="62"/>
      <c r="X665" s="61"/>
      <c r="Y665" s="53"/>
      <c r="Z665" s="62"/>
      <c r="AA665" s="62"/>
      <c r="AB665" s="62"/>
      <c r="AC665" s="62"/>
      <c r="AD665" s="62"/>
    </row>
    <row r="666" spans="15:30" x14ac:dyDescent="0.3">
      <c r="O666" s="61"/>
      <c r="P666" s="61"/>
      <c r="Q666" s="53"/>
      <c r="R666" s="62"/>
      <c r="S666" s="62"/>
      <c r="T666" s="62"/>
      <c r="U666" s="62"/>
      <c r="V666" s="62"/>
      <c r="W666" s="62"/>
      <c r="X666" s="61"/>
      <c r="Y666" s="53"/>
      <c r="Z666" s="62"/>
      <c r="AA666" s="62"/>
      <c r="AB666" s="62"/>
      <c r="AC666" s="62"/>
      <c r="AD666" s="62"/>
    </row>
    <row r="667" spans="15:30" x14ac:dyDescent="0.3">
      <c r="O667" s="61"/>
      <c r="P667" s="61"/>
      <c r="Q667" s="53"/>
      <c r="R667" s="62"/>
      <c r="S667" s="62"/>
      <c r="T667" s="62"/>
      <c r="U667" s="62"/>
      <c r="V667" s="62"/>
      <c r="W667" s="62"/>
      <c r="X667" s="61"/>
      <c r="Y667" s="53"/>
      <c r="Z667" s="62"/>
      <c r="AA667" s="62"/>
      <c r="AB667" s="62"/>
      <c r="AC667" s="62"/>
      <c r="AD667" s="62"/>
    </row>
    <row r="668" spans="15:30" x14ac:dyDescent="0.3">
      <c r="O668" s="61"/>
      <c r="P668" s="61"/>
      <c r="Q668" s="53"/>
      <c r="R668" s="62"/>
      <c r="S668" s="62"/>
      <c r="T668" s="62"/>
      <c r="U668" s="62"/>
      <c r="V668" s="62"/>
      <c r="W668" s="62"/>
      <c r="X668" s="61"/>
      <c r="Y668" s="53"/>
      <c r="Z668" s="62"/>
      <c r="AA668" s="62"/>
      <c r="AB668" s="62"/>
      <c r="AC668" s="62"/>
      <c r="AD668" s="62"/>
    </row>
    <row r="669" spans="15:30" x14ac:dyDescent="0.3">
      <c r="O669" s="61"/>
      <c r="P669" s="61"/>
      <c r="Q669" s="53"/>
      <c r="R669" s="62"/>
      <c r="S669" s="62"/>
      <c r="T669" s="62"/>
      <c r="U669" s="62"/>
      <c r="V669" s="62"/>
      <c r="W669" s="62"/>
      <c r="X669" s="61"/>
      <c r="Y669" s="53"/>
      <c r="Z669" s="62"/>
      <c r="AA669" s="62"/>
      <c r="AB669" s="62"/>
      <c r="AC669" s="62"/>
      <c r="AD669" s="62"/>
    </row>
    <row r="670" spans="15:30" x14ac:dyDescent="0.3">
      <c r="O670" s="61"/>
      <c r="P670" s="61"/>
      <c r="Q670" s="53"/>
      <c r="R670" s="62"/>
      <c r="S670" s="62"/>
      <c r="T670" s="62"/>
      <c r="U670" s="62"/>
      <c r="V670" s="62"/>
      <c r="W670" s="62"/>
      <c r="X670" s="61"/>
      <c r="Y670" s="53"/>
      <c r="Z670" s="62"/>
      <c r="AA670" s="62"/>
      <c r="AB670" s="62"/>
      <c r="AC670" s="62"/>
      <c r="AD670" s="62"/>
    </row>
    <row r="671" spans="15:30" x14ac:dyDescent="0.3">
      <c r="O671" s="61"/>
      <c r="P671" s="61"/>
      <c r="Q671" s="53"/>
      <c r="R671" s="62"/>
      <c r="S671" s="62"/>
      <c r="T671" s="62"/>
      <c r="U671" s="62"/>
      <c r="V671" s="62"/>
      <c r="W671" s="62"/>
      <c r="X671" s="61"/>
      <c r="Y671" s="53"/>
      <c r="Z671" s="62"/>
      <c r="AA671" s="62"/>
      <c r="AB671" s="62"/>
      <c r="AC671" s="62"/>
      <c r="AD671" s="62"/>
    </row>
    <row r="672" spans="15:30" x14ac:dyDescent="0.3">
      <c r="O672" s="61"/>
      <c r="P672" s="61"/>
      <c r="Q672" s="53"/>
      <c r="R672" s="62"/>
      <c r="S672" s="62"/>
      <c r="T672" s="62"/>
      <c r="U672" s="62"/>
      <c r="V672" s="62"/>
      <c r="W672" s="62"/>
      <c r="X672" s="61"/>
      <c r="Y672" s="53"/>
      <c r="Z672" s="62"/>
      <c r="AA672" s="62"/>
      <c r="AB672" s="62"/>
      <c r="AC672" s="62"/>
      <c r="AD672" s="62"/>
    </row>
    <row r="673" spans="15:30" x14ac:dyDescent="0.3">
      <c r="O673" s="61"/>
      <c r="P673" s="61"/>
      <c r="Q673" s="53"/>
      <c r="R673" s="62"/>
      <c r="S673" s="62"/>
      <c r="T673" s="62"/>
      <c r="U673" s="62"/>
      <c r="V673" s="62"/>
      <c r="W673" s="62"/>
      <c r="X673" s="61"/>
      <c r="Y673" s="53"/>
      <c r="Z673" s="62"/>
      <c r="AA673" s="62"/>
      <c r="AB673" s="62"/>
      <c r="AC673" s="62"/>
      <c r="AD673" s="62"/>
    </row>
    <row r="674" spans="15:30" x14ac:dyDescent="0.3">
      <c r="O674" s="61"/>
      <c r="P674" s="61"/>
      <c r="Q674" s="53"/>
      <c r="R674" s="62"/>
      <c r="S674" s="62"/>
      <c r="T674" s="62"/>
      <c r="U674" s="62"/>
      <c r="V674" s="62"/>
      <c r="W674" s="62"/>
      <c r="X674" s="61"/>
      <c r="Y674" s="53"/>
      <c r="Z674" s="62"/>
      <c r="AA674" s="62"/>
      <c r="AB674" s="62"/>
      <c r="AC674" s="62"/>
      <c r="AD674" s="62"/>
    </row>
    <row r="675" spans="15:30" x14ac:dyDescent="0.3">
      <c r="O675" s="61"/>
      <c r="P675" s="61"/>
      <c r="Q675" s="53"/>
      <c r="R675" s="62"/>
      <c r="S675" s="62"/>
      <c r="T675" s="62"/>
      <c r="U675" s="62"/>
      <c r="V675" s="62"/>
      <c r="W675" s="62"/>
      <c r="X675" s="61"/>
      <c r="Y675" s="53"/>
      <c r="Z675" s="62"/>
      <c r="AA675" s="62"/>
      <c r="AB675" s="62"/>
      <c r="AC675" s="62"/>
      <c r="AD675" s="62"/>
    </row>
    <row r="676" spans="15:30" x14ac:dyDescent="0.3">
      <c r="O676" s="61"/>
      <c r="P676" s="61"/>
      <c r="Q676" s="53"/>
      <c r="R676" s="62"/>
      <c r="S676" s="62"/>
      <c r="T676" s="62"/>
      <c r="U676" s="62"/>
      <c r="V676" s="62"/>
      <c r="W676" s="62"/>
      <c r="X676" s="61"/>
      <c r="Y676" s="53"/>
      <c r="Z676" s="62"/>
      <c r="AA676" s="62"/>
      <c r="AB676" s="62"/>
      <c r="AC676" s="62"/>
      <c r="AD676" s="62"/>
    </row>
    <row r="677" spans="15:30" x14ac:dyDescent="0.3">
      <c r="O677" s="61"/>
      <c r="P677" s="61"/>
      <c r="Q677" s="53"/>
      <c r="R677" s="62"/>
      <c r="S677" s="62"/>
      <c r="T677" s="62"/>
      <c r="U677" s="62"/>
      <c r="V677" s="62"/>
      <c r="W677" s="62"/>
      <c r="X677" s="61"/>
      <c r="Y677" s="53"/>
      <c r="Z677" s="62"/>
      <c r="AA677" s="62"/>
      <c r="AB677" s="62"/>
      <c r="AC677" s="62"/>
      <c r="AD677" s="62"/>
    </row>
    <row r="678" spans="15:30" x14ac:dyDescent="0.3">
      <c r="O678" s="61"/>
      <c r="P678" s="61"/>
      <c r="Q678" s="53"/>
      <c r="R678" s="62"/>
      <c r="S678" s="62"/>
      <c r="T678" s="62"/>
      <c r="U678" s="62"/>
      <c r="V678" s="62"/>
      <c r="W678" s="62"/>
      <c r="X678" s="61"/>
      <c r="Y678" s="53"/>
      <c r="Z678" s="62"/>
      <c r="AA678" s="62"/>
      <c r="AB678" s="62"/>
      <c r="AC678" s="62"/>
      <c r="AD678" s="62"/>
    </row>
    <row r="679" spans="15:30" x14ac:dyDescent="0.3">
      <c r="O679" s="61"/>
      <c r="P679" s="61"/>
      <c r="Q679" s="53"/>
      <c r="R679" s="62"/>
      <c r="S679" s="62"/>
      <c r="T679" s="62"/>
      <c r="U679" s="62"/>
      <c r="V679" s="62"/>
      <c r="W679" s="62"/>
      <c r="X679" s="61"/>
      <c r="Y679" s="53"/>
      <c r="Z679" s="62"/>
      <c r="AA679" s="62"/>
      <c r="AB679" s="62"/>
      <c r="AC679" s="62"/>
      <c r="AD679" s="62"/>
    </row>
    <row r="680" spans="15:30" x14ac:dyDescent="0.3">
      <c r="O680" s="61"/>
      <c r="P680" s="61"/>
      <c r="Q680" s="53"/>
      <c r="R680" s="62"/>
      <c r="S680" s="62"/>
      <c r="T680" s="62"/>
      <c r="U680" s="62"/>
      <c r="V680" s="62"/>
      <c r="W680" s="62"/>
      <c r="X680" s="61"/>
      <c r="Y680" s="53"/>
      <c r="Z680" s="62"/>
      <c r="AA680" s="62"/>
      <c r="AB680" s="62"/>
      <c r="AC680" s="62"/>
      <c r="AD680" s="62"/>
    </row>
    <row r="681" spans="15:30" x14ac:dyDescent="0.3">
      <c r="O681" s="61"/>
      <c r="P681" s="61"/>
      <c r="Q681" s="53"/>
      <c r="R681" s="62"/>
      <c r="S681" s="62"/>
      <c r="T681" s="62"/>
      <c r="U681" s="62"/>
      <c r="V681" s="62"/>
      <c r="W681" s="62"/>
      <c r="X681" s="61"/>
      <c r="Y681" s="53"/>
      <c r="Z681" s="62"/>
      <c r="AA681" s="62"/>
      <c r="AB681" s="62"/>
      <c r="AC681" s="62"/>
      <c r="AD681" s="62"/>
    </row>
    <row r="682" spans="15:30" x14ac:dyDescent="0.3">
      <c r="O682" s="61"/>
      <c r="P682" s="61"/>
      <c r="Q682" s="53"/>
      <c r="R682" s="62"/>
      <c r="S682" s="62"/>
      <c r="T682" s="62"/>
      <c r="U682" s="62"/>
      <c r="V682" s="62"/>
      <c r="W682" s="62"/>
      <c r="X682" s="61"/>
      <c r="Y682" s="53"/>
      <c r="Z682" s="62"/>
      <c r="AA682" s="62"/>
      <c r="AB682" s="62"/>
      <c r="AC682" s="62"/>
      <c r="AD682" s="62"/>
    </row>
    <row r="683" spans="15:30" x14ac:dyDescent="0.3">
      <c r="O683" s="61"/>
      <c r="P683" s="61"/>
      <c r="Q683" s="53"/>
      <c r="R683" s="62"/>
      <c r="S683" s="62"/>
      <c r="T683" s="62"/>
      <c r="U683" s="62"/>
      <c r="V683" s="62"/>
      <c r="W683" s="62"/>
      <c r="X683" s="61"/>
      <c r="Y683" s="53"/>
      <c r="Z683" s="62"/>
      <c r="AA683" s="62"/>
      <c r="AB683" s="62"/>
      <c r="AC683" s="62"/>
      <c r="AD683" s="62"/>
    </row>
    <row r="684" spans="15:30" x14ac:dyDescent="0.3">
      <c r="O684" s="61"/>
      <c r="P684" s="61"/>
      <c r="Q684" s="53"/>
      <c r="R684" s="62"/>
      <c r="S684" s="62"/>
      <c r="T684" s="62"/>
      <c r="U684" s="62"/>
      <c r="V684" s="62"/>
      <c r="W684" s="62"/>
      <c r="X684" s="61"/>
      <c r="Y684" s="53"/>
      <c r="Z684" s="62"/>
      <c r="AA684" s="62"/>
      <c r="AB684" s="62"/>
      <c r="AC684" s="62"/>
      <c r="AD684" s="62"/>
    </row>
    <row r="685" spans="15:30" x14ac:dyDescent="0.3">
      <c r="O685" s="61"/>
      <c r="P685" s="61"/>
      <c r="Q685" s="53"/>
      <c r="R685" s="62"/>
      <c r="S685" s="62"/>
      <c r="T685" s="62"/>
      <c r="U685" s="62"/>
      <c r="V685" s="62"/>
      <c r="W685" s="62"/>
      <c r="X685" s="61"/>
      <c r="Y685" s="53"/>
      <c r="Z685" s="62"/>
      <c r="AA685" s="62"/>
      <c r="AB685" s="62"/>
      <c r="AC685" s="62"/>
      <c r="AD685" s="62"/>
    </row>
    <row r="686" spans="15:30" x14ac:dyDescent="0.3">
      <c r="O686" s="61"/>
      <c r="P686" s="61"/>
      <c r="Q686" s="53"/>
      <c r="R686" s="62"/>
      <c r="S686" s="62"/>
      <c r="T686" s="62"/>
      <c r="U686" s="62"/>
      <c r="V686" s="62"/>
      <c r="W686" s="62"/>
      <c r="X686" s="61"/>
      <c r="Y686" s="53"/>
      <c r="Z686" s="62"/>
      <c r="AA686" s="62"/>
      <c r="AB686" s="62"/>
      <c r="AC686" s="62"/>
      <c r="AD686" s="62"/>
    </row>
    <row r="687" spans="15:30" x14ac:dyDescent="0.3">
      <c r="O687" s="61"/>
      <c r="P687" s="61"/>
      <c r="Q687" s="53"/>
      <c r="R687" s="62"/>
      <c r="S687" s="62"/>
      <c r="T687" s="62"/>
      <c r="U687" s="62"/>
      <c r="V687" s="62"/>
      <c r="W687" s="62"/>
      <c r="X687" s="61"/>
      <c r="Y687" s="53"/>
      <c r="Z687" s="62"/>
      <c r="AA687" s="62"/>
      <c r="AB687" s="62"/>
      <c r="AC687" s="62"/>
      <c r="AD687" s="62"/>
    </row>
    <row r="688" spans="15:30" x14ac:dyDescent="0.3">
      <c r="O688" s="61"/>
      <c r="P688" s="61"/>
      <c r="Q688" s="53"/>
      <c r="R688" s="62"/>
      <c r="S688" s="62"/>
      <c r="T688" s="62"/>
      <c r="U688" s="62"/>
      <c r="V688" s="62"/>
      <c r="W688" s="62"/>
      <c r="X688" s="61"/>
      <c r="Y688" s="53"/>
      <c r="Z688" s="62"/>
      <c r="AA688" s="62"/>
      <c r="AB688" s="62"/>
      <c r="AC688" s="62"/>
      <c r="AD688" s="62"/>
    </row>
    <row r="689" spans="15:30" x14ac:dyDescent="0.3">
      <c r="O689" s="61"/>
      <c r="P689" s="61"/>
      <c r="Q689" s="53"/>
      <c r="R689" s="62"/>
      <c r="S689" s="62"/>
      <c r="T689" s="62"/>
      <c r="U689" s="62"/>
      <c r="V689" s="62"/>
      <c r="W689" s="62"/>
      <c r="X689" s="61"/>
      <c r="Y689" s="53"/>
      <c r="Z689" s="62"/>
      <c r="AA689" s="62"/>
      <c r="AB689" s="62"/>
      <c r="AC689" s="62"/>
      <c r="AD689" s="62"/>
    </row>
    <row r="690" spans="15:30" x14ac:dyDescent="0.3">
      <c r="O690" s="61"/>
      <c r="P690" s="61"/>
      <c r="Q690" s="53"/>
      <c r="R690" s="62"/>
      <c r="S690" s="62"/>
      <c r="T690" s="62"/>
      <c r="U690" s="62"/>
      <c r="V690" s="62"/>
      <c r="W690" s="62"/>
      <c r="X690" s="61"/>
      <c r="Y690" s="53"/>
      <c r="Z690" s="62"/>
      <c r="AA690" s="62"/>
      <c r="AB690" s="62"/>
      <c r="AC690" s="62"/>
      <c r="AD690" s="62"/>
    </row>
    <row r="691" spans="15:30" x14ac:dyDescent="0.3">
      <c r="O691" s="61"/>
      <c r="P691" s="61"/>
      <c r="Q691" s="53"/>
      <c r="R691" s="62"/>
      <c r="S691" s="62"/>
      <c r="T691" s="62"/>
      <c r="U691" s="62"/>
      <c r="V691" s="62"/>
      <c r="W691" s="62"/>
      <c r="X691" s="61"/>
      <c r="Y691" s="53"/>
      <c r="Z691" s="62"/>
      <c r="AA691" s="62"/>
      <c r="AB691" s="62"/>
      <c r="AC691" s="62"/>
      <c r="AD691" s="62"/>
    </row>
    <row r="692" spans="15:30" x14ac:dyDescent="0.3">
      <c r="O692" s="61"/>
      <c r="P692" s="61"/>
      <c r="Q692" s="53"/>
      <c r="R692" s="62"/>
      <c r="S692" s="62"/>
      <c r="T692" s="62"/>
      <c r="U692" s="62"/>
      <c r="V692" s="62"/>
      <c r="W692" s="62"/>
      <c r="X692" s="61"/>
      <c r="Y692" s="53"/>
      <c r="Z692" s="62"/>
      <c r="AA692" s="62"/>
      <c r="AB692" s="62"/>
      <c r="AC692" s="62"/>
      <c r="AD692" s="62"/>
    </row>
    <row r="693" spans="15:30" x14ac:dyDescent="0.3">
      <c r="O693" s="61"/>
      <c r="P693" s="61"/>
      <c r="Q693" s="53"/>
      <c r="R693" s="62"/>
      <c r="S693" s="62"/>
      <c r="T693" s="62"/>
      <c r="U693" s="62"/>
      <c r="V693" s="62"/>
      <c r="W693" s="62"/>
      <c r="X693" s="61"/>
      <c r="Y693" s="53"/>
      <c r="Z693" s="62"/>
      <c r="AA693" s="62"/>
      <c r="AB693" s="62"/>
      <c r="AC693" s="62"/>
      <c r="AD693" s="62"/>
    </row>
    <row r="694" spans="15:30" x14ac:dyDescent="0.3">
      <c r="O694" s="61"/>
      <c r="P694" s="61"/>
      <c r="Q694" s="53"/>
      <c r="R694" s="62"/>
      <c r="S694" s="62"/>
      <c r="T694" s="62"/>
      <c r="U694" s="62"/>
      <c r="V694" s="62"/>
      <c r="W694" s="62"/>
      <c r="X694" s="61"/>
      <c r="Y694" s="53"/>
      <c r="Z694" s="62"/>
      <c r="AA694" s="62"/>
      <c r="AB694" s="62"/>
      <c r="AC694" s="62"/>
      <c r="AD694" s="62"/>
    </row>
    <row r="695" spans="15:30" x14ac:dyDescent="0.3">
      <c r="O695" s="61"/>
      <c r="P695" s="61"/>
      <c r="Q695" s="53"/>
      <c r="R695" s="62"/>
      <c r="S695" s="62"/>
      <c r="T695" s="62"/>
      <c r="U695" s="62"/>
      <c r="V695" s="62"/>
      <c r="W695" s="62"/>
      <c r="X695" s="61"/>
      <c r="Y695" s="53"/>
      <c r="Z695" s="62"/>
      <c r="AA695" s="62"/>
      <c r="AB695" s="62"/>
      <c r="AC695" s="62"/>
      <c r="AD695" s="62"/>
    </row>
    <row r="696" spans="15:30" x14ac:dyDescent="0.3">
      <c r="O696" s="61"/>
      <c r="P696" s="61"/>
      <c r="Q696" s="53"/>
      <c r="R696" s="62"/>
      <c r="S696" s="62"/>
      <c r="T696" s="62"/>
      <c r="U696" s="62"/>
      <c r="V696" s="62"/>
      <c r="W696" s="62"/>
      <c r="X696" s="61"/>
      <c r="Y696" s="53"/>
      <c r="Z696" s="62"/>
      <c r="AA696" s="62"/>
      <c r="AB696" s="62"/>
      <c r="AC696" s="62"/>
      <c r="AD696" s="62"/>
    </row>
    <row r="697" spans="15:30" x14ac:dyDescent="0.3">
      <c r="O697" s="61"/>
      <c r="P697" s="61"/>
      <c r="Q697" s="53"/>
      <c r="R697" s="62"/>
      <c r="S697" s="62"/>
      <c r="T697" s="62"/>
      <c r="U697" s="62"/>
      <c r="V697" s="62"/>
      <c r="W697" s="62"/>
      <c r="X697" s="61"/>
      <c r="Y697" s="53"/>
      <c r="Z697" s="62"/>
      <c r="AA697" s="62"/>
      <c r="AB697" s="62"/>
      <c r="AC697" s="62"/>
      <c r="AD697" s="62"/>
    </row>
    <row r="698" spans="15:30" x14ac:dyDescent="0.3">
      <c r="O698" s="61"/>
      <c r="P698" s="61"/>
      <c r="Q698" s="53"/>
      <c r="R698" s="62"/>
      <c r="S698" s="62"/>
      <c r="T698" s="62"/>
      <c r="U698" s="62"/>
      <c r="V698" s="62"/>
      <c r="W698" s="62"/>
      <c r="X698" s="61"/>
      <c r="Y698" s="53"/>
      <c r="Z698" s="62"/>
      <c r="AA698" s="62"/>
      <c r="AB698" s="62"/>
      <c r="AC698" s="62"/>
      <c r="AD698" s="62"/>
    </row>
    <row r="699" spans="15:30" x14ac:dyDescent="0.3">
      <c r="O699" s="61"/>
      <c r="P699" s="61"/>
      <c r="Q699" s="53"/>
      <c r="R699" s="62"/>
      <c r="S699" s="62"/>
      <c r="T699" s="62"/>
      <c r="U699" s="62"/>
      <c r="V699" s="62"/>
      <c r="W699" s="62"/>
      <c r="X699" s="61"/>
      <c r="Y699" s="53"/>
      <c r="Z699" s="62"/>
      <c r="AA699" s="62"/>
      <c r="AB699" s="62"/>
      <c r="AC699" s="62"/>
      <c r="AD699" s="62"/>
    </row>
    <row r="700" spans="15:30" x14ac:dyDescent="0.3">
      <c r="O700" s="61"/>
      <c r="P700" s="61"/>
      <c r="Q700" s="53"/>
      <c r="R700" s="62"/>
      <c r="S700" s="62"/>
      <c r="T700" s="62"/>
      <c r="U700" s="62"/>
      <c r="V700" s="62"/>
      <c r="W700" s="62"/>
      <c r="X700" s="61"/>
      <c r="Y700" s="53"/>
      <c r="Z700" s="62"/>
      <c r="AA700" s="62"/>
      <c r="AB700" s="62"/>
      <c r="AC700" s="62"/>
      <c r="AD700" s="62"/>
    </row>
    <row r="701" spans="15:30" x14ac:dyDescent="0.3">
      <c r="O701" s="61"/>
      <c r="P701" s="61"/>
      <c r="Q701" s="53"/>
      <c r="R701" s="62"/>
      <c r="S701" s="62"/>
      <c r="T701" s="62"/>
      <c r="U701" s="62"/>
      <c r="V701" s="62"/>
      <c r="W701" s="62"/>
      <c r="X701" s="61"/>
      <c r="Y701" s="53"/>
      <c r="Z701" s="62"/>
      <c r="AA701" s="62"/>
      <c r="AB701" s="62"/>
      <c r="AC701" s="62"/>
      <c r="AD701" s="62"/>
    </row>
    <row r="702" spans="15:30" x14ac:dyDescent="0.3">
      <c r="O702" s="61"/>
      <c r="P702" s="61"/>
      <c r="Q702" s="53"/>
      <c r="R702" s="62"/>
      <c r="S702" s="62"/>
      <c r="T702" s="62"/>
      <c r="U702" s="62"/>
      <c r="V702" s="62"/>
      <c r="W702" s="62"/>
      <c r="X702" s="61"/>
      <c r="Y702" s="53"/>
      <c r="Z702" s="62"/>
      <c r="AA702" s="62"/>
      <c r="AB702" s="62"/>
      <c r="AC702" s="62"/>
      <c r="AD702" s="62"/>
    </row>
    <row r="703" spans="15:30" x14ac:dyDescent="0.3">
      <c r="O703" s="61"/>
      <c r="P703" s="61"/>
      <c r="Q703" s="53"/>
      <c r="R703" s="62"/>
      <c r="S703" s="62"/>
      <c r="T703" s="62"/>
      <c r="U703" s="62"/>
      <c r="V703" s="62"/>
      <c r="W703" s="62"/>
      <c r="X703" s="61"/>
      <c r="Y703" s="53"/>
      <c r="Z703" s="62"/>
      <c r="AA703" s="62"/>
      <c r="AB703" s="62"/>
      <c r="AC703" s="62"/>
      <c r="AD703" s="62"/>
    </row>
    <row r="704" spans="15:30" x14ac:dyDescent="0.3">
      <c r="O704" s="61"/>
      <c r="P704" s="61"/>
      <c r="Q704" s="53"/>
      <c r="R704" s="62"/>
      <c r="S704" s="62"/>
      <c r="T704" s="62"/>
      <c r="U704" s="62"/>
      <c r="V704" s="62"/>
      <c r="W704" s="62"/>
      <c r="X704" s="61"/>
      <c r="Y704" s="53"/>
      <c r="Z704" s="62"/>
      <c r="AA704" s="62"/>
      <c r="AB704" s="62"/>
      <c r="AC704" s="62"/>
      <c r="AD704" s="62"/>
    </row>
    <row r="705" spans="15:30" x14ac:dyDescent="0.3">
      <c r="O705" s="61"/>
      <c r="P705" s="61"/>
      <c r="Q705" s="53"/>
      <c r="R705" s="62"/>
      <c r="S705" s="62"/>
      <c r="T705" s="62"/>
      <c r="U705" s="62"/>
      <c r="V705" s="62"/>
      <c r="W705" s="62"/>
      <c r="X705" s="61"/>
      <c r="Y705" s="53"/>
      <c r="Z705" s="62"/>
      <c r="AA705" s="62"/>
      <c r="AB705" s="62"/>
      <c r="AC705" s="62"/>
      <c r="AD705" s="62"/>
    </row>
    <row r="706" spans="15:30" x14ac:dyDescent="0.3">
      <c r="O706" s="61"/>
      <c r="P706" s="61"/>
      <c r="Q706" s="53"/>
      <c r="R706" s="62"/>
      <c r="S706" s="62"/>
      <c r="T706" s="62"/>
      <c r="U706" s="62"/>
      <c r="V706" s="62"/>
      <c r="W706" s="62"/>
      <c r="X706" s="61"/>
      <c r="Y706" s="53"/>
      <c r="Z706" s="62"/>
      <c r="AA706" s="62"/>
      <c r="AB706" s="62"/>
      <c r="AC706" s="62"/>
      <c r="AD706" s="62"/>
    </row>
    <row r="707" spans="15:30" x14ac:dyDescent="0.3">
      <c r="O707" s="61"/>
      <c r="P707" s="61"/>
      <c r="Q707" s="53"/>
      <c r="R707" s="62"/>
      <c r="S707" s="62"/>
      <c r="T707" s="62"/>
      <c r="U707" s="62"/>
      <c r="V707" s="62"/>
      <c r="W707" s="62"/>
      <c r="X707" s="61"/>
      <c r="Y707" s="53"/>
      <c r="Z707" s="62"/>
      <c r="AA707" s="62"/>
      <c r="AB707" s="62"/>
      <c r="AC707" s="62"/>
      <c r="AD707" s="62"/>
    </row>
    <row r="708" spans="15:30" x14ac:dyDescent="0.3">
      <c r="O708" s="61"/>
      <c r="P708" s="61"/>
      <c r="Q708" s="53"/>
      <c r="R708" s="62"/>
      <c r="S708" s="62"/>
      <c r="T708" s="62"/>
      <c r="U708" s="62"/>
      <c r="V708" s="62"/>
      <c r="W708" s="62"/>
      <c r="X708" s="61"/>
      <c r="Y708" s="53"/>
      <c r="Z708" s="62"/>
      <c r="AA708" s="62"/>
      <c r="AB708" s="62"/>
      <c r="AC708" s="62"/>
      <c r="AD708" s="62"/>
    </row>
    <row r="709" spans="15:30" x14ac:dyDescent="0.3">
      <c r="O709" s="61"/>
      <c r="P709" s="61"/>
      <c r="Q709" s="53"/>
      <c r="R709" s="62"/>
      <c r="S709" s="62"/>
      <c r="T709" s="62"/>
      <c r="U709" s="62"/>
      <c r="V709" s="62"/>
      <c r="W709" s="62"/>
      <c r="X709" s="61"/>
      <c r="Y709" s="53"/>
      <c r="Z709" s="62"/>
      <c r="AA709" s="62"/>
      <c r="AB709" s="62"/>
      <c r="AC709" s="62"/>
      <c r="AD709" s="62"/>
    </row>
    <row r="710" spans="15:30" x14ac:dyDescent="0.3">
      <c r="O710" s="61"/>
      <c r="P710" s="61"/>
      <c r="Q710" s="53"/>
      <c r="R710" s="62"/>
      <c r="S710" s="62"/>
      <c r="T710" s="62"/>
      <c r="U710" s="62"/>
      <c r="V710" s="62"/>
      <c r="W710" s="62"/>
      <c r="X710" s="61"/>
      <c r="Y710" s="53"/>
      <c r="Z710" s="62"/>
      <c r="AA710" s="62"/>
      <c r="AB710" s="62"/>
      <c r="AC710" s="62"/>
      <c r="AD710" s="62"/>
    </row>
    <row r="711" spans="15:30" x14ac:dyDescent="0.3">
      <c r="O711" s="61"/>
      <c r="P711" s="61"/>
      <c r="Q711" s="53"/>
      <c r="R711" s="62"/>
      <c r="S711" s="62"/>
      <c r="T711" s="62"/>
      <c r="U711" s="62"/>
      <c r="V711" s="62"/>
      <c r="W711" s="62"/>
      <c r="X711" s="61"/>
      <c r="Y711" s="53"/>
      <c r="Z711" s="62"/>
      <c r="AA711" s="62"/>
      <c r="AB711" s="62"/>
      <c r="AC711" s="62"/>
      <c r="AD711" s="62"/>
    </row>
    <row r="712" spans="15:30" x14ac:dyDescent="0.3">
      <c r="O712" s="61"/>
      <c r="P712" s="61"/>
      <c r="Q712" s="53"/>
      <c r="R712" s="62"/>
      <c r="S712" s="62"/>
      <c r="T712" s="62"/>
      <c r="U712" s="62"/>
      <c r="V712" s="62"/>
      <c r="W712" s="62"/>
      <c r="X712" s="61"/>
      <c r="Y712" s="53"/>
      <c r="Z712" s="62"/>
      <c r="AA712" s="62"/>
      <c r="AB712" s="62"/>
      <c r="AC712" s="62"/>
      <c r="AD712" s="62"/>
    </row>
    <row r="713" spans="15:30" x14ac:dyDescent="0.3">
      <c r="O713" s="61"/>
      <c r="P713" s="61"/>
      <c r="Q713" s="53"/>
      <c r="R713" s="62"/>
      <c r="S713" s="62"/>
      <c r="T713" s="62"/>
      <c r="U713" s="62"/>
      <c r="V713" s="62"/>
      <c r="W713" s="62"/>
      <c r="X713" s="61"/>
      <c r="Y713" s="53"/>
      <c r="Z713" s="62"/>
      <c r="AA713" s="62"/>
      <c r="AB713" s="62"/>
      <c r="AC713" s="62"/>
      <c r="AD713" s="62"/>
    </row>
    <row r="714" spans="15:30" x14ac:dyDescent="0.3">
      <c r="O714" s="61"/>
      <c r="P714" s="61"/>
      <c r="Q714" s="53"/>
      <c r="R714" s="62"/>
      <c r="S714" s="62"/>
      <c r="T714" s="62"/>
      <c r="U714" s="62"/>
      <c r="V714" s="62"/>
      <c r="W714" s="62"/>
      <c r="X714" s="61"/>
      <c r="Y714" s="53"/>
      <c r="Z714" s="62"/>
      <c r="AA714" s="62"/>
      <c r="AB714" s="62"/>
      <c r="AC714" s="62"/>
      <c r="AD714" s="62"/>
    </row>
    <row r="715" spans="15:30" x14ac:dyDescent="0.3">
      <c r="O715" s="61"/>
      <c r="P715" s="61"/>
      <c r="Q715" s="53"/>
      <c r="R715" s="62"/>
      <c r="S715" s="62"/>
      <c r="T715" s="62"/>
      <c r="U715" s="62"/>
      <c r="V715" s="62"/>
      <c r="W715" s="62"/>
      <c r="X715" s="61"/>
      <c r="Y715" s="53"/>
      <c r="Z715" s="62"/>
      <c r="AA715" s="62"/>
      <c r="AB715" s="62"/>
      <c r="AC715" s="62"/>
      <c r="AD715" s="62"/>
    </row>
    <row r="716" spans="15:30" x14ac:dyDescent="0.3">
      <c r="O716" s="61"/>
      <c r="P716" s="61"/>
      <c r="Q716" s="53"/>
      <c r="R716" s="62"/>
      <c r="S716" s="62"/>
      <c r="T716" s="62"/>
      <c r="U716" s="62"/>
      <c r="V716" s="62"/>
      <c r="W716" s="62"/>
      <c r="X716" s="61"/>
      <c r="Y716" s="53"/>
      <c r="Z716" s="62"/>
      <c r="AA716" s="62"/>
      <c r="AB716" s="62"/>
      <c r="AC716" s="62"/>
      <c r="AD716" s="62"/>
    </row>
    <row r="717" spans="15:30" x14ac:dyDescent="0.3">
      <c r="O717" s="61"/>
      <c r="P717" s="61"/>
      <c r="Q717" s="53"/>
      <c r="R717" s="62"/>
      <c r="S717" s="62"/>
      <c r="T717" s="62"/>
      <c r="U717" s="62"/>
      <c r="V717" s="62"/>
      <c r="W717" s="62"/>
      <c r="X717" s="61"/>
      <c r="Y717" s="53"/>
      <c r="Z717" s="62"/>
      <c r="AA717" s="62"/>
      <c r="AB717" s="62"/>
      <c r="AC717" s="62"/>
      <c r="AD717" s="62"/>
    </row>
    <row r="718" spans="15:30" x14ac:dyDescent="0.3">
      <c r="O718" s="61"/>
      <c r="P718" s="61"/>
      <c r="Q718" s="53"/>
      <c r="R718" s="62"/>
      <c r="S718" s="62"/>
      <c r="T718" s="62"/>
      <c r="U718" s="62"/>
      <c r="V718" s="62"/>
      <c r="W718" s="62"/>
      <c r="X718" s="61"/>
      <c r="Y718" s="53"/>
      <c r="Z718" s="62"/>
      <c r="AA718" s="62"/>
      <c r="AB718" s="62"/>
      <c r="AC718" s="62"/>
      <c r="AD718" s="62"/>
    </row>
    <row r="719" spans="15:30" x14ac:dyDescent="0.3">
      <c r="O719" s="61"/>
      <c r="P719" s="61"/>
      <c r="Q719" s="53"/>
      <c r="R719" s="62"/>
      <c r="S719" s="62"/>
      <c r="T719" s="62"/>
      <c r="U719" s="62"/>
      <c r="V719" s="62"/>
      <c r="W719" s="62"/>
      <c r="X719" s="61"/>
      <c r="Y719" s="53"/>
      <c r="Z719" s="62"/>
      <c r="AA719" s="62"/>
      <c r="AB719" s="62"/>
      <c r="AC719" s="62"/>
      <c r="AD719" s="62"/>
    </row>
    <row r="720" spans="15:30" x14ac:dyDescent="0.3">
      <c r="O720" s="61"/>
      <c r="P720" s="61"/>
      <c r="Q720" s="53"/>
      <c r="R720" s="62"/>
      <c r="S720" s="62"/>
      <c r="T720" s="62"/>
      <c r="U720" s="62"/>
      <c r="V720" s="62"/>
      <c r="W720" s="62"/>
      <c r="X720" s="61"/>
      <c r="Y720" s="53"/>
      <c r="Z720" s="62"/>
      <c r="AA720" s="62"/>
      <c r="AB720" s="62"/>
      <c r="AC720" s="62"/>
      <c r="AD720" s="62"/>
    </row>
    <row r="721" spans="15:30" x14ac:dyDescent="0.3">
      <c r="O721" s="61"/>
      <c r="P721" s="61"/>
      <c r="Q721" s="53"/>
      <c r="R721" s="62"/>
      <c r="S721" s="62"/>
      <c r="T721" s="62"/>
      <c r="U721" s="62"/>
      <c r="V721" s="62"/>
      <c r="W721" s="62"/>
      <c r="X721" s="61"/>
      <c r="Y721" s="53"/>
      <c r="Z721" s="62"/>
      <c r="AA721" s="62"/>
      <c r="AB721" s="62"/>
      <c r="AC721" s="62"/>
      <c r="AD721" s="62"/>
    </row>
    <row r="722" spans="15:30" x14ac:dyDescent="0.3">
      <c r="O722" s="61"/>
      <c r="P722" s="61"/>
      <c r="Q722" s="53"/>
      <c r="R722" s="62"/>
      <c r="S722" s="62"/>
      <c r="T722" s="62"/>
      <c r="U722" s="62"/>
      <c r="V722" s="62"/>
      <c r="W722" s="62"/>
      <c r="X722" s="61"/>
      <c r="Y722" s="53"/>
      <c r="Z722" s="62"/>
      <c r="AA722" s="62"/>
      <c r="AB722" s="62"/>
      <c r="AC722" s="62"/>
      <c r="AD722" s="62"/>
    </row>
    <row r="723" spans="15:30" x14ac:dyDescent="0.3">
      <c r="O723" s="61"/>
      <c r="P723" s="61"/>
      <c r="Q723" s="53"/>
      <c r="R723" s="62"/>
      <c r="S723" s="62"/>
      <c r="T723" s="62"/>
      <c r="U723" s="62"/>
      <c r="V723" s="62"/>
      <c r="W723" s="62"/>
      <c r="X723" s="61"/>
      <c r="Y723" s="53"/>
      <c r="Z723" s="62"/>
      <c r="AA723" s="62"/>
      <c r="AB723" s="62"/>
      <c r="AC723" s="62"/>
      <c r="AD723" s="62"/>
    </row>
    <row r="724" spans="15:30" x14ac:dyDescent="0.3">
      <c r="O724" s="61"/>
      <c r="P724" s="61"/>
      <c r="Q724" s="53"/>
      <c r="R724" s="62"/>
      <c r="S724" s="62"/>
      <c r="T724" s="62"/>
      <c r="U724" s="62"/>
      <c r="V724" s="62"/>
      <c r="W724" s="62"/>
      <c r="X724" s="61"/>
      <c r="Y724" s="53"/>
      <c r="Z724" s="62"/>
      <c r="AA724" s="62"/>
      <c r="AB724" s="62"/>
      <c r="AC724" s="62"/>
      <c r="AD724" s="62"/>
    </row>
    <row r="725" spans="15:30" x14ac:dyDescent="0.3">
      <c r="O725" s="61"/>
      <c r="P725" s="61"/>
      <c r="Q725" s="53"/>
      <c r="R725" s="62"/>
      <c r="S725" s="62"/>
      <c r="T725" s="62"/>
      <c r="U725" s="62"/>
      <c r="V725" s="62"/>
      <c r="W725" s="62"/>
      <c r="X725" s="61"/>
      <c r="Y725" s="53"/>
      <c r="Z725" s="62"/>
      <c r="AA725" s="62"/>
      <c r="AB725" s="62"/>
      <c r="AC725" s="62"/>
      <c r="AD725" s="62"/>
    </row>
    <row r="726" spans="15:30" x14ac:dyDescent="0.3">
      <c r="O726" s="61"/>
      <c r="P726" s="61"/>
      <c r="Q726" s="53"/>
      <c r="R726" s="62"/>
      <c r="S726" s="62"/>
      <c r="T726" s="62"/>
      <c r="U726" s="62"/>
      <c r="V726" s="62"/>
      <c r="W726" s="62"/>
      <c r="X726" s="61"/>
      <c r="Y726" s="53"/>
      <c r="Z726" s="62"/>
      <c r="AA726" s="62"/>
      <c r="AB726" s="62"/>
      <c r="AC726" s="62"/>
      <c r="AD726" s="62"/>
    </row>
    <row r="727" spans="15:30" x14ac:dyDescent="0.3">
      <c r="O727" s="61"/>
      <c r="P727" s="61"/>
      <c r="Q727" s="53"/>
      <c r="R727" s="62"/>
      <c r="S727" s="62"/>
      <c r="T727" s="62"/>
      <c r="U727" s="62"/>
      <c r="V727" s="62"/>
      <c r="W727" s="62"/>
      <c r="X727" s="61"/>
      <c r="Y727" s="53"/>
      <c r="Z727" s="62"/>
      <c r="AA727" s="62"/>
      <c r="AB727" s="62"/>
      <c r="AC727" s="62"/>
      <c r="AD727" s="62"/>
    </row>
    <row r="728" spans="15:30" x14ac:dyDescent="0.3">
      <c r="O728" s="61"/>
      <c r="P728" s="61"/>
      <c r="Q728" s="53"/>
      <c r="R728" s="62"/>
      <c r="S728" s="62"/>
      <c r="T728" s="62"/>
      <c r="U728" s="62"/>
      <c r="V728" s="62"/>
      <c r="W728" s="62"/>
      <c r="X728" s="61"/>
      <c r="Y728" s="53"/>
      <c r="Z728" s="62"/>
      <c r="AA728" s="62"/>
      <c r="AB728" s="62"/>
      <c r="AC728" s="62"/>
      <c r="AD728" s="62"/>
    </row>
    <row r="729" spans="15:30" x14ac:dyDescent="0.3">
      <c r="O729" s="61"/>
      <c r="P729" s="61"/>
      <c r="Q729" s="53"/>
      <c r="R729" s="62"/>
      <c r="S729" s="62"/>
      <c r="T729" s="62"/>
      <c r="U729" s="62"/>
      <c r="V729" s="62"/>
      <c r="W729" s="62"/>
      <c r="X729" s="61"/>
      <c r="Y729" s="53"/>
      <c r="Z729" s="62"/>
      <c r="AA729" s="62"/>
      <c r="AB729" s="62"/>
      <c r="AC729" s="62"/>
      <c r="AD729" s="62"/>
    </row>
    <row r="730" spans="15:30" x14ac:dyDescent="0.3">
      <c r="O730" s="61"/>
      <c r="P730" s="61"/>
      <c r="Q730" s="53"/>
      <c r="R730" s="62"/>
      <c r="S730" s="62"/>
      <c r="T730" s="62"/>
      <c r="U730" s="62"/>
      <c r="V730" s="62"/>
      <c r="W730" s="62"/>
      <c r="X730" s="61"/>
      <c r="Y730" s="53"/>
      <c r="Z730" s="62"/>
      <c r="AA730" s="62"/>
      <c r="AB730" s="62"/>
      <c r="AC730" s="62"/>
      <c r="AD730" s="62"/>
    </row>
    <row r="731" spans="15:30" x14ac:dyDescent="0.3">
      <c r="O731" s="61"/>
      <c r="P731" s="61"/>
      <c r="Q731" s="53"/>
      <c r="R731" s="62"/>
      <c r="S731" s="62"/>
      <c r="T731" s="62"/>
      <c r="U731" s="62"/>
      <c r="V731" s="62"/>
      <c r="W731" s="62"/>
      <c r="X731" s="61"/>
      <c r="Y731" s="53"/>
      <c r="Z731" s="62"/>
      <c r="AA731" s="62"/>
      <c r="AB731" s="62"/>
      <c r="AC731" s="62"/>
      <c r="AD731" s="62"/>
    </row>
    <row r="732" spans="15:30" x14ac:dyDescent="0.3">
      <c r="O732" s="61"/>
      <c r="P732" s="61"/>
      <c r="Q732" s="53"/>
      <c r="R732" s="62"/>
      <c r="S732" s="62"/>
      <c r="T732" s="62"/>
      <c r="U732" s="62"/>
      <c r="V732" s="62"/>
      <c r="W732" s="62"/>
      <c r="X732" s="61"/>
      <c r="Y732" s="53"/>
      <c r="Z732" s="62"/>
      <c r="AA732" s="62"/>
      <c r="AB732" s="62"/>
      <c r="AC732" s="62"/>
      <c r="AD732" s="62"/>
    </row>
    <row r="733" spans="15:30" x14ac:dyDescent="0.3">
      <c r="Q733" s="53"/>
      <c r="R733" s="51"/>
      <c r="S733" s="51"/>
      <c r="T733" s="51"/>
      <c r="U733" s="51"/>
      <c r="V733" s="51"/>
      <c r="W733" s="51"/>
      <c r="X733" s="61"/>
      <c r="Y733" s="53"/>
    </row>
    <row r="734" spans="15:30" x14ac:dyDescent="0.3">
      <c r="Q734" s="53"/>
      <c r="R734" s="51"/>
      <c r="S734" s="51"/>
      <c r="T734" s="51"/>
      <c r="U734" s="51"/>
      <c r="V734" s="51"/>
      <c r="W734" s="51"/>
      <c r="Y734" s="53"/>
    </row>
    <row r="735" spans="15:30" x14ac:dyDescent="0.3">
      <c r="Q735" s="53"/>
      <c r="R735" s="51"/>
      <c r="S735" s="51"/>
      <c r="T735" s="51"/>
      <c r="U735" s="51"/>
      <c r="V735" s="51"/>
      <c r="W735" s="51"/>
      <c r="Y735" s="53"/>
    </row>
    <row r="736" spans="15:30" x14ac:dyDescent="0.3">
      <c r="Q736" s="53"/>
      <c r="R736" s="51"/>
      <c r="S736" s="51"/>
      <c r="T736" s="51"/>
      <c r="U736" s="51"/>
      <c r="V736" s="51"/>
      <c r="W736" s="51"/>
      <c r="Y736" s="53"/>
    </row>
    <row r="737" spans="17:25" x14ac:dyDescent="0.3">
      <c r="Q737" s="53"/>
      <c r="R737" s="51"/>
      <c r="S737" s="51"/>
      <c r="T737" s="51"/>
      <c r="U737" s="51"/>
      <c r="V737" s="51"/>
      <c r="W737" s="51"/>
      <c r="Y737" s="53"/>
    </row>
    <row r="738" spans="17:25" x14ac:dyDescent="0.3">
      <c r="Q738" s="53"/>
      <c r="R738" s="51"/>
      <c r="S738" s="51"/>
      <c r="T738" s="51"/>
      <c r="U738" s="51"/>
      <c r="V738" s="51"/>
      <c r="W738" s="51"/>
      <c r="Y738" s="53"/>
    </row>
    <row r="739" spans="17:25" x14ac:dyDescent="0.3">
      <c r="Q739" s="53"/>
      <c r="R739" s="51"/>
      <c r="S739" s="51"/>
      <c r="T739" s="51"/>
      <c r="U739" s="51"/>
      <c r="V739" s="51"/>
      <c r="W739" s="51"/>
      <c r="Y739" s="53"/>
    </row>
    <row r="740" spans="17:25" x14ac:dyDescent="0.3">
      <c r="Q740" s="53"/>
      <c r="R740" s="51"/>
      <c r="S740" s="51"/>
      <c r="T740" s="51"/>
      <c r="U740" s="51"/>
      <c r="V740" s="51"/>
      <c r="W740" s="51"/>
      <c r="Y740" s="53"/>
    </row>
    <row r="741" spans="17:25" x14ac:dyDescent="0.3">
      <c r="Q741" s="53"/>
      <c r="R741" s="51"/>
      <c r="S741" s="51"/>
      <c r="T741" s="51"/>
      <c r="U741" s="51"/>
      <c r="V741" s="51"/>
      <c r="W741" s="51"/>
      <c r="Y741" s="53"/>
    </row>
    <row r="742" spans="17:25" x14ac:dyDescent="0.3">
      <c r="Q742" s="53"/>
      <c r="R742" s="51"/>
      <c r="S742" s="51"/>
      <c r="T742" s="51"/>
      <c r="U742" s="51"/>
      <c r="V742" s="51"/>
      <c r="W742" s="51"/>
      <c r="Y742" s="53"/>
    </row>
    <row r="743" spans="17:25" x14ac:dyDescent="0.3">
      <c r="Q743" s="53"/>
      <c r="R743" s="51"/>
      <c r="S743" s="51"/>
      <c r="T743" s="51"/>
      <c r="U743" s="51"/>
      <c r="V743" s="51"/>
      <c r="W743" s="51"/>
      <c r="Y743" s="53"/>
    </row>
    <row r="744" spans="17:25" x14ac:dyDescent="0.3">
      <c r="Q744" s="53"/>
      <c r="R744" s="51"/>
      <c r="S744" s="51"/>
      <c r="T744" s="51"/>
      <c r="U744" s="51"/>
      <c r="V744" s="51"/>
      <c r="W744" s="51"/>
      <c r="Y744" s="53"/>
    </row>
    <row r="745" spans="17:25" x14ac:dyDescent="0.3">
      <c r="Q745" s="53"/>
      <c r="R745" s="51"/>
      <c r="S745" s="51"/>
      <c r="T745" s="51"/>
      <c r="U745" s="51"/>
      <c r="V745" s="51"/>
      <c r="W745" s="51"/>
      <c r="Y745" s="53"/>
    </row>
    <row r="746" spans="17:25" x14ac:dyDescent="0.3">
      <c r="Q746" s="53"/>
      <c r="R746" s="51"/>
      <c r="S746" s="51"/>
      <c r="T746" s="51"/>
      <c r="U746" s="51"/>
      <c r="V746" s="51"/>
      <c r="W746" s="51"/>
      <c r="Y746" s="53"/>
    </row>
    <row r="747" spans="17:25" x14ac:dyDescent="0.3">
      <c r="Q747" s="53"/>
      <c r="R747" s="51"/>
      <c r="S747" s="51"/>
      <c r="T747" s="51"/>
      <c r="U747" s="51"/>
      <c r="V747" s="51"/>
      <c r="W747" s="51"/>
      <c r="Y747" s="53"/>
    </row>
    <row r="748" spans="17:25" x14ac:dyDescent="0.3">
      <c r="Q748" s="53"/>
      <c r="R748" s="51"/>
      <c r="S748" s="51"/>
      <c r="T748" s="51"/>
      <c r="U748" s="51"/>
      <c r="V748" s="51"/>
      <c r="W748" s="51"/>
      <c r="Y748" s="53"/>
    </row>
    <row r="749" spans="17:25" x14ac:dyDescent="0.3">
      <c r="Q749" s="53"/>
      <c r="R749" s="51"/>
      <c r="S749" s="51"/>
      <c r="T749" s="51"/>
      <c r="U749" s="51"/>
      <c r="V749" s="51"/>
      <c r="W749" s="51"/>
      <c r="Y749" s="53"/>
    </row>
    <row r="750" spans="17:25" x14ac:dyDescent="0.3">
      <c r="Q750" s="53"/>
      <c r="R750" s="51"/>
      <c r="S750" s="51"/>
      <c r="T750" s="51"/>
      <c r="U750" s="51"/>
      <c r="V750" s="51"/>
      <c r="W750" s="51"/>
      <c r="Y750" s="53"/>
    </row>
    <row r="751" spans="17:25" x14ac:dyDescent="0.3">
      <c r="Q751" s="53"/>
      <c r="R751" s="51"/>
      <c r="S751" s="51"/>
      <c r="T751" s="51"/>
      <c r="U751" s="51"/>
      <c r="V751" s="51"/>
      <c r="W751" s="51"/>
      <c r="Y751" s="53"/>
    </row>
    <row r="752" spans="17:25" x14ac:dyDescent="0.3">
      <c r="Q752" s="53"/>
      <c r="R752" s="51"/>
      <c r="S752" s="51"/>
      <c r="T752" s="51"/>
      <c r="U752" s="51"/>
      <c r="V752" s="51"/>
      <c r="W752" s="51"/>
      <c r="Y752" s="53"/>
    </row>
    <row r="753" spans="17:25" x14ac:dyDescent="0.3">
      <c r="Q753" s="53"/>
      <c r="R753" s="51"/>
      <c r="S753" s="51"/>
      <c r="T753" s="51"/>
      <c r="U753" s="51"/>
      <c r="V753" s="51"/>
      <c r="W753" s="51"/>
      <c r="Y753" s="53"/>
    </row>
    <row r="754" spans="17:25" x14ac:dyDescent="0.3">
      <c r="Q754" s="53"/>
      <c r="R754" s="51"/>
      <c r="S754" s="51"/>
      <c r="T754" s="51"/>
      <c r="U754" s="51"/>
      <c r="V754" s="51"/>
      <c r="W754" s="51"/>
      <c r="Y754" s="53"/>
    </row>
    <row r="755" spans="17:25" x14ac:dyDescent="0.3">
      <c r="Q755" s="53"/>
      <c r="R755" s="51"/>
      <c r="S755" s="51"/>
      <c r="T755" s="51"/>
      <c r="U755" s="51"/>
      <c r="V755" s="51"/>
      <c r="W755" s="51"/>
      <c r="Y755" s="53"/>
    </row>
    <row r="756" spans="17:25" x14ac:dyDescent="0.3">
      <c r="Q756" s="53"/>
      <c r="R756" s="51"/>
      <c r="S756" s="51"/>
      <c r="T756" s="51"/>
      <c r="U756" s="51"/>
      <c r="V756" s="51"/>
      <c r="W756" s="51"/>
      <c r="Y756" s="53"/>
    </row>
    <row r="757" spans="17:25" x14ac:dyDescent="0.3">
      <c r="Q757" s="53"/>
      <c r="R757" s="51"/>
      <c r="S757" s="51"/>
      <c r="T757" s="51"/>
      <c r="U757" s="51"/>
      <c r="V757" s="51"/>
      <c r="W757" s="51"/>
      <c r="Y757" s="53"/>
    </row>
    <row r="758" spans="17:25" x14ac:dyDescent="0.3">
      <c r="Q758" s="53"/>
      <c r="R758" s="51"/>
      <c r="S758" s="51"/>
      <c r="T758" s="51"/>
      <c r="U758" s="51"/>
      <c r="V758" s="51"/>
      <c r="W758" s="51"/>
      <c r="Y758" s="53"/>
    </row>
    <row r="759" spans="17:25" x14ac:dyDescent="0.3">
      <c r="Q759" s="53"/>
      <c r="R759" s="51"/>
      <c r="S759" s="51"/>
      <c r="T759" s="51"/>
      <c r="U759" s="51"/>
      <c r="V759" s="51"/>
      <c r="W759" s="51"/>
      <c r="Y759" s="53"/>
    </row>
    <row r="760" spans="17:25" x14ac:dyDescent="0.3">
      <c r="Q760" s="53"/>
      <c r="R760" s="51"/>
      <c r="S760" s="51"/>
      <c r="T760" s="51"/>
      <c r="U760" s="51"/>
      <c r="V760" s="51"/>
      <c r="W760" s="51"/>
      <c r="Y760" s="53"/>
    </row>
    <row r="761" spans="17:25" x14ac:dyDescent="0.3">
      <c r="Q761" s="53"/>
      <c r="R761" s="51"/>
      <c r="S761" s="51"/>
      <c r="T761" s="51"/>
      <c r="U761" s="51"/>
      <c r="V761" s="51"/>
      <c r="W761" s="51"/>
      <c r="Y761" s="53"/>
    </row>
    <row r="762" spans="17:25" x14ac:dyDescent="0.3">
      <c r="Q762" s="53"/>
      <c r="R762" s="51"/>
      <c r="S762" s="51"/>
      <c r="T762" s="51"/>
      <c r="U762" s="51"/>
      <c r="V762" s="51"/>
      <c r="W762" s="51"/>
      <c r="Y762" s="53"/>
    </row>
    <row r="763" spans="17:25" x14ac:dyDescent="0.3">
      <c r="Q763" s="53"/>
      <c r="R763" s="51"/>
      <c r="S763" s="51"/>
      <c r="T763" s="51"/>
      <c r="U763" s="51"/>
      <c r="V763" s="51"/>
      <c r="W763" s="51"/>
      <c r="Y763" s="53"/>
    </row>
    <row r="764" spans="17:25" x14ac:dyDescent="0.3">
      <c r="Q764" s="53"/>
      <c r="R764" s="51"/>
      <c r="S764" s="51"/>
      <c r="T764" s="51"/>
      <c r="U764" s="51"/>
      <c r="V764" s="51"/>
      <c r="W764" s="51"/>
      <c r="Y764" s="53"/>
    </row>
    <row r="765" spans="17:25" x14ac:dyDescent="0.3">
      <c r="Q765" s="53"/>
      <c r="R765" s="51"/>
      <c r="S765" s="51"/>
      <c r="T765" s="51"/>
      <c r="U765" s="51"/>
      <c r="V765" s="51"/>
      <c r="W765" s="51"/>
      <c r="Y765" s="53"/>
    </row>
    <row r="766" spans="17:25" x14ac:dyDescent="0.3">
      <c r="Q766" s="53"/>
      <c r="R766" s="51"/>
      <c r="S766" s="51"/>
      <c r="T766" s="51"/>
      <c r="U766" s="51"/>
      <c r="V766" s="51"/>
      <c r="W766" s="51"/>
      <c r="Y766" s="53"/>
    </row>
    <row r="767" spans="17:25" x14ac:dyDescent="0.3">
      <c r="Q767" s="53"/>
      <c r="R767" s="51"/>
      <c r="S767" s="51"/>
      <c r="T767" s="51"/>
      <c r="U767" s="51"/>
      <c r="V767" s="51"/>
      <c r="W767" s="51"/>
      <c r="Y767" s="53"/>
    </row>
    <row r="768" spans="17:25" x14ac:dyDescent="0.3">
      <c r="Q768" s="53"/>
      <c r="R768" s="51"/>
      <c r="S768" s="51"/>
      <c r="T768" s="51"/>
      <c r="U768" s="51"/>
      <c r="V768" s="51"/>
      <c r="W768" s="51"/>
      <c r="Y768" s="53"/>
    </row>
    <row r="769" spans="17:25" x14ac:dyDescent="0.3">
      <c r="Q769" s="53"/>
      <c r="R769" s="51"/>
      <c r="S769" s="51"/>
      <c r="T769" s="51"/>
      <c r="U769" s="51"/>
      <c r="V769" s="51"/>
      <c r="W769" s="51"/>
      <c r="Y769" s="53"/>
    </row>
    <row r="770" spans="17:25" x14ac:dyDescent="0.3">
      <c r="Q770" s="53"/>
      <c r="R770" s="51"/>
      <c r="S770" s="51"/>
      <c r="T770" s="51"/>
      <c r="U770" s="51"/>
      <c r="V770" s="51"/>
      <c r="W770" s="51"/>
      <c r="Y770" s="53"/>
    </row>
    <row r="771" spans="17:25" x14ac:dyDescent="0.3">
      <c r="Q771" s="53"/>
      <c r="R771" s="51"/>
      <c r="S771" s="51"/>
      <c r="T771" s="51"/>
      <c r="U771" s="51"/>
      <c r="V771" s="51"/>
      <c r="W771" s="51"/>
      <c r="Y771" s="53"/>
    </row>
    <row r="772" spans="17:25" x14ac:dyDescent="0.3">
      <c r="Q772" s="53"/>
      <c r="R772" s="51"/>
      <c r="S772" s="51"/>
      <c r="T772" s="51"/>
      <c r="U772" s="51"/>
      <c r="V772" s="51"/>
      <c r="W772" s="51"/>
      <c r="Y772" s="53"/>
    </row>
    <row r="773" spans="17:25" x14ac:dyDescent="0.3">
      <c r="Q773" s="53"/>
      <c r="R773" s="51"/>
      <c r="S773" s="51"/>
      <c r="T773" s="51"/>
      <c r="U773" s="51"/>
      <c r="V773" s="51"/>
      <c r="W773" s="51"/>
      <c r="Y773" s="53"/>
    </row>
    <row r="774" spans="17:25" x14ac:dyDescent="0.3">
      <c r="Q774" s="53"/>
      <c r="R774" s="51"/>
      <c r="S774" s="51"/>
      <c r="T774" s="51"/>
      <c r="U774" s="51"/>
      <c r="V774" s="51"/>
      <c r="W774" s="51"/>
      <c r="Y774" s="53"/>
    </row>
    <row r="775" spans="17:25" x14ac:dyDescent="0.3">
      <c r="Q775" s="53"/>
      <c r="R775" s="51"/>
      <c r="S775" s="51"/>
      <c r="T775" s="51"/>
      <c r="U775" s="51"/>
      <c r="V775" s="51"/>
      <c r="W775" s="51"/>
      <c r="Y775" s="53"/>
    </row>
    <row r="776" spans="17:25" x14ac:dyDescent="0.3">
      <c r="Q776" s="53"/>
      <c r="R776" s="51"/>
      <c r="S776" s="51"/>
      <c r="T776" s="51"/>
      <c r="U776" s="51"/>
      <c r="V776" s="51"/>
      <c r="W776" s="51"/>
      <c r="Y776" s="53"/>
    </row>
    <row r="777" spans="17:25" x14ac:dyDescent="0.3">
      <c r="Q777" s="53"/>
      <c r="R777" s="51"/>
      <c r="S777" s="51"/>
      <c r="T777" s="51"/>
      <c r="U777" s="51"/>
      <c r="V777" s="51"/>
      <c r="W777" s="51"/>
      <c r="Y777" s="53"/>
    </row>
    <row r="778" spans="17:25" x14ac:dyDescent="0.3">
      <c r="Q778" s="53"/>
      <c r="R778" s="51"/>
      <c r="S778" s="51"/>
      <c r="T778" s="51"/>
      <c r="U778" s="51"/>
      <c r="V778" s="51"/>
      <c r="W778" s="51"/>
      <c r="Y778" s="53"/>
    </row>
    <row r="779" spans="17:25" x14ac:dyDescent="0.3">
      <c r="Q779" s="53"/>
      <c r="R779" s="51"/>
      <c r="S779" s="51"/>
      <c r="T779" s="51"/>
      <c r="U779" s="51"/>
      <c r="V779" s="51"/>
      <c r="W779" s="51"/>
      <c r="Y779" s="53"/>
    </row>
    <row r="780" spans="17:25" x14ac:dyDescent="0.3">
      <c r="Q780" s="53"/>
      <c r="R780" s="51"/>
      <c r="S780" s="51"/>
      <c r="T780" s="51"/>
      <c r="U780" s="51"/>
      <c r="V780" s="51"/>
      <c r="W780" s="51"/>
      <c r="Y780" s="53"/>
    </row>
    <row r="781" spans="17:25" x14ac:dyDescent="0.3">
      <c r="Q781" s="53"/>
      <c r="R781" s="51"/>
      <c r="S781" s="51"/>
      <c r="T781" s="51"/>
      <c r="U781" s="51"/>
      <c r="V781" s="51"/>
      <c r="W781" s="51"/>
      <c r="Y781" s="53"/>
    </row>
    <row r="782" spans="17:25" x14ac:dyDescent="0.3">
      <c r="Q782" s="53"/>
      <c r="R782" s="51"/>
      <c r="S782" s="51"/>
      <c r="T782" s="51"/>
      <c r="U782" s="51"/>
      <c r="V782" s="51"/>
      <c r="W782" s="51"/>
      <c r="Y782" s="53"/>
    </row>
    <row r="783" spans="17:25" x14ac:dyDescent="0.3">
      <c r="Q783" s="53"/>
      <c r="R783" s="51"/>
      <c r="S783" s="51"/>
      <c r="T783" s="51"/>
      <c r="U783" s="51"/>
      <c r="V783" s="51"/>
      <c r="W783" s="51"/>
      <c r="Y783" s="53"/>
    </row>
    <row r="784" spans="17:25" x14ac:dyDescent="0.3">
      <c r="Q784" s="53"/>
      <c r="R784" s="51"/>
      <c r="S784" s="51"/>
      <c r="T784" s="51"/>
      <c r="U784" s="51"/>
      <c r="V784" s="51"/>
      <c r="W784" s="51"/>
      <c r="Y784" s="53"/>
    </row>
    <row r="785" spans="17:25" x14ac:dyDescent="0.3">
      <c r="Q785" s="53"/>
      <c r="R785" s="51"/>
      <c r="S785" s="51"/>
      <c r="T785" s="51"/>
      <c r="U785" s="51"/>
      <c r="V785" s="51"/>
      <c r="W785" s="51"/>
      <c r="Y785" s="53"/>
    </row>
    <row r="786" spans="17:25" x14ac:dyDescent="0.3">
      <c r="Q786" s="53"/>
      <c r="R786" s="51"/>
      <c r="S786" s="51"/>
      <c r="T786" s="51"/>
      <c r="U786" s="51"/>
      <c r="V786" s="51"/>
      <c r="W786" s="51"/>
      <c r="Y786" s="53"/>
    </row>
    <row r="787" spans="17:25" x14ac:dyDescent="0.3">
      <c r="Q787" s="53"/>
      <c r="R787" s="51"/>
      <c r="S787" s="51"/>
      <c r="T787" s="51"/>
      <c r="U787" s="51"/>
      <c r="V787" s="51"/>
      <c r="W787" s="51"/>
      <c r="Y787" s="53"/>
    </row>
    <row r="788" spans="17:25" x14ac:dyDescent="0.3">
      <c r="Q788" s="53"/>
      <c r="R788" s="51"/>
      <c r="S788" s="51"/>
      <c r="T788" s="51"/>
      <c r="U788" s="51"/>
      <c r="V788" s="51"/>
      <c r="W788" s="51"/>
      <c r="Y788" s="53"/>
    </row>
    <row r="789" spans="17:25" x14ac:dyDescent="0.3">
      <c r="Q789" s="53"/>
      <c r="R789" s="51"/>
      <c r="S789" s="51"/>
      <c r="T789" s="51"/>
      <c r="U789" s="51"/>
      <c r="V789" s="51"/>
      <c r="W789" s="51"/>
      <c r="Y789" s="53"/>
    </row>
    <row r="790" spans="17:25" x14ac:dyDescent="0.3">
      <c r="Q790" s="53"/>
      <c r="R790" s="51"/>
      <c r="S790" s="51"/>
      <c r="T790" s="51"/>
      <c r="U790" s="51"/>
      <c r="V790" s="51"/>
      <c r="W790" s="51"/>
      <c r="Y790" s="53"/>
    </row>
    <row r="791" spans="17:25" x14ac:dyDescent="0.3">
      <c r="Q791" s="53"/>
      <c r="R791" s="51"/>
      <c r="S791" s="51"/>
      <c r="T791" s="51"/>
      <c r="U791" s="51"/>
      <c r="V791" s="51"/>
      <c r="W791" s="51"/>
      <c r="Y791" s="53"/>
    </row>
    <row r="792" spans="17:25" x14ac:dyDescent="0.3">
      <c r="Q792" s="53"/>
      <c r="R792" s="51"/>
      <c r="S792" s="51"/>
      <c r="T792" s="51"/>
      <c r="U792" s="51"/>
      <c r="V792" s="51"/>
      <c r="W792" s="51"/>
      <c r="Y792" s="53"/>
    </row>
    <row r="793" spans="17:25" x14ac:dyDescent="0.3">
      <c r="Q793" s="53"/>
      <c r="R793" s="51"/>
      <c r="S793" s="51"/>
      <c r="T793" s="51"/>
      <c r="U793" s="51"/>
      <c r="V793" s="51"/>
      <c r="W793" s="51"/>
      <c r="Y793" s="53"/>
    </row>
    <row r="794" spans="17:25" x14ac:dyDescent="0.3">
      <c r="Q794" s="53"/>
      <c r="R794" s="51"/>
      <c r="S794" s="51"/>
      <c r="T794" s="51"/>
      <c r="U794" s="51"/>
      <c r="V794" s="51"/>
      <c r="W794" s="51"/>
      <c r="Y794" s="53"/>
    </row>
    <row r="795" spans="17:25" x14ac:dyDescent="0.3">
      <c r="Q795" s="53"/>
      <c r="R795" s="51"/>
      <c r="S795" s="51"/>
      <c r="T795" s="51"/>
      <c r="U795" s="51"/>
      <c r="V795" s="51"/>
      <c r="W795" s="51"/>
      <c r="Y795" s="53"/>
    </row>
    <row r="796" spans="17:25" x14ac:dyDescent="0.3">
      <c r="Q796" s="53"/>
      <c r="R796" s="51"/>
      <c r="S796" s="51"/>
      <c r="T796" s="51"/>
      <c r="U796" s="51"/>
      <c r="V796" s="51"/>
      <c r="W796" s="51"/>
      <c r="Y796" s="53"/>
    </row>
    <row r="797" spans="17:25" x14ac:dyDescent="0.3">
      <c r="Q797" s="53"/>
      <c r="R797" s="51"/>
      <c r="S797" s="51"/>
      <c r="T797" s="51"/>
      <c r="U797" s="51"/>
      <c r="V797" s="51"/>
      <c r="W797" s="51"/>
      <c r="Y797" s="53"/>
    </row>
    <row r="798" spans="17:25" x14ac:dyDescent="0.3">
      <c r="Q798" s="53"/>
      <c r="R798" s="51"/>
      <c r="S798" s="51"/>
      <c r="T798" s="51"/>
      <c r="U798" s="51"/>
      <c r="V798" s="51"/>
      <c r="W798" s="51"/>
      <c r="Y798" s="53"/>
    </row>
    <row r="799" spans="17:25" x14ac:dyDescent="0.3">
      <c r="Q799" s="53"/>
      <c r="R799" s="51"/>
      <c r="S799" s="51"/>
      <c r="T799" s="51"/>
      <c r="U799" s="51"/>
      <c r="V799" s="51"/>
      <c r="W799" s="51"/>
      <c r="Y799" s="53"/>
    </row>
    <row r="800" spans="17:25" x14ac:dyDescent="0.3">
      <c r="Q800" s="53"/>
      <c r="R800" s="51"/>
      <c r="S800" s="51"/>
      <c r="T800" s="51"/>
      <c r="U800" s="51"/>
      <c r="V800" s="51"/>
      <c r="W800" s="51"/>
      <c r="Y800" s="53"/>
    </row>
    <row r="801" spans="17:25" x14ac:dyDescent="0.3">
      <c r="Q801" s="53"/>
      <c r="R801" s="51"/>
      <c r="S801" s="51"/>
      <c r="T801" s="51"/>
      <c r="U801" s="51"/>
      <c r="V801" s="51"/>
      <c r="W801" s="51"/>
      <c r="Y801" s="53"/>
    </row>
    <row r="802" spans="17:25" x14ac:dyDescent="0.3">
      <c r="Q802" s="53"/>
      <c r="R802" s="51"/>
      <c r="S802" s="51"/>
      <c r="T802" s="51"/>
      <c r="U802" s="51"/>
      <c r="V802" s="51"/>
      <c r="W802" s="51"/>
      <c r="Y802" s="53"/>
    </row>
    <row r="803" spans="17:25" x14ac:dyDescent="0.3">
      <c r="Q803" s="53"/>
      <c r="R803" s="51"/>
      <c r="S803" s="51"/>
      <c r="T803" s="51"/>
      <c r="U803" s="51"/>
      <c r="V803" s="51"/>
      <c r="W803" s="51"/>
      <c r="Y803" s="53"/>
    </row>
    <row r="804" spans="17:25" x14ac:dyDescent="0.3">
      <c r="Q804" s="53"/>
      <c r="R804" s="51"/>
      <c r="S804" s="51"/>
      <c r="T804" s="51"/>
      <c r="U804" s="51"/>
      <c r="V804" s="51"/>
      <c r="W804" s="51"/>
      <c r="Y804" s="53"/>
    </row>
    <row r="805" spans="17:25" x14ac:dyDescent="0.3">
      <c r="Q805" s="53"/>
      <c r="R805" s="51"/>
      <c r="S805" s="51"/>
      <c r="T805" s="51"/>
      <c r="U805" s="51"/>
      <c r="V805" s="51"/>
      <c r="W805" s="51"/>
      <c r="Y805" s="53"/>
    </row>
    <row r="806" spans="17:25" x14ac:dyDescent="0.3">
      <c r="Q806" s="53"/>
      <c r="R806" s="51"/>
      <c r="S806" s="51"/>
      <c r="T806" s="51"/>
      <c r="U806" s="51"/>
      <c r="V806" s="51"/>
      <c r="W806" s="51"/>
      <c r="Y806" s="53"/>
    </row>
    <row r="807" spans="17:25" x14ac:dyDescent="0.3">
      <c r="Q807" s="53"/>
      <c r="R807" s="51"/>
      <c r="S807" s="51"/>
      <c r="T807" s="51"/>
      <c r="U807" s="51"/>
      <c r="V807" s="51"/>
      <c r="W807" s="51"/>
      <c r="Y807" s="53"/>
    </row>
    <row r="808" spans="17:25" x14ac:dyDescent="0.3">
      <c r="Q808" s="53"/>
      <c r="R808" s="51"/>
      <c r="S808" s="51"/>
      <c r="T808" s="51"/>
      <c r="U808" s="51"/>
      <c r="V808" s="51"/>
      <c r="W808" s="51"/>
      <c r="Y808" s="53"/>
    </row>
    <row r="809" spans="17:25" x14ac:dyDescent="0.3">
      <c r="Q809" s="53"/>
      <c r="R809" s="51"/>
      <c r="S809" s="51"/>
      <c r="T809" s="51"/>
      <c r="U809" s="51"/>
      <c r="V809" s="51"/>
      <c r="W809" s="51"/>
      <c r="Y809" s="53"/>
    </row>
    <row r="810" spans="17:25" x14ac:dyDescent="0.3">
      <c r="Q810" s="53"/>
      <c r="R810" s="51"/>
      <c r="S810" s="51"/>
      <c r="T810" s="51"/>
      <c r="U810" s="51"/>
      <c r="V810" s="51"/>
      <c r="W810" s="51"/>
      <c r="Y810" s="53"/>
    </row>
    <row r="811" spans="17:25" x14ac:dyDescent="0.3">
      <c r="Q811" s="53"/>
      <c r="R811" s="51"/>
      <c r="S811" s="51"/>
      <c r="T811" s="51"/>
      <c r="U811" s="51"/>
      <c r="V811" s="51"/>
      <c r="W811" s="51"/>
      <c r="Y811" s="53"/>
    </row>
    <row r="812" spans="17:25" x14ac:dyDescent="0.3">
      <c r="Q812" s="53"/>
      <c r="R812" s="51"/>
      <c r="S812" s="51"/>
      <c r="T812" s="51"/>
      <c r="U812" s="51"/>
      <c r="V812" s="51"/>
      <c r="W812" s="51"/>
      <c r="Y812" s="53"/>
    </row>
    <row r="813" spans="17:25" x14ac:dyDescent="0.3">
      <c r="Q813" s="53"/>
      <c r="R813" s="51"/>
      <c r="S813" s="51"/>
      <c r="T813" s="51"/>
      <c r="U813" s="51"/>
      <c r="V813" s="51"/>
      <c r="W813" s="51"/>
      <c r="Y813" s="53"/>
    </row>
    <row r="814" spans="17:25" x14ac:dyDescent="0.3">
      <c r="Q814" s="53"/>
      <c r="R814" s="51"/>
      <c r="S814" s="51"/>
      <c r="T814" s="51"/>
      <c r="U814" s="51"/>
      <c r="V814" s="51"/>
      <c r="W814" s="51"/>
      <c r="Y814" s="53"/>
    </row>
    <row r="815" spans="17:25" x14ac:dyDescent="0.3">
      <c r="Q815" s="53"/>
      <c r="R815" s="51"/>
      <c r="S815" s="51"/>
      <c r="T815" s="51"/>
      <c r="U815" s="51"/>
      <c r="V815" s="51"/>
      <c r="W815" s="51"/>
      <c r="Y815" s="53"/>
    </row>
    <row r="816" spans="17:25" x14ac:dyDescent="0.3">
      <c r="Q816" s="53"/>
      <c r="R816" s="51"/>
      <c r="S816" s="51"/>
      <c r="T816" s="51"/>
      <c r="U816" s="51"/>
      <c r="V816" s="51"/>
      <c r="W816" s="51"/>
      <c r="Y816" s="53"/>
    </row>
    <row r="817" spans="17:25" x14ac:dyDescent="0.3">
      <c r="Q817" s="53"/>
      <c r="R817" s="51"/>
      <c r="S817" s="51"/>
      <c r="T817" s="51"/>
      <c r="U817" s="51"/>
      <c r="V817" s="51"/>
      <c r="W817" s="51"/>
      <c r="Y817" s="53"/>
    </row>
    <row r="818" spans="17:25" x14ac:dyDescent="0.3">
      <c r="Q818" s="53"/>
      <c r="R818" s="51"/>
      <c r="S818" s="51"/>
      <c r="T818" s="51"/>
      <c r="U818" s="51"/>
      <c r="V818" s="51"/>
      <c r="W818" s="51"/>
      <c r="Y818" s="53"/>
    </row>
    <row r="819" spans="17:25" x14ac:dyDescent="0.3">
      <c r="Q819" s="53"/>
      <c r="R819" s="51"/>
      <c r="S819" s="51"/>
      <c r="T819" s="51"/>
      <c r="U819" s="51"/>
      <c r="V819" s="51"/>
      <c r="W819" s="51"/>
      <c r="Y819" s="53"/>
    </row>
    <row r="820" spans="17:25" x14ac:dyDescent="0.3">
      <c r="Q820" s="53"/>
      <c r="R820" s="51"/>
      <c r="S820" s="51"/>
      <c r="T820" s="51"/>
      <c r="U820" s="51"/>
      <c r="V820" s="51"/>
      <c r="W820" s="51"/>
      <c r="Y820" s="53"/>
    </row>
    <row r="821" spans="17:25" x14ac:dyDescent="0.3">
      <c r="Q821" s="53"/>
      <c r="R821" s="51"/>
      <c r="S821" s="51"/>
      <c r="T821" s="51"/>
      <c r="U821" s="51"/>
      <c r="V821" s="51"/>
      <c r="W821" s="51"/>
      <c r="Y821" s="53"/>
    </row>
    <row r="822" spans="17:25" x14ac:dyDescent="0.3">
      <c r="Q822" s="53"/>
      <c r="R822" s="51"/>
      <c r="S822" s="51"/>
      <c r="T822" s="51"/>
      <c r="U822" s="51"/>
      <c r="V822" s="51"/>
      <c r="W822" s="51"/>
      <c r="Y822" s="53"/>
    </row>
    <row r="823" spans="17:25" x14ac:dyDescent="0.3">
      <c r="Q823" s="53"/>
      <c r="R823" s="51"/>
      <c r="S823" s="51"/>
      <c r="T823" s="51"/>
      <c r="U823" s="51"/>
      <c r="V823" s="51"/>
      <c r="W823" s="51"/>
      <c r="Y823" s="53"/>
    </row>
    <row r="824" spans="17:25" x14ac:dyDescent="0.3">
      <c r="Q824" s="53"/>
      <c r="R824" s="51"/>
      <c r="S824" s="51"/>
      <c r="T824" s="51"/>
      <c r="U824" s="51"/>
      <c r="V824" s="51"/>
      <c r="W824" s="51"/>
      <c r="Y824" s="53"/>
    </row>
    <row r="825" spans="17:25" x14ac:dyDescent="0.3">
      <c r="Q825" s="53"/>
      <c r="R825" s="51"/>
      <c r="S825" s="51"/>
      <c r="T825" s="51"/>
      <c r="U825" s="51"/>
      <c r="V825" s="51"/>
      <c r="W825" s="51"/>
      <c r="Y825" s="53"/>
    </row>
    <row r="826" spans="17:25" x14ac:dyDescent="0.3">
      <c r="Q826" s="53"/>
      <c r="R826" s="51"/>
      <c r="S826" s="51"/>
      <c r="T826" s="51"/>
      <c r="U826" s="51"/>
      <c r="V826" s="51"/>
      <c r="W826" s="51"/>
      <c r="Y826" s="53"/>
    </row>
    <row r="827" spans="17:25" x14ac:dyDescent="0.3">
      <c r="Q827" s="53"/>
      <c r="R827" s="51"/>
      <c r="S827" s="51"/>
      <c r="T827" s="51"/>
      <c r="U827" s="51"/>
      <c r="V827" s="51"/>
      <c r="W827" s="51"/>
      <c r="Y827" s="53"/>
    </row>
    <row r="828" spans="17:25" x14ac:dyDescent="0.3">
      <c r="Q828" s="53"/>
      <c r="R828" s="51"/>
      <c r="S828" s="51"/>
      <c r="T828" s="51"/>
      <c r="U828" s="51"/>
      <c r="V828" s="51"/>
      <c r="W828" s="51"/>
      <c r="Y828" s="53"/>
    </row>
    <row r="829" spans="17:25" x14ac:dyDescent="0.3">
      <c r="Q829" s="53"/>
      <c r="R829" s="51"/>
      <c r="S829" s="51"/>
      <c r="T829" s="51"/>
      <c r="U829" s="51"/>
      <c r="V829" s="51"/>
      <c r="W829" s="51"/>
      <c r="Y829" s="53"/>
    </row>
    <row r="830" spans="17:25" x14ac:dyDescent="0.3">
      <c r="Q830" s="53"/>
      <c r="R830" s="51"/>
      <c r="S830" s="51"/>
      <c r="T830" s="51"/>
      <c r="U830" s="51"/>
      <c r="V830" s="51"/>
      <c r="W830" s="51"/>
      <c r="Y830" s="53"/>
    </row>
    <row r="831" spans="17:25" x14ac:dyDescent="0.3">
      <c r="Q831" s="53"/>
      <c r="R831" s="51"/>
      <c r="S831" s="51"/>
      <c r="T831" s="51"/>
      <c r="U831" s="51"/>
      <c r="V831" s="51"/>
      <c r="W831" s="51"/>
      <c r="Y831" s="53"/>
    </row>
    <row r="832" spans="17:25" x14ac:dyDescent="0.3">
      <c r="Q832" s="53"/>
      <c r="R832" s="51"/>
      <c r="S832" s="51"/>
      <c r="T832" s="51"/>
      <c r="U832" s="51"/>
      <c r="V832" s="51"/>
      <c r="W832" s="51"/>
      <c r="Y832" s="53"/>
    </row>
    <row r="833" spans="17:25" x14ac:dyDescent="0.3">
      <c r="Q833" s="53"/>
      <c r="R833" s="51"/>
      <c r="S833" s="51"/>
      <c r="T833" s="51"/>
      <c r="U833" s="51"/>
      <c r="V833" s="51"/>
      <c r="W833" s="51"/>
      <c r="Y833" s="53"/>
    </row>
    <row r="834" spans="17:25" x14ac:dyDescent="0.3">
      <c r="Q834" s="53"/>
      <c r="R834" s="51"/>
      <c r="S834" s="51"/>
      <c r="T834" s="51"/>
      <c r="U834" s="51"/>
      <c r="V834" s="51"/>
      <c r="W834" s="51"/>
      <c r="Y834" s="53"/>
    </row>
    <row r="835" spans="17:25" x14ac:dyDescent="0.3">
      <c r="Q835" s="53"/>
      <c r="R835" s="51"/>
      <c r="S835" s="51"/>
      <c r="T835" s="51"/>
      <c r="U835" s="51"/>
      <c r="V835" s="51"/>
      <c r="W835" s="51"/>
      <c r="Y835" s="53"/>
    </row>
    <row r="836" spans="17:25" x14ac:dyDescent="0.3">
      <c r="Q836" s="53"/>
      <c r="R836" s="51"/>
      <c r="S836" s="51"/>
      <c r="T836" s="51"/>
      <c r="U836" s="51"/>
      <c r="V836" s="51"/>
      <c r="W836" s="51"/>
      <c r="Y836" s="53"/>
    </row>
    <row r="837" spans="17:25" x14ac:dyDescent="0.3">
      <c r="Q837" s="53"/>
      <c r="R837" s="51"/>
      <c r="S837" s="51"/>
      <c r="T837" s="51"/>
      <c r="U837" s="51"/>
      <c r="V837" s="51"/>
      <c r="W837" s="51"/>
      <c r="Y837" s="53"/>
    </row>
    <row r="838" spans="17:25" x14ac:dyDescent="0.3">
      <c r="Q838" s="53"/>
      <c r="R838" s="51"/>
      <c r="S838" s="51"/>
      <c r="T838" s="51"/>
      <c r="U838" s="51"/>
      <c r="V838" s="51"/>
      <c r="W838" s="51"/>
      <c r="Y838" s="53"/>
    </row>
    <row r="839" spans="17:25" x14ac:dyDescent="0.3">
      <c r="Q839" s="53"/>
      <c r="R839" s="51"/>
      <c r="S839" s="51"/>
      <c r="T839" s="51"/>
      <c r="U839" s="51"/>
      <c r="V839" s="51"/>
      <c r="W839" s="51"/>
      <c r="Y839" s="53"/>
    </row>
    <row r="840" spans="17:25" x14ac:dyDescent="0.3">
      <c r="Q840" s="53"/>
      <c r="R840" s="51"/>
      <c r="S840" s="51"/>
      <c r="T840" s="51"/>
      <c r="U840" s="51"/>
      <c r="V840" s="51"/>
      <c r="W840" s="51"/>
      <c r="Y840" s="53"/>
    </row>
    <row r="841" spans="17:25" x14ac:dyDescent="0.3">
      <c r="Q841" s="53"/>
      <c r="R841" s="51"/>
      <c r="S841" s="51"/>
      <c r="T841" s="51"/>
      <c r="U841" s="51"/>
      <c r="V841" s="51"/>
      <c r="W841" s="51"/>
      <c r="Y841" s="53"/>
    </row>
    <row r="842" spans="17:25" x14ac:dyDescent="0.3">
      <c r="Q842" s="53"/>
      <c r="R842" s="51"/>
      <c r="S842" s="51"/>
      <c r="T842" s="51"/>
      <c r="U842" s="51"/>
      <c r="V842" s="51"/>
      <c r="W842" s="51"/>
      <c r="Y842" s="53"/>
    </row>
    <row r="843" spans="17:25" x14ac:dyDescent="0.3">
      <c r="Q843" s="53"/>
      <c r="R843" s="51"/>
      <c r="S843" s="51"/>
      <c r="T843" s="51"/>
      <c r="U843" s="51"/>
      <c r="V843" s="51"/>
      <c r="W843" s="51"/>
      <c r="Y843" s="53"/>
    </row>
    <row r="844" spans="17:25" x14ac:dyDescent="0.3">
      <c r="Q844" s="53"/>
      <c r="R844" s="51"/>
      <c r="S844" s="51"/>
      <c r="T844" s="51"/>
      <c r="U844" s="51"/>
      <c r="V844" s="51"/>
      <c r="W844" s="51"/>
      <c r="Y844" s="53"/>
    </row>
    <row r="845" spans="17:25" x14ac:dyDescent="0.3">
      <c r="Q845" s="53"/>
      <c r="R845" s="51"/>
      <c r="S845" s="51"/>
      <c r="T845" s="51"/>
      <c r="U845" s="51"/>
      <c r="V845" s="51"/>
      <c r="W845" s="51"/>
      <c r="Y845" s="53"/>
    </row>
    <row r="846" spans="17:25" x14ac:dyDescent="0.3">
      <c r="Q846" s="53"/>
      <c r="R846" s="51"/>
      <c r="S846" s="51"/>
      <c r="T846" s="51"/>
      <c r="U846" s="51"/>
      <c r="V846" s="51"/>
      <c r="W846" s="51"/>
      <c r="Y846" s="53"/>
    </row>
    <row r="847" spans="17:25" x14ac:dyDescent="0.3">
      <c r="Q847" s="53"/>
      <c r="R847" s="51"/>
      <c r="S847" s="51"/>
      <c r="T847" s="51"/>
      <c r="U847" s="51"/>
      <c r="V847" s="51"/>
      <c r="W847" s="51"/>
      <c r="Y847" s="53"/>
    </row>
    <row r="848" spans="17:25" x14ac:dyDescent="0.3">
      <c r="Q848" s="53"/>
      <c r="R848" s="51"/>
      <c r="S848" s="51"/>
      <c r="T848" s="51"/>
      <c r="U848" s="51"/>
      <c r="V848" s="51"/>
      <c r="W848" s="51"/>
      <c r="Y848" s="53"/>
    </row>
    <row r="849" spans="17:25" x14ac:dyDescent="0.3">
      <c r="Q849" s="53"/>
      <c r="R849" s="51"/>
      <c r="S849" s="51"/>
      <c r="T849" s="51"/>
      <c r="U849" s="51"/>
      <c r="V849" s="51"/>
      <c r="W849" s="51"/>
      <c r="Y849" s="53"/>
    </row>
    <row r="850" spans="17:25" x14ac:dyDescent="0.3">
      <c r="Q850" s="53"/>
      <c r="R850" s="51"/>
      <c r="S850" s="51"/>
      <c r="T850" s="51"/>
      <c r="U850" s="51"/>
      <c r="V850" s="51"/>
      <c r="W850" s="51"/>
      <c r="Y850" s="53"/>
    </row>
    <row r="851" spans="17:25" x14ac:dyDescent="0.3">
      <c r="Q851" s="53"/>
      <c r="R851" s="51"/>
      <c r="S851" s="51"/>
      <c r="T851" s="51"/>
      <c r="U851" s="51"/>
      <c r="V851" s="51"/>
      <c r="W851" s="51"/>
      <c r="Y851" s="53"/>
    </row>
    <row r="852" spans="17:25" x14ac:dyDescent="0.3">
      <c r="Q852" s="53"/>
      <c r="R852" s="51"/>
      <c r="S852" s="51"/>
      <c r="T852" s="51"/>
      <c r="U852" s="51"/>
      <c r="V852" s="51"/>
      <c r="W852" s="51"/>
      <c r="Y852" s="53"/>
    </row>
    <row r="853" spans="17:25" x14ac:dyDescent="0.3">
      <c r="Q853" s="53"/>
      <c r="R853" s="51"/>
      <c r="S853" s="51"/>
      <c r="T853" s="51"/>
      <c r="U853" s="51"/>
      <c r="V853" s="51"/>
      <c r="W853" s="51"/>
      <c r="Y853" s="53"/>
    </row>
    <row r="854" spans="17:25" x14ac:dyDescent="0.3">
      <c r="Q854" s="53"/>
      <c r="R854" s="51"/>
      <c r="S854" s="51"/>
      <c r="T854" s="51"/>
      <c r="U854" s="51"/>
      <c r="V854" s="51"/>
      <c r="W854" s="51"/>
      <c r="Y854" s="53"/>
    </row>
    <row r="855" spans="17:25" x14ac:dyDescent="0.3">
      <c r="Q855" s="53"/>
      <c r="R855" s="51"/>
      <c r="S855" s="51"/>
      <c r="T855" s="51"/>
      <c r="U855" s="51"/>
      <c r="V855" s="51"/>
      <c r="W855" s="51"/>
      <c r="Y855" s="53"/>
    </row>
    <row r="856" spans="17:25" x14ac:dyDescent="0.3">
      <c r="Q856" s="53"/>
      <c r="R856" s="51"/>
      <c r="S856" s="51"/>
      <c r="T856" s="51"/>
      <c r="U856" s="51"/>
      <c r="V856" s="51"/>
      <c r="W856" s="51"/>
      <c r="Y856" s="53"/>
    </row>
    <row r="857" spans="17:25" x14ac:dyDescent="0.3">
      <c r="Q857" s="53"/>
      <c r="R857" s="51"/>
      <c r="S857" s="51"/>
      <c r="T857" s="51"/>
      <c r="U857" s="51"/>
      <c r="V857" s="51"/>
      <c r="W857" s="51"/>
      <c r="Y857" s="53"/>
    </row>
    <row r="858" spans="17:25" x14ac:dyDescent="0.3">
      <c r="Q858" s="53"/>
      <c r="R858" s="51"/>
      <c r="S858" s="51"/>
      <c r="T858" s="51"/>
      <c r="U858" s="51"/>
      <c r="V858" s="51"/>
      <c r="W858" s="51"/>
      <c r="Y858" s="53"/>
    </row>
    <row r="859" spans="17:25" x14ac:dyDescent="0.3">
      <c r="Q859" s="53"/>
      <c r="R859" s="51"/>
      <c r="S859" s="51"/>
      <c r="T859" s="51"/>
      <c r="U859" s="51"/>
      <c r="V859" s="51"/>
      <c r="W859" s="51"/>
      <c r="Y859" s="53"/>
    </row>
    <row r="860" spans="17:25" x14ac:dyDescent="0.3">
      <c r="Q860" s="53"/>
      <c r="R860" s="51"/>
      <c r="S860" s="51"/>
      <c r="T860" s="51"/>
      <c r="U860" s="51"/>
      <c r="V860" s="51"/>
      <c r="W860" s="51"/>
      <c r="Y860" s="53"/>
    </row>
    <row r="861" spans="17:25" x14ac:dyDescent="0.3">
      <c r="Q861" s="53"/>
      <c r="R861" s="51"/>
      <c r="S861" s="51"/>
      <c r="T861" s="51"/>
      <c r="U861" s="51"/>
      <c r="V861" s="51"/>
      <c r="W861" s="51"/>
      <c r="Y861" s="53"/>
    </row>
    <row r="862" spans="17:25" x14ac:dyDescent="0.3">
      <c r="Q862" s="53"/>
      <c r="R862" s="51"/>
      <c r="S862" s="51"/>
      <c r="T862" s="51"/>
      <c r="U862" s="51"/>
      <c r="V862" s="51"/>
      <c r="W862" s="51"/>
      <c r="Y862" s="53"/>
    </row>
    <row r="863" spans="17:25" x14ac:dyDescent="0.3">
      <c r="Q863" s="53"/>
      <c r="R863" s="51"/>
      <c r="S863" s="51"/>
      <c r="T863" s="51"/>
      <c r="U863" s="51"/>
      <c r="V863" s="51"/>
      <c r="W863" s="51"/>
      <c r="Y863" s="53"/>
    </row>
    <row r="864" spans="17:25" x14ac:dyDescent="0.3">
      <c r="Q864" s="53"/>
      <c r="R864" s="51"/>
      <c r="S864" s="51"/>
      <c r="T864" s="51"/>
      <c r="U864" s="51"/>
      <c r="V864" s="51"/>
      <c r="W864" s="51"/>
      <c r="Y864" s="53"/>
    </row>
    <row r="865" spans="17:25" x14ac:dyDescent="0.3">
      <c r="Q865" s="53"/>
      <c r="R865" s="51"/>
      <c r="S865" s="51"/>
      <c r="T865" s="51"/>
      <c r="U865" s="51"/>
      <c r="V865" s="51"/>
      <c r="W865" s="51"/>
      <c r="Y865" s="53"/>
    </row>
    <row r="866" spans="17:25" x14ac:dyDescent="0.3">
      <c r="Q866" s="53"/>
      <c r="R866" s="51"/>
      <c r="S866" s="51"/>
      <c r="T866" s="51"/>
      <c r="U866" s="51"/>
      <c r="V866" s="51"/>
      <c r="W866" s="51"/>
      <c r="Y866" s="53"/>
    </row>
    <row r="867" spans="17:25" x14ac:dyDescent="0.3">
      <c r="Q867" s="53"/>
      <c r="R867" s="51"/>
      <c r="S867" s="51"/>
      <c r="T867" s="51"/>
      <c r="U867" s="51"/>
      <c r="V867" s="51"/>
      <c r="W867" s="51"/>
      <c r="Y867" s="53"/>
    </row>
    <row r="868" spans="17:25" x14ac:dyDescent="0.3">
      <c r="Q868" s="53"/>
      <c r="R868" s="51"/>
      <c r="S868" s="51"/>
      <c r="T868" s="51"/>
      <c r="U868" s="51"/>
      <c r="V868" s="51"/>
      <c r="W868" s="51"/>
      <c r="Y868" s="53"/>
    </row>
    <row r="869" spans="17:25" x14ac:dyDescent="0.3">
      <c r="Q869" s="53"/>
      <c r="R869" s="51"/>
      <c r="S869" s="51"/>
      <c r="T869" s="51"/>
      <c r="U869" s="51"/>
      <c r="V869" s="51"/>
      <c r="W869" s="51"/>
      <c r="Y869" s="53"/>
    </row>
    <row r="870" spans="17:25" x14ac:dyDescent="0.3">
      <c r="Q870" s="53"/>
      <c r="R870" s="51"/>
      <c r="S870" s="51"/>
      <c r="T870" s="51"/>
      <c r="U870" s="51"/>
      <c r="V870" s="51"/>
      <c r="W870" s="51"/>
      <c r="Y870" s="53"/>
    </row>
    <row r="871" spans="17:25" x14ac:dyDescent="0.3">
      <c r="Q871" s="53"/>
      <c r="R871" s="51"/>
      <c r="S871" s="51"/>
      <c r="T871" s="51"/>
      <c r="U871" s="51"/>
      <c r="V871" s="51"/>
      <c r="W871" s="51"/>
      <c r="Y871" s="53"/>
    </row>
    <row r="872" spans="17:25" x14ac:dyDescent="0.3">
      <c r="Q872" s="53"/>
      <c r="R872" s="51"/>
      <c r="S872" s="51"/>
      <c r="T872" s="51"/>
      <c r="U872" s="51"/>
      <c r="V872" s="51"/>
      <c r="W872" s="51"/>
      <c r="Y872" s="53"/>
    </row>
    <row r="873" spans="17:25" x14ac:dyDescent="0.3">
      <c r="Q873" s="53"/>
      <c r="R873" s="51"/>
      <c r="S873" s="51"/>
      <c r="T873" s="51"/>
      <c r="U873" s="51"/>
      <c r="V873" s="51"/>
      <c r="W873" s="51"/>
      <c r="Y873" s="53"/>
    </row>
    <row r="874" spans="17:25" x14ac:dyDescent="0.3">
      <c r="Q874" s="53"/>
      <c r="R874" s="51"/>
      <c r="S874" s="51"/>
      <c r="T874" s="51"/>
      <c r="U874" s="51"/>
      <c r="V874" s="51"/>
      <c r="W874" s="51"/>
      <c r="Y874" s="53"/>
    </row>
    <row r="875" spans="17:25" x14ac:dyDescent="0.3">
      <c r="Q875" s="53"/>
      <c r="R875" s="51"/>
      <c r="S875" s="51"/>
      <c r="T875" s="51"/>
      <c r="U875" s="51"/>
      <c r="V875" s="51"/>
      <c r="W875" s="51"/>
      <c r="Y875" s="53"/>
    </row>
    <row r="876" spans="17:25" x14ac:dyDescent="0.3">
      <c r="Q876" s="53"/>
      <c r="R876" s="51"/>
      <c r="S876" s="51"/>
      <c r="T876" s="51"/>
      <c r="U876" s="51"/>
      <c r="V876" s="51"/>
      <c r="W876" s="51"/>
      <c r="Y876" s="53"/>
    </row>
    <row r="877" spans="17:25" x14ac:dyDescent="0.3">
      <c r="Q877" s="53"/>
      <c r="R877" s="51"/>
      <c r="S877" s="51"/>
      <c r="T877" s="51"/>
      <c r="U877" s="51"/>
      <c r="V877" s="51"/>
      <c r="W877" s="51"/>
      <c r="Y877" s="53"/>
    </row>
    <row r="878" spans="17:25" x14ac:dyDescent="0.3">
      <c r="Q878" s="53"/>
      <c r="R878" s="51"/>
      <c r="S878" s="51"/>
      <c r="T878" s="51"/>
      <c r="U878" s="51"/>
      <c r="V878" s="51"/>
      <c r="W878" s="51"/>
      <c r="Y878" s="53"/>
    </row>
    <row r="879" spans="17:25" x14ac:dyDescent="0.3">
      <c r="Q879" s="53"/>
      <c r="R879" s="51"/>
      <c r="S879" s="51"/>
      <c r="T879" s="51"/>
      <c r="U879" s="51"/>
      <c r="V879" s="51"/>
      <c r="W879" s="51"/>
      <c r="Y879" s="53"/>
    </row>
    <row r="880" spans="17:25" x14ac:dyDescent="0.3">
      <c r="Q880" s="53"/>
      <c r="R880" s="51"/>
      <c r="S880" s="51"/>
      <c r="T880" s="51"/>
      <c r="U880" s="51"/>
      <c r="V880" s="51"/>
      <c r="W880" s="51"/>
      <c r="Y880" s="53"/>
    </row>
    <row r="881" spans="17:25" x14ac:dyDescent="0.3">
      <c r="Q881" s="53"/>
      <c r="R881" s="51"/>
      <c r="S881" s="51"/>
      <c r="T881" s="51"/>
      <c r="U881" s="51"/>
      <c r="V881" s="51"/>
      <c r="W881" s="51"/>
      <c r="Y881" s="53"/>
    </row>
    <row r="882" spans="17:25" x14ac:dyDescent="0.3">
      <c r="Q882" s="53"/>
      <c r="R882" s="51"/>
      <c r="S882" s="51"/>
      <c r="T882" s="51"/>
      <c r="U882" s="51"/>
      <c r="V882" s="51"/>
      <c r="W882" s="51"/>
      <c r="Y882" s="53"/>
    </row>
    <row r="883" spans="17:25" x14ac:dyDescent="0.3">
      <c r="Q883" s="53"/>
      <c r="R883" s="51"/>
      <c r="S883" s="51"/>
      <c r="T883" s="51"/>
      <c r="U883" s="51"/>
      <c r="V883" s="51"/>
      <c r="W883" s="51"/>
      <c r="Y883" s="53"/>
    </row>
    <row r="884" spans="17:25" x14ac:dyDescent="0.3">
      <c r="Q884" s="53"/>
      <c r="R884" s="51"/>
      <c r="S884" s="51"/>
      <c r="T884" s="51"/>
      <c r="U884" s="51"/>
      <c r="V884" s="51"/>
      <c r="W884" s="51"/>
      <c r="Y884" s="53"/>
    </row>
    <row r="885" spans="17:25" x14ac:dyDescent="0.3">
      <c r="Q885" s="53"/>
      <c r="R885" s="51"/>
      <c r="S885" s="51"/>
      <c r="T885" s="51"/>
      <c r="U885" s="51"/>
      <c r="V885" s="51"/>
      <c r="W885" s="51"/>
      <c r="Y885" s="53"/>
    </row>
    <row r="886" spans="17:25" x14ac:dyDescent="0.3">
      <c r="Q886" s="53"/>
      <c r="R886" s="51"/>
      <c r="S886" s="51"/>
      <c r="T886" s="51"/>
      <c r="U886" s="51"/>
      <c r="V886" s="51"/>
      <c r="W886" s="51"/>
      <c r="Y886" s="53"/>
    </row>
    <row r="887" spans="17:25" x14ac:dyDescent="0.3">
      <c r="Q887" s="53"/>
      <c r="R887" s="51"/>
      <c r="S887" s="51"/>
      <c r="T887" s="51"/>
      <c r="U887" s="51"/>
      <c r="V887" s="51"/>
      <c r="W887" s="51"/>
      <c r="Y887" s="53"/>
    </row>
    <row r="888" spans="17:25" x14ac:dyDescent="0.3">
      <c r="Q888" s="53"/>
      <c r="R888" s="51"/>
      <c r="S888" s="51"/>
      <c r="T888" s="51"/>
      <c r="U888" s="51"/>
      <c r="V888" s="51"/>
      <c r="W888" s="51"/>
      <c r="Y888" s="53"/>
    </row>
    <row r="889" spans="17:25" x14ac:dyDescent="0.3">
      <c r="Q889" s="53"/>
      <c r="R889" s="51"/>
      <c r="S889" s="51"/>
      <c r="T889" s="51"/>
      <c r="U889" s="51"/>
      <c r="V889" s="51"/>
      <c r="W889" s="51"/>
      <c r="Y889" s="53"/>
    </row>
    <row r="890" spans="17:25" x14ac:dyDescent="0.3">
      <c r="Q890" s="53"/>
      <c r="R890" s="51"/>
      <c r="S890" s="51"/>
      <c r="T890" s="51"/>
      <c r="U890" s="51"/>
      <c r="V890" s="51"/>
      <c r="W890" s="51"/>
      <c r="Y890" s="53"/>
    </row>
    <row r="891" spans="17:25" x14ac:dyDescent="0.3">
      <c r="Q891" s="53"/>
      <c r="R891" s="51"/>
      <c r="S891" s="51"/>
      <c r="T891" s="51"/>
      <c r="U891" s="51"/>
      <c r="V891" s="51"/>
      <c r="W891" s="51"/>
      <c r="Y891" s="53"/>
    </row>
    <row r="892" spans="17:25" x14ac:dyDescent="0.3">
      <c r="Q892" s="53"/>
      <c r="R892" s="51"/>
      <c r="S892" s="51"/>
      <c r="T892" s="51"/>
      <c r="U892" s="51"/>
      <c r="V892" s="51"/>
      <c r="W892" s="51"/>
      <c r="Y892" s="53"/>
    </row>
    <row r="893" spans="17:25" x14ac:dyDescent="0.3">
      <c r="Q893" s="53"/>
      <c r="R893" s="51"/>
      <c r="S893" s="51"/>
      <c r="T893" s="51"/>
      <c r="U893" s="51"/>
      <c r="V893" s="51"/>
      <c r="W893" s="51"/>
      <c r="Y893" s="53"/>
    </row>
    <row r="894" spans="17:25" x14ac:dyDescent="0.3">
      <c r="Q894" s="53"/>
      <c r="R894" s="51"/>
      <c r="S894" s="51"/>
      <c r="T894" s="51"/>
      <c r="U894" s="51"/>
      <c r="V894" s="51"/>
      <c r="W894" s="51"/>
      <c r="Y894" s="53"/>
    </row>
    <row r="895" spans="17:25" x14ac:dyDescent="0.3">
      <c r="Q895" s="53"/>
      <c r="R895" s="51"/>
      <c r="S895" s="51"/>
      <c r="T895" s="51"/>
      <c r="U895" s="51"/>
      <c r="V895" s="51"/>
      <c r="W895" s="51"/>
      <c r="Y895" s="53"/>
    </row>
    <row r="896" spans="17:25" x14ac:dyDescent="0.3">
      <c r="Q896" s="53"/>
      <c r="R896" s="51"/>
      <c r="S896" s="51"/>
      <c r="T896" s="51"/>
      <c r="U896" s="51"/>
      <c r="V896" s="51"/>
      <c r="W896" s="51"/>
      <c r="Y896" s="53"/>
    </row>
    <row r="897" spans="17:25" x14ac:dyDescent="0.3">
      <c r="Q897" s="53"/>
      <c r="R897" s="51"/>
      <c r="S897" s="51"/>
      <c r="T897" s="51"/>
      <c r="U897" s="51"/>
      <c r="V897" s="51"/>
      <c r="W897" s="51"/>
      <c r="Y897" s="53"/>
    </row>
    <row r="898" spans="17:25" x14ac:dyDescent="0.3">
      <c r="Q898" s="53"/>
      <c r="R898" s="51"/>
      <c r="S898" s="51"/>
      <c r="T898" s="51"/>
      <c r="U898" s="51"/>
      <c r="V898" s="51"/>
      <c r="W898" s="51"/>
      <c r="Y898" s="53"/>
    </row>
    <row r="899" spans="17:25" x14ac:dyDescent="0.3">
      <c r="Q899" s="53"/>
      <c r="R899" s="51"/>
      <c r="S899" s="51"/>
      <c r="T899" s="51"/>
      <c r="U899" s="51"/>
      <c r="V899" s="51"/>
      <c r="W899" s="51"/>
      <c r="Y899" s="53"/>
    </row>
    <row r="900" spans="17:25" x14ac:dyDescent="0.3">
      <c r="Q900" s="53"/>
      <c r="R900" s="51"/>
      <c r="S900" s="51"/>
      <c r="T900" s="51"/>
      <c r="U900" s="51"/>
      <c r="V900" s="51"/>
      <c r="W900" s="51"/>
      <c r="Y900" s="53"/>
    </row>
    <row r="901" spans="17:25" x14ac:dyDescent="0.3">
      <c r="Q901" s="53"/>
      <c r="R901" s="51"/>
      <c r="S901" s="51"/>
      <c r="T901" s="51"/>
      <c r="U901" s="51"/>
      <c r="V901" s="51"/>
      <c r="W901" s="51"/>
      <c r="Y901" s="53"/>
    </row>
    <row r="902" spans="17:25" x14ac:dyDescent="0.3">
      <c r="Q902" s="53"/>
      <c r="R902" s="51"/>
      <c r="S902" s="51"/>
      <c r="T902" s="51"/>
      <c r="U902" s="51"/>
      <c r="V902" s="51"/>
      <c r="W902" s="51"/>
      <c r="Y902" s="53"/>
    </row>
    <row r="903" spans="17:25" x14ac:dyDescent="0.3">
      <c r="Q903" s="53"/>
      <c r="R903" s="51"/>
      <c r="S903" s="51"/>
      <c r="T903" s="51"/>
      <c r="U903" s="51"/>
      <c r="V903" s="51"/>
      <c r="W903" s="51"/>
      <c r="Y903" s="53"/>
    </row>
    <row r="904" spans="17:25" x14ac:dyDescent="0.3">
      <c r="Q904" s="53"/>
      <c r="R904" s="51"/>
      <c r="S904" s="51"/>
      <c r="T904" s="51"/>
      <c r="U904" s="51"/>
      <c r="V904" s="51"/>
      <c r="W904" s="51"/>
      <c r="Y904" s="53"/>
    </row>
    <row r="905" spans="17:25" x14ac:dyDescent="0.3">
      <c r="Q905" s="53"/>
      <c r="R905" s="51"/>
      <c r="S905" s="51"/>
      <c r="T905" s="51"/>
      <c r="U905" s="51"/>
      <c r="V905" s="51"/>
      <c r="W905" s="51"/>
      <c r="Y905" s="53"/>
    </row>
    <row r="906" spans="17:25" x14ac:dyDescent="0.3">
      <c r="Q906" s="53"/>
      <c r="R906" s="51"/>
      <c r="S906" s="51"/>
      <c r="T906" s="51"/>
      <c r="U906" s="51"/>
      <c r="V906" s="51"/>
      <c r="W906" s="51"/>
      <c r="Y906" s="53"/>
    </row>
    <row r="907" spans="17:25" x14ac:dyDescent="0.3">
      <c r="Q907" s="53"/>
      <c r="R907" s="51"/>
      <c r="S907" s="51"/>
      <c r="T907" s="51"/>
      <c r="U907" s="51"/>
      <c r="V907" s="51"/>
      <c r="W907" s="51"/>
      <c r="Y907" s="53"/>
    </row>
    <row r="908" spans="17:25" x14ac:dyDescent="0.3">
      <c r="Q908" s="53"/>
      <c r="R908" s="51"/>
      <c r="S908" s="51"/>
      <c r="T908" s="51"/>
      <c r="U908" s="51"/>
      <c r="V908" s="51"/>
      <c r="W908" s="51"/>
      <c r="Y908" s="53"/>
    </row>
    <row r="909" spans="17:25" x14ac:dyDescent="0.3">
      <c r="Q909" s="53"/>
      <c r="R909" s="51"/>
      <c r="S909" s="51"/>
      <c r="T909" s="51"/>
      <c r="U909" s="51"/>
      <c r="V909" s="51"/>
      <c r="W909" s="51"/>
      <c r="Y909" s="53"/>
    </row>
    <row r="910" spans="17:25" x14ac:dyDescent="0.3">
      <c r="Q910" s="53"/>
      <c r="R910" s="51"/>
      <c r="S910" s="51"/>
      <c r="T910" s="51"/>
      <c r="U910" s="51"/>
      <c r="V910" s="51"/>
      <c r="W910" s="51"/>
      <c r="Y910" s="53"/>
    </row>
    <row r="911" spans="17:25" x14ac:dyDescent="0.3">
      <c r="Q911" s="53"/>
      <c r="R911" s="51"/>
      <c r="S911" s="51"/>
      <c r="T911" s="51"/>
      <c r="U911" s="51"/>
      <c r="V911" s="51"/>
      <c r="W911" s="51"/>
      <c r="Y911" s="53"/>
    </row>
    <row r="912" spans="17:25" x14ac:dyDescent="0.3">
      <c r="Q912" s="53"/>
      <c r="R912" s="51"/>
      <c r="S912" s="51"/>
      <c r="T912" s="51"/>
      <c r="U912" s="51"/>
      <c r="V912" s="51"/>
      <c r="W912" s="51"/>
      <c r="Y912" s="53"/>
    </row>
    <row r="913" spans="17:25" x14ac:dyDescent="0.3">
      <c r="Q913" s="53"/>
      <c r="R913" s="51"/>
      <c r="S913" s="51"/>
      <c r="T913" s="51"/>
      <c r="U913" s="51"/>
      <c r="V913" s="51"/>
      <c r="W913" s="51"/>
      <c r="Y913" s="53"/>
    </row>
    <row r="914" spans="17:25" x14ac:dyDescent="0.3">
      <c r="Q914" s="53"/>
      <c r="R914" s="51"/>
      <c r="S914" s="51"/>
      <c r="T914" s="51"/>
      <c r="U914" s="51"/>
      <c r="V914" s="51"/>
      <c r="W914" s="51"/>
      <c r="Y914" s="53"/>
    </row>
    <row r="915" spans="17:25" x14ac:dyDescent="0.3">
      <c r="Q915" s="53"/>
      <c r="R915" s="51"/>
      <c r="S915" s="51"/>
      <c r="T915" s="51"/>
      <c r="U915" s="51"/>
      <c r="V915" s="51"/>
      <c r="W915" s="51"/>
      <c r="Y915" s="53"/>
    </row>
    <row r="916" spans="17:25" x14ac:dyDescent="0.3">
      <c r="Q916" s="53"/>
      <c r="R916" s="51"/>
      <c r="S916" s="51"/>
      <c r="T916" s="51"/>
      <c r="U916" s="51"/>
      <c r="V916" s="51"/>
      <c r="W916" s="51"/>
      <c r="Y916" s="53"/>
    </row>
    <row r="917" spans="17:25" x14ac:dyDescent="0.3">
      <c r="Q917" s="53"/>
      <c r="R917" s="51"/>
      <c r="S917" s="51"/>
      <c r="T917" s="51"/>
      <c r="U917" s="51"/>
      <c r="V917" s="51"/>
      <c r="W917" s="51"/>
      <c r="Y917" s="53"/>
    </row>
    <row r="918" spans="17:25" x14ac:dyDescent="0.3">
      <c r="Q918" s="53"/>
      <c r="R918" s="51"/>
      <c r="S918" s="51"/>
      <c r="T918" s="51"/>
      <c r="U918" s="51"/>
      <c r="V918" s="51"/>
      <c r="W918" s="51"/>
      <c r="Y918" s="53"/>
    </row>
    <row r="919" spans="17:25" x14ac:dyDescent="0.3">
      <c r="Q919" s="53"/>
      <c r="R919" s="51"/>
      <c r="S919" s="51"/>
      <c r="T919" s="51"/>
      <c r="U919" s="51"/>
      <c r="V919" s="51"/>
      <c r="W919" s="51"/>
      <c r="Y919" s="53"/>
    </row>
    <row r="920" spans="17:25" x14ac:dyDescent="0.3">
      <c r="Q920" s="53"/>
      <c r="R920" s="51"/>
      <c r="S920" s="51"/>
      <c r="T920" s="51"/>
      <c r="U920" s="51"/>
      <c r="V920" s="51"/>
      <c r="W920" s="51"/>
      <c r="Y920" s="53"/>
    </row>
    <row r="921" spans="17:25" x14ac:dyDescent="0.3">
      <c r="Q921" s="53"/>
      <c r="R921" s="51"/>
      <c r="S921" s="51"/>
      <c r="T921" s="51"/>
      <c r="U921" s="51"/>
      <c r="V921" s="51"/>
      <c r="W921" s="51"/>
      <c r="Y921" s="53"/>
    </row>
    <row r="922" spans="17:25" x14ac:dyDescent="0.3">
      <c r="Q922" s="53"/>
      <c r="R922" s="51"/>
      <c r="S922" s="51"/>
      <c r="T922" s="51"/>
      <c r="U922" s="51"/>
      <c r="V922" s="51"/>
      <c r="W922" s="51"/>
      <c r="Y922" s="53"/>
    </row>
    <row r="923" spans="17:25" x14ac:dyDescent="0.3">
      <c r="Q923" s="53"/>
      <c r="R923" s="51"/>
      <c r="S923" s="51"/>
      <c r="T923" s="51"/>
      <c r="U923" s="51"/>
      <c r="V923" s="51"/>
      <c r="W923" s="51"/>
      <c r="Y923" s="53"/>
    </row>
    <row r="924" spans="17:25" x14ac:dyDescent="0.3">
      <c r="Q924" s="53"/>
      <c r="R924" s="51"/>
      <c r="S924" s="51"/>
      <c r="T924" s="51"/>
      <c r="U924" s="51"/>
      <c r="V924" s="51"/>
      <c r="W924" s="51"/>
      <c r="Y924" s="53"/>
    </row>
    <row r="925" spans="17:25" x14ac:dyDescent="0.3">
      <c r="Q925" s="53"/>
      <c r="R925" s="51"/>
      <c r="S925" s="51"/>
      <c r="T925" s="51"/>
      <c r="U925" s="51"/>
      <c r="V925" s="51"/>
      <c r="W925" s="51"/>
      <c r="Y925" s="53"/>
    </row>
    <row r="926" spans="17:25" x14ac:dyDescent="0.3">
      <c r="Q926" s="53"/>
      <c r="R926" s="51"/>
      <c r="S926" s="51"/>
      <c r="T926" s="51"/>
      <c r="U926" s="51"/>
      <c r="V926" s="51"/>
      <c r="W926" s="51"/>
      <c r="Y926" s="53"/>
    </row>
    <row r="927" spans="17:25" x14ac:dyDescent="0.3">
      <c r="Q927" s="53"/>
      <c r="R927" s="51"/>
      <c r="S927" s="51"/>
      <c r="T927" s="51"/>
      <c r="U927" s="51"/>
      <c r="V927" s="51"/>
      <c r="W927" s="51"/>
      <c r="Y927" s="53"/>
    </row>
    <row r="928" spans="17:25" x14ac:dyDescent="0.3">
      <c r="Q928" s="53"/>
      <c r="R928" s="51"/>
      <c r="S928" s="51"/>
      <c r="T928" s="51"/>
      <c r="U928" s="51"/>
      <c r="V928" s="51"/>
      <c r="W928" s="51"/>
      <c r="Y928" s="53"/>
    </row>
    <row r="929" spans="17:25" x14ac:dyDescent="0.3">
      <c r="Q929" s="53"/>
      <c r="R929" s="51"/>
      <c r="S929" s="51"/>
      <c r="T929" s="51"/>
      <c r="U929" s="51"/>
      <c r="V929" s="51"/>
      <c r="W929" s="51"/>
      <c r="Y929" s="53"/>
    </row>
    <row r="930" spans="17:25" x14ac:dyDescent="0.3">
      <c r="Q930" s="53"/>
      <c r="R930" s="51"/>
      <c r="S930" s="51"/>
      <c r="T930" s="51"/>
      <c r="U930" s="51"/>
      <c r="V930" s="51"/>
      <c r="W930" s="51"/>
      <c r="Y930" s="53"/>
    </row>
    <row r="931" spans="17:25" x14ac:dyDescent="0.3">
      <c r="Q931" s="53"/>
      <c r="R931" s="51"/>
      <c r="S931" s="51"/>
      <c r="T931" s="51"/>
      <c r="U931" s="51"/>
      <c r="V931" s="51"/>
      <c r="W931" s="51"/>
      <c r="Y931" s="53"/>
    </row>
    <row r="932" spans="17:25" x14ac:dyDescent="0.3">
      <c r="Q932" s="53"/>
      <c r="R932" s="51"/>
      <c r="S932" s="51"/>
      <c r="T932" s="51"/>
      <c r="U932" s="51"/>
      <c r="V932" s="51"/>
      <c r="W932" s="51"/>
      <c r="Y932" s="53"/>
    </row>
    <row r="933" spans="17:25" x14ac:dyDescent="0.3">
      <c r="Q933" s="53"/>
      <c r="R933" s="51"/>
      <c r="S933" s="51"/>
      <c r="T933" s="51"/>
      <c r="U933" s="51"/>
      <c r="V933" s="51"/>
      <c r="W933" s="51"/>
      <c r="Y933" s="53"/>
    </row>
    <row r="934" spans="17:25" x14ac:dyDescent="0.3">
      <c r="Q934" s="53"/>
      <c r="R934" s="51"/>
      <c r="S934" s="51"/>
      <c r="T934" s="51"/>
      <c r="U934" s="51"/>
      <c r="V934" s="51"/>
      <c r="W934" s="51"/>
      <c r="Y934" s="53"/>
    </row>
    <row r="935" spans="17:25" x14ac:dyDescent="0.3">
      <c r="Q935" s="53"/>
      <c r="R935" s="51"/>
      <c r="S935" s="51"/>
      <c r="T935" s="51"/>
      <c r="U935" s="51"/>
      <c r="V935" s="51"/>
      <c r="W935" s="51"/>
      <c r="Y935" s="53"/>
    </row>
    <row r="936" spans="17:25" x14ac:dyDescent="0.3">
      <c r="Q936" s="53"/>
      <c r="R936" s="51"/>
      <c r="S936" s="51"/>
      <c r="T936" s="51"/>
      <c r="U936" s="51"/>
      <c r="V936" s="51"/>
      <c r="W936" s="51"/>
      <c r="Y936" s="53"/>
    </row>
    <row r="937" spans="17:25" x14ac:dyDescent="0.3">
      <c r="Q937" s="53"/>
      <c r="R937" s="51"/>
      <c r="S937" s="51"/>
      <c r="T937" s="51"/>
      <c r="U937" s="51"/>
      <c r="V937" s="51"/>
      <c r="W937" s="51"/>
      <c r="Y937" s="53"/>
    </row>
    <row r="938" spans="17:25" x14ac:dyDescent="0.3">
      <c r="Q938" s="53"/>
      <c r="R938" s="51"/>
      <c r="S938" s="51"/>
      <c r="T938" s="51"/>
      <c r="U938" s="51"/>
      <c r="V938" s="51"/>
      <c r="W938" s="51"/>
      <c r="Y938" s="53"/>
    </row>
    <row r="939" spans="17:25" x14ac:dyDescent="0.3">
      <c r="Q939" s="53"/>
      <c r="R939" s="51"/>
      <c r="S939" s="51"/>
      <c r="T939" s="51"/>
      <c r="U939" s="51"/>
      <c r="V939" s="51"/>
      <c r="W939" s="51"/>
      <c r="Y939" s="53"/>
    </row>
    <row r="940" spans="17:25" x14ac:dyDescent="0.3">
      <c r="Q940" s="53"/>
      <c r="R940" s="51"/>
      <c r="S940" s="51"/>
      <c r="T940" s="51"/>
      <c r="U940" s="51"/>
      <c r="V940" s="51"/>
      <c r="W940" s="51"/>
      <c r="Y940" s="53"/>
    </row>
    <row r="941" spans="17:25" x14ac:dyDescent="0.3">
      <c r="Q941" s="53"/>
      <c r="R941" s="51"/>
      <c r="S941" s="51"/>
      <c r="T941" s="51"/>
      <c r="U941" s="51"/>
      <c r="V941" s="51"/>
      <c r="W941" s="51"/>
      <c r="Y941" s="53"/>
    </row>
    <row r="942" spans="17:25" x14ac:dyDescent="0.3">
      <c r="Q942" s="53"/>
      <c r="R942" s="51"/>
      <c r="S942" s="51"/>
      <c r="T942" s="51"/>
      <c r="U942" s="51"/>
      <c r="V942" s="51"/>
      <c r="W942" s="51"/>
      <c r="Y942" s="53"/>
    </row>
    <row r="943" spans="17:25" x14ac:dyDescent="0.3">
      <c r="Q943" s="53"/>
      <c r="R943" s="51"/>
      <c r="S943" s="51"/>
      <c r="T943" s="51"/>
      <c r="U943" s="51"/>
      <c r="V943" s="51"/>
      <c r="W943" s="51"/>
      <c r="Y943" s="53"/>
    </row>
    <row r="944" spans="17:25" x14ac:dyDescent="0.3">
      <c r="Q944" s="53"/>
      <c r="R944" s="51"/>
      <c r="S944" s="51"/>
      <c r="T944" s="51"/>
      <c r="U944" s="51"/>
      <c r="V944" s="51"/>
      <c r="W944" s="51"/>
      <c r="Y944" s="53"/>
    </row>
    <row r="945" spans="17:25" x14ac:dyDescent="0.3">
      <c r="Q945" s="53"/>
      <c r="R945" s="51"/>
      <c r="S945" s="51"/>
      <c r="T945" s="51"/>
      <c r="U945" s="51"/>
      <c r="V945" s="51"/>
      <c r="W945" s="51"/>
      <c r="Y945" s="53"/>
    </row>
    <row r="946" spans="17:25" x14ac:dyDescent="0.3">
      <c r="Q946" s="53"/>
      <c r="R946" s="51"/>
      <c r="S946" s="51"/>
      <c r="T946" s="51"/>
      <c r="U946" s="51"/>
      <c r="V946" s="51"/>
      <c r="W946" s="51"/>
      <c r="Y946" s="53"/>
    </row>
    <row r="947" spans="17:25" x14ac:dyDescent="0.3">
      <c r="Q947" s="53"/>
      <c r="R947" s="51"/>
      <c r="S947" s="51"/>
      <c r="T947" s="51"/>
      <c r="U947" s="51"/>
      <c r="V947" s="51"/>
      <c r="W947" s="51"/>
      <c r="Y947" s="53"/>
    </row>
    <row r="948" spans="17:25" x14ac:dyDescent="0.3">
      <c r="Q948" s="53"/>
      <c r="R948" s="51"/>
      <c r="S948" s="51"/>
      <c r="T948" s="51"/>
      <c r="U948" s="51"/>
      <c r="V948" s="51"/>
      <c r="W948" s="51"/>
      <c r="Y948" s="53"/>
    </row>
    <row r="949" spans="17:25" x14ac:dyDescent="0.3">
      <c r="Q949" s="53"/>
      <c r="R949" s="51"/>
      <c r="S949" s="51"/>
      <c r="T949" s="51"/>
      <c r="U949" s="51"/>
      <c r="V949" s="51"/>
      <c r="W949" s="51"/>
      <c r="Y949" s="53"/>
    </row>
    <row r="950" spans="17:25" x14ac:dyDescent="0.3">
      <c r="Q950" s="53"/>
      <c r="R950" s="51"/>
      <c r="S950" s="51"/>
      <c r="T950" s="51"/>
      <c r="U950" s="51"/>
      <c r="V950" s="51"/>
      <c r="W950" s="51"/>
      <c r="Y950" s="53"/>
    </row>
    <row r="951" spans="17:25" x14ac:dyDescent="0.3">
      <c r="Q951" s="53"/>
      <c r="R951" s="51"/>
      <c r="S951" s="51"/>
      <c r="T951" s="51"/>
      <c r="U951" s="51"/>
      <c r="V951" s="51"/>
      <c r="W951" s="51"/>
      <c r="Y951" s="53"/>
    </row>
    <row r="952" spans="17:25" x14ac:dyDescent="0.3">
      <c r="Q952" s="53"/>
      <c r="R952" s="51"/>
      <c r="S952" s="51"/>
      <c r="T952" s="51"/>
      <c r="U952" s="51"/>
      <c r="V952" s="51"/>
      <c r="W952" s="51"/>
      <c r="Y952" s="53"/>
    </row>
    <row r="953" spans="17:25" x14ac:dyDescent="0.3">
      <c r="Q953" s="53"/>
      <c r="R953" s="51"/>
      <c r="S953" s="51"/>
      <c r="T953" s="51"/>
      <c r="U953" s="51"/>
      <c r="V953" s="51"/>
      <c r="W953" s="51"/>
      <c r="Y953" s="53"/>
    </row>
    <row r="954" spans="17:25" x14ac:dyDescent="0.3">
      <c r="Q954" s="53"/>
      <c r="R954" s="51"/>
      <c r="S954" s="51"/>
      <c r="T954" s="51"/>
      <c r="U954" s="51"/>
      <c r="V954" s="51"/>
      <c r="W954" s="51"/>
      <c r="Y954" s="53"/>
    </row>
    <row r="955" spans="17:25" x14ac:dyDescent="0.3">
      <c r="Q955" s="53"/>
      <c r="R955" s="51"/>
      <c r="S955" s="51"/>
      <c r="T955" s="51"/>
      <c r="U955" s="51"/>
      <c r="V955" s="51"/>
      <c r="W955" s="51"/>
      <c r="Y955" s="53"/>
    </row>
    <row r="956" spans="17:25" x14ac:dyDescent="0.3">
      <c r="Q956" s="53"/>
      <c r="R956" s="51"/>
      <c r="S956" s="51"/>
      <c r="T956" s="51"/>
      <c r="U956" s="51"/>
      <c r="V956" s="51"/>
      <c r="W956" s="51"/>
      <c r="Y956" s="53"/>
    </row>
    <row r="957" spans="17:25" x14ac:dyDescent="0.3">
      <c r="Q957" s="53"/>
      <c r="R957" s="51"/>
      <c r="S957" s="51"/>
      <c r="T957" s="51"/>
      <c r="U957" s="51"/>
      <c r="V957" s="51"/>
      <c r="W957" s="51"/>
      <c r="Y957" s="53"/>
    </row>
    <row r="958" spans="17:25" x14ac:dyDescent="0.3">
      <c r="Q958" s="53"/>
      <c r="R958" s="51"/>
      <c r="S958" s="51"/>
      <c r="T958" s="51"/>
      <c r="U958" s="51"/>
      <c r="V958" s="51"/>
      <c r="W958" s="51"/>
      <c r="Y958" s="53"/>
    </row>
    <row r="959" spans="17:25" x14ac:dyDescent="0.3">
      <c r="Q959" s="53"/>
      <c r="R959" s="51"/>
      <c r="S959" s="51"/>
      <c r="T959" s="51"/>
      <c r="U959" s="51"/>
      <c r="V959" s="51"/>
      <c r="W959" s="51"/>
      <c r="Y959" s="53"/>
    </row>
    <row r="960" spans="17:25" x14ac:dyDescent="0.3">
      <c r="Q960" s="53"/>
      <c r="R960" s="51"/>
      <c r="S960" s="51"/>
      <c r="T960" s="51"/>
      <c r="U960" s="51"/>
      <c r="V960" s="51"/>
      <c r="W960" s="51"/>
      <c r="Y960" s="53"/>
    </row>
    <row r="961" spans="17:25" x14ac:dyDescent="0.3">
      <c r="Q961" s="53"/>
      <c r="R961" s="51"/>
      <c r="S961" s="51"/>
      <c r="T961" s="51"/>
      <c r="U961" s="51"/>
      <c r="V961" s="51"/>
      <c r="W961" s="51"/>
      <c r="Y961" s="53"/>
    </row>
    <row r="962" spans="17:25" x14ac:dyDescent="0.3">
      <c r="Q962" s="53"/>
      <c r="R962" s="51"/>
      <c r="S962" s="51"/>
      <c r="T962" s="51"/>
      <c r="U962" s="51"/>
      <c r="V962" s="51"/>
      <c r="W962" s="51"/>
      <c r="Y962" s="53"/>
    </row>
    <row r="963" spans="17:25" x14ac:dyDescent="0.3">
      <c r="Q963" s="53"/>
      <c r="R963" s="51"/>
      <c r="S963" s="51"/>
      <c r="T963" s="51"/>
      <c r="U963" s="51"/>
      <c r="V963" s="51"/>
      <c r="W963" s="51"/>
      <c r="Y963" s="53"/>
    </row>
    <row r="964" spans="17:25" x14ac:dyDescent="0.3">
      <c r="Q964" s="53"/>
      <c r="R964" s="51"/>
      <c r="S964" s="51"/>
      <c r="T964" s="51"/>
      <c r="U964" s="51"/>
      <c r="V964" s="51"/>
      <c r="W964" s="51"/>
      <c r="Y964" s="53"/>
    </row>
    <row r="965" spans="17:25" x14ac:dyDescent="0.3">
      <c r="Q965" s="53"/>
      <c r="R965" s="51"/>
      <c r="S965" s="51"/>
      <c r="T965" s="51"/>
      <c r="U965" s="51"/>
      <c r="V965" s="51"/>
      <c r="W965" s="51"/>
      <c r="Y965" s="53"/>
    </row>
    <row r="966" spans="17:25" x14ac:dyDescent="0.3">
      <c r="Q966" s="53"/>
      <c r="R966" s="51"/>
      <c r="S966" s="51"/>
      <c r="T966" s="51"/>
      <c r="U966" s="51"/>
      <c r="V966" s="51"/>
      <c r="W966" s="51"/>
      <c r="Y966" s="53"/>
    </row>
    <row r="967" spans="17:25" x14ac:dyDescent="0.3">
      <c r="Q967" s="53"/>
      <c r="R967" s="51"/>
      <c r="S967" s="51"/>
      <c r="T967" s="51"/>
      <c r="U967" s="51"/>
      <c r="V967" s="51"/>
      <c r="W967" s="51"/>
      <c r="Y967" s="53"/>
    </row>
    <row r="968" spans="17:25" x14ac:dyDescent="0.3">
      <c r="Q968" s="53"/>
      <c r="R968" s="51"/>
      <c r="S968" s="51"/>
      <c r="T968" s="51"/>
      <c r="U968" s="51"/>
      <c r="V968" s="51"/>
      <c r="W968" s="51"/>
      <c r="Y968" s="53"/>
    </row>
    <row r="969" spans="17:25" x14ac:dyDescent="0.3">
      <c r="Q969" s="53"/>
      <c r="R969" s="51"/>
      <c r="S969" s="51"/>
      <c r="T969" s="51"/>
      <c r="U969" s="51"/>
      <c r="V969" s="51"/>
      <c r="W969" s="51"/>
      <c r="Y969" s="53"/>
    </row>
    <row r="970" spans="17:25" x14ac:dyDescent="0.3">
      <c r="Q970" s="53"/>
      <c r="R970" s="51"/>
      <c r="S970" s="51"/>
      <c r="T970" s="51"/>
      <c r="U970" s="51"/>
      <c r="V970" s="51"/>
      <c r="W970" s="51"/>
      <c r="Y970" s="53"/>
    </row>
    <row r="971" spans="17:25" x14ac:dyDescent="0.3">
      <c r="Q971" s="53"/>
      <c r="R971" s="51"/>
      <c r="S971" s="51"/>
      <c r="T971" s="51"/>
      <c r="U971" s="51"/>
      <c r="V971" s="51"/>
      <c r="W971" s="51"/>
      <c r="Y971" s="53"/>
    </row>
    <row r="972" spans="17:25" x14ac:dyDescent="0.3">
      <c r="Q972" s="53"/>
      <c r="R972" s="51"/>
      <c r="S972" s="51"/>
      <c r="T972" s="51"/>
      <c r="U972" s="51"/>
      <c r="V972" s="51"/>
      <c r="W972" s="51"/>
      <c r="Y972" s="53"/>
    </row>
    <row r="973" spans="17:25" x14ac:dyDescent="0.3">
      <c r="Q973" s="53"/>
      <c r="R973" s="51"/>
      <c r="S973" s="51"/>
      <c r="T973" s="51"/>
      <c r="U973" s="51"/>
      <c r="V973" s="51"/>
      <c r="W973" s="51"/>
      <c r="Y973" s="53"/>
    </row>
    <row r="974" spans="17:25" x14ac:dyDescent="0.3">
      <c r="Q974" s="53"/>
      <c r="R974" s="51"/>
      <c r="S974" s="51"/>
      <c r="T974" s="51"/>
      <c r="U974" s="51"/>
      <c r="V974" s="51"/>
      <c r="W974" s="51"/>
      <c r="Y974" s="53"/>
    </row>
    <row r="975" spans="17:25" x14ac:dyDescent="0.3">
      <c r="Q975" s="53"/>
      <c r="R975" s="51"/>
      <c r="S975" s="51"/>
      <c r="T975" s="51"/>
      <c r="U975" s="51"/>
      <c r="V975" s="51"/>
      <c r="W975" s="51"/>
      <c r="Y975" s="53"/>
    </row>
    <row r="976" spans="17:25" x14ac:dyDescent="0.3">
      <c r="Q976" s="53"/>
      <c r="R976" s="51"/>
      <c r="S976" s="51"/>
      <c r="T976" s="51"/>
      <c r="U976" s="51"/>
      <c r="V976" s="51"/>
      <c r="W976" s="51"/>
      <c r="Y976" s="53"/>
    </row>
    <row r="977" spans="17:25" x14ac:dyDescent="0.3">
      <c r="Q977" s="53"/>
      <c r="R977" s="51"/>
      <c r="S977" s="51"/>
      <c r="T977" s="51"/>
      <c r="U977" s="51"/>
      <c r="V977" s="51"/>
      <c r="W977" s="51"/>
      <c r="Y977" s="53"/>
    </row>
    <row r="978" spans="17:25" x14ac:dyDescent="0.3">
      <c r="Q978" s="53"/>
      <c r="R978" s="51"/>
      <c r="S978" s="51"/>
      <c r="T978" s="51"/>
      <c r="U978" s="51"/>
      <c r="V978" s="51"/>
      <c r="W978" s="51"/>
      <c r="Y978" s="53"/>
    </row>
    <row r="979" spans="17:25" x14ac:dyDescent="0.3">
      <c r="Q979" s="53"/>
      <c r="R979" s="51"/>
      <c r="S979" s="51"/>
      <c r="T979" s="51"/>
      <c r="U979" s="51"/>
      <c r="V979" s="51"/>
      <c r="W979" s="51"/>
      <c r="Y979" s="53"/>
    </row>
    <row r="980" spans="17:25" x14ac:dyDescent="0.3">
      <c r="Q980" s="53"/>
      <c r="R980" s="51"/>
      <c r="S980" s="51"/>
      <c r="T980" s="51"/>
      <c r="U980" s="51"/>
      <c r="V980" s="51"/>
      <c r="W980" s="51"/>
      <c r="Y980" s="53"/>
    </row>
    <row r="981" spans="17:25" x14ac:dyDescent="0.3">
      <c r="Q981" s="53"/>
      <c r="R981" s="51"/>
      <c r="S981" s="51"/>
      <c r="T981" s="51"/>
      <c r="U981" s="51"/>
      <c r="V981" s="51"/>
      <c r="W981" s="51"/>
      <c r="Y981" s="53"/>
    </row>
    <row r="982" spans="17:25" x14ac:dyDescent="0.3">
      <c r="Q982" s="53"/>
      <c r="R982" s="51"/>
      <c r="S982" s="51"/>
      <c r="T982" s="51"/>
      <c r="U982" s="51"/>
      <c r="V982" s="51"/>
      <c r="W982" s="51"/>
      <c r="Y982" s="53"/>
    </row>
    <row r="983" spans="17:25" x14ac:dyDescent="0.3">
      <c r="Q983" s="53"/>
      <c r="R983" s="51"/>
      <c r="S983" s="51"/>
      <c r="T983" s="51"/>
      <c r="U983" s="51"/>
      <c r="V983" s="51"/>
      <c r="W983" s="51"/>
      <c r="Y983" s="53"/>
    </row>
    <row r="984" spans="17:25" x14ac:dyDescent="0.3">
      <c r="Q984" s="53"/>
      <c r="R984" s="51"/>
      <c r="S984" s="51"/>
      <c r="T984" s="51"/>
      <c r="U984" s="51"/>
      <c r="V984" s="51"/>
      <c r="W984" s="51"/>
      <c r="Y984" s="53"/>
    </row>
    <row r="985" spans="17:25" x14ac:dyDescent="0.3">
      <c r="Q985" s="53"/>
      <c r="R985" s="51"/>
      <c r="S985" s="51"/>
      <c r="T985" s="51"/>
      <c r="U985" s="51"/>
      <c r="V985" s="51"/>
      <c r="W985" s="51"/>
      <c r="Y985" s="53"/>
    </row>
    <row r="986" spans="17:25" x14ac:dyDescent="0.3">
      <c r="Q986" s="53"/>
      <c r="R986" s="51"/>
      <c r="S986" s="51"/>
      <c r="T986" s="51"/>
      <c r="U986" s="51"/>
      <c r="V986" s="51"/>
      <c r="W986" s="51"/>
      <c r="Y986" s="53"/>
    </row>
    <row r="987" spans="17:25" x14ac:dyDescent="0.3">
      <c r="Q987" s="53"/>
      <c r="R987" s="51"/>
      <c r="S987" s="51"/>
      <c r="T987" s="51"/>
      <c r="U987" s="51"/>
      <c r="V987" s="51"/>
      <c r="W987" s="51"/>
      <c r="Y987" s="53"/>
    </row>
    <row r="988" spans="17:25" x14ac:dyDescent="0.3">
      <c r="Q988" s="53"/>
      <c r="R988" s="51"/>
      <c r="S988" s="51"/>
      <c r="T988" s="51"/>
      <c r="U988" s="51"/>
      <c r="V988" s="51"/>
      <c r="W988" s="51"/>
      <c r="Y988" s="53"/>
    </row>
    <row r="989" spans="17:25" x14ac:dyDescent="0.3">
      <c r="Q989" s="53"/>
      <c r="R989" s="51"/>
      <c r="S989" s="51"/>
      <c r="T989" s="51"/>
      <c r="U989" s="51"/>
      <c r="V989" s="51"/>
      <c r="W989" s="51"/>
      <c r="Y989" s="53"/>
    </row>
    <row r="990" spans="17:25" x14ac:dyDescent="0.3">
      <c r="Q990" s="53"/>
      <c r="R990" s="51"/>
      <c r="S990" s="51"/>
      <c r="T990" s="51"/>
      <c r="U990" s="51"/>
      <c r="V990" s="51"/>
      <c r="W990" s="51"/>
      <c r="Y990" s="53"/>
    </row>
    <row r="991" spans="17:25" x14ac:dyDescent="0.3">
      <c r="Q991" s="53"/>
      <c r="R991" s="51"/>
      <c r="S991" s="51"/>
      <c r="T991" s="51"/>
      <c r="U991" s="51"/>
      <c r="V991" s="51"/>
      <c r="W991" s="51"/>
      <c r="Y991" s="53"/>
    </row>
    <row r="992" spans="17:25" x14ac:dyDescent="0.3">
      <c r="Q992" s="53"/>
      <c r="R992" s="51"/>
      <c r="S992" s="51"/>
      <c r="T992" s="51"/>
      <c r="U992" s="51"/>
      <c r="V992" s="51"/>
      <c r="W992" s="51"/>
      <c r="Y992" s="53"/>
    </row>
    <row r="993" spans="17:30" x14ac:dyDescent="0.3">
      <c r="Q993" s="53"/>
      <c r="R993" s="51"/>
      <c r="S993" s="51"/>
      <c r="T993" s="51"/>
      <c r="U993" s="51"/>
      <c r="V993" s="51"/>
      <c r="W993" s="51"/>
      <c r="Y993" s="53"/>
    </row>
    <row r="994" spans="17:30" x14ac:dyDescent="0.3">
      <c r="Q994" s="53"/>
      <c r="R994" s="51"/>
      <c r="S994" s="51"/>
      <c r="T994" s="51"/>
      <c r="U994" s="51"/>
      <c r="V994" s="51"/>
      <c r="W994" s="51"/>
      <c r="Y994" s="53"/>
    </row>
    <row r="995" spans="17:30" x14ac:dyDescent="0.3">
      <c r="Q995" s="53"/>
      <c r="R995" s="51"/>
      <c r="S995" s="51"/>
      <c r="T995" s="51"/>
      <c r="U995" s="51"/>
      <c r="V995" s="51"/>
      <c r="W995" s="51"/>
      <c r="Y995" s="53"/>
    </row>
    <row r="996" spans="17:30" x14ac:dyDescent="0.3">
      <c r="Q996" s="53"/>
      <c r="R996" s="51"/>
      <c r="S996" s="51"/>
      <c r="T996" s="51"/>
      <c r="U996" s="51"/>
      <c r="V996" s="51"/>
      <c r="W996" s="51"/>
      <c r="Y996" s="53"/>
    </row>
    <row r="997" spans="17:30" x14ac:dyDescent="0.3">
      <c r="Q997" s="53"/>
      <c r="R997" s="51"/>
      <c r="S997" s="51"/>
      <c r="T997" s="51"/>
      <c r="U997" s="51"/>
      <c r="V997" s="51"/>
      <c r="W997" s="51"/>
      <c r="Y997" s="53"/>
    </row>
    <row r="998" spans="17:30" x14ac:dyDescent="0.3">
      <c r="Q998" s="53"/>
      <c r="R998" s="51"/>
      <c r="S998" s="51"/>
      <c r="T998" s="51"/>
      <c r="U998" s="51"/>
      <c r="V998" s="51"/>
      <c r="W998" s="51"/>
      <c r="Y998" s="53"/>
    </row>
    <row r="999" spans="17:30" x14ac:dyDescent="0.3">
      <c r="Q999" s="53"/>
      <c r="R999" s="51"/>
      <c r="S999" s="51"/>
      <c r="T999" s="51"/>
      <c r="U999" s="51"/>
      <c r="V999" s="51"/>
      <c r="W999" s="51"/>
      <c r="Y999" s="53"/>
    </row>
    <row r="1000" spans="17:30" x14ac:dyDescent="0.3">
      <c r="Q1000" s="53"/>
      <c r="R1000" s="51"/>
      <c r="S1000" s="51"/>
      <c r="T1000" s="51"/>
      <c r="U1000" s="51"/>
      <c r="V1000" s="51"/>
      <c r="W1000" s="51"/>
      <c r="Y1000" s="53"/>
    </row>
    <row r="1001" spans="17:30" x14ac:dyDescent="0.3">
      <c r="Q1001" s="53"/>
      <c r="R1001" s="51"/>
      <c r="S1001" s="51"/>
      <c r="T1001" s="51"/>
      <c r="U1001" s="51"/>
      <c r="V1001" s="51"/>
      <c r="W1001" s="51"/>
      <c r="Y1001" s="53"/>
    </row>
    <row r="1002" spans="17:30" x14ac:dyDescent="0.3">
      <c r="Q1002" s="53"/>
      <c r="R1002" s="51"/>
      <c r="S1002" s="51"/>
      <c r="T1002" s="51"/>
      <c r="U1002" s="51"/>
      <c r="V1002" s="51"/>
      <c r="W1002" s="51"/>
      <c r="Y1002" s="53"/>
    </row>
    <row r="1003" spans="17:30" x14ac:dyDescent="0.3">
      <c r="R1003" s="53"/>
      <c r="S1003" s="53"/>
      <c r="T1003" s="53"/>
      <c r="U1003" s="53"/>
      <c r="V1003" s="53"/>
      <c r="W1003" s="53"/>
      <c r="Z1003" s="52" t="s">
        <v>89</v>
      </c>
      <c r="AA1003" s="52" t="s">
        <v>89</v>
      </c>
      <c r="AB1003" s="52" t="s">
        <v>89</v>
      </c>
      <c r="AC1003" s="52" t="s">
        <v>89</v>
      </c>
      <c r="AD1003" s="52" t="s">
        <v>89</v>
      </c>
    </row>
  </sheetData>
  <mergeCells count="5">
    <mergeCell ref="C6:J6"/>
    <mergeCell ref="C15:J15"/>
    <mergeCell ref="D26:E26"/>
    <mergeCell ref="D27:E27"/>
    <mergeCell ref="D28:E28"/>
  </mergeCells>
  <pageMargins left="0.511811024" right="0.511811024" top="0.78740157499999996" bottom="0.78740157499999996" header="0.31496062000000002" footer="0.31496062000000002"/>
  <pageSetup orientation="portrait" horizontalDpi="4294967295" verticalDpi="4294967295" r:id="rId1"/>
  <headerFooter>
    <oddHeader>&amp;Cvv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6</vt:i4>
      </vt:variant>
    </vt:vector>
  </HeadingPairs>
  <TitlesOfParts>
    <vt:vector size="14" baseType="lpstr">
      <vt:lpstr>SIMULAÇÃO CENÁRIOS</vt:lpstr>
      <vt:lpstr>SIMULADOR - UC1 682856 PRONTA</vt:lpstr>
      <vt:lpstr>SIMULADOR - UC2 112369 PRONTA</vt:lpstr>
      <vt:lpstr>SIMULADOR - UC3 1169414 PRONTA</vt:lpstr>
      <vt:lpstr>SIMULADOR - UC4 1377100 PRONTA</vt:lpstr>
      <vt:lpstr>SIMULADOR - UC5 1849938 PRONTA</vt:lpstr>
      <vt:lpstr>SIMULADOR - UC6 65139 PRONTA</vt:lpstr>
      <vt:lpstr>Tarifas</vt:lpstr>
      <vt:lpstr>'SIMULADOR - UC1 682856 PRONTA'!Area_de_impressao</vt:lpstr>
      <vt:lpstr>'SIMULADOR - UC2 112369 PRONTA'!Area_de_impressao</vt:lpstr>
      <vt:lpstr>'SIMULADOR - UC3 1169414 PRONTA'!Area_de_impressao</vt:lpstr>
      <vt:lpstr>'SIMULADOR - UC4 1377100 PRONTA'!Area_de_impressao</vt:lpstr>
      <vt:lpstr>'SIMULADOR - UC5 1849938 PRONTA'!Area_de_impressao</vt:lpstr>
      <vt:lpstr>'SIMULADOR - UC6 65139 PRONTA'!Area_de_impressao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</dc:creator>
  <cp:lastModifiedBy>Vinicius Martello | Simple Energy</cp:lastModifiedBy>
  <dcterms:created xsi:type="dcterms:W3CDTF">2020-11-02T21:38:50Z</dcterms:created>
  <dcterms:modified xsi:type="dcterms:W3CDTF">2021-01-22T02:05:32Z</dcterms:modified>
</cp:coreProperties>
</file>