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ocuments\Box\Serum Binding (SCOTT MATTHEW LEIGHOW)\Supplement\Tables\"/>
    </mc:Choice>
  </mc:AlternateContent>
  <xr:revisionPtr revIDLastSave="0" documentId="8_{4D96B44D-3A2B-4826-ADFE-E5FFB247F31C}" xr6:coauthVersionLast="47" xr6:coauthVersionMax="47" xr10:uidLastSave="{00000000-0000-0000-0000-000000000000}"/>
  <bookViews>
    <workbookView xWindow="15900" yWindow="1620" windowWidth="13536" windowHeight="8346" xr2:uid="{10611CC0-8B0E-4E63-83B3-02445D92858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L17" i="1" s="1"/>
  <c r="M17" i="1" s="1"/>
  <c r="N17" i="1" s="1"/>
  <c r="N16" i="1"/>
  <c r="G16" i="1"/>
  <c r="M16" i="1"/>
  <c r="L15" i="1"/>
  <c r="M15" i="1" s="1"/>
  <c r="N15" i="1" s="1"/>
  <c r="L14" i="1"/>
  <c r="M14" i="1" s="1"/>
  <c r="N14" i="1" s="1"/>
  <c r="E15" i="1"/>
  <c r="G15" i="1" s="1"/>
  <c r="E14" i="1"/>
  <c r="G14" i="1" s="1"/>
  <c r="L13" i="1"/>
  <c r="I10" i="1"/>
  <c r="D10" i="1"/>
  <c r="E10" i="1" s="1"/>
  <c r="G10" i="1" s="1"/>
  <c r="M13" i="1" l="1"/>
  <c r="N13" i="1" s="1"/>
  <c r="L10" i="1"/>
  <c r="M10" i="1" s="1"/>
  <c r="N10" i="1" s="1"/>
  <c r="M9" i="1"/>
  <c r="N9" i="1" s="1"/>
  <c r="E2" i="1"/>
  <c r="G2" i="1" s="1"/>
  <c r="G9" i="1"/>
  <c r="L8" i="1"/>
  <c r="M8" i="1" s="1"/>
  <c r="N8" i="1" s="1"/>
  <c r="E8" i="1"/>
  <c r="G8" i="1" s="1"/>
  <c r="L7" i="1"/>
  <c r="M7" i="1" s="1"/>
  <c r="N7" i="1" s="1"/>
  <c r="E7" i="1"/>
  <c r="G7" i="1" s="1"/>
  <c r="L6" i="1"/>
  <c r="M6" i="1"/>
  <c r="N6" i="1" s="1"/>
  <c r="G6" i="1"/>
  <c r="L3" i="1"/>
  <c r="M3" i="1" s="1"/>
  <c r="P3" i="1" s="1"/>
  <c r="L4" i="1"/>
  <c r="M4" i="1" s="1"/>
  <c r="P4" i="1" s="1"/>
  <c r="L5" i="1"/>
  <c r="M5" i="1" s="1"/>
  <c r="P5" i="1" s="1"/>
  <c r="L2" i="1"/>
  <c r="M2" i="1" s="1"/>
  <c r="P2" i="1" s="1"/>
  <c r="E3" i="1"/>
  <c r="G3" i="1" s="1"/>
  <c r="E4" i="1"/>
  <c r="G4" i="1" s="1"/>
  <c r="E5" i="1"/>
  <c r="G5" i="1" s="1"/>
  <c r="N2" i="1" l="1"/>
  <c r="N4" i="1"/>
  <c r="N5" i="1"/>
  <c r="N3" i="1"/>
</calcChain>
</file>

<file path=xl/sharedStrings.xml><?xml version="1.0" encoding="utf-8"?>
<sst xmlns="http://schemas.openxmlformats.org/spreadsheetml/2006/main" count="67" uniqueCount="55">
  <si>
    <t>drug</t>
  </si>
  <si>
    <t>dose</t>
  </si>
  <si>
    <t>afatinib</t>
  </si>
  <si>
    <t>brigatinib</t>
  </si>
  <si>
    <t>imatinib</t>
  </si>
  <si>
    <t>nilotinib</t>
  </si>
  <si>
    <t>dasatinib</t>
  </si>
  <si>
    <t>bosutinib</t>
  </si>
  <si>
    <t>ponatinib</t>
  </si>
  <si>
    <t>erlotinib</t>
  </si>
  <si>
    <t>gefitinib</t>
  </si>
  <si>
    <t>osimertinib</t>
  </si>
  <si>
    <t>sunitinib</t>
  </si>
  <si>
    <t>AUC [ng*hr/mL]</t>
  </si>
  <si>
    <t>MW [g/mol]</t>
  </si>
  <si>
    <t>Cmax [ng/mL]</t>
  </si>
  <si>
    <t>Cmax [nM]</t>
  </si>
  <si>
    <t>free Cave [nM]</t>
  </si>
  <si>
    <t>PPB [%]</t>
  </si>
  <si>
    <t>duration [hr]</t>
  </si>
  <si>
    <t>Cave [ng/mL]</t>
  </si>
  <si>
    <t>Cave [nM]</t>
  </si>
  <si>
    <t>source</t>
  </si>
  <si>
    <t>serum shift</t>
  </si>
  <si>
    <t>effective Cave [nM]</t>
  </si>
  <si>
    <t>300 mg QD</t>
  </si>
  <si>
    <t>400 mg QD</t>
  </si>
  <si>
    <t>600 mg QD</t>
  </si>
  <si>
    <t>400 mg BID</t>
  </si>
  <si>
    <r>
      <t xml:space="preserve">Peng B et al. Pharmacokinetics and pharmacodynamics of imatinib in a phase I trial with chronic myeloid leukemia patients. </t>
    </r>
    <r>
      <rPr>
        <i/>
        <sz val="11"/>
        <color theme="1"/>
        <rFont val="Calibri"/>
        <family val="2"/>
        <scheme val="minor"/>
      </rPr>
      <t>J Clin Oncol.</t>
    </r>
    <r>
      <rPr>
        <sz val="11"/>
        <color theme="1"/>
        <rFont val="Calibri"/>
        <family val="2"/>
        <scheme val="minor"/>
      </rPr>
      <t xml:space="preserve"> 2004</t>
    </r>
  </si>
  <si>
    <r>
      <t xml:space="preserve">Kantarjian H et al. Nilotinib in Imatinib-Resistant CML and Philadelphia Chromosome–Positive ALL </t>
    </r>
    <r>
      <rPr>
        <i/>
        <sz val="11"/>
        <color theme="1"/>
        <rFont val="Calibri"/>
        <family val="2"/>
        <scheme val="minor"/>
      </rPr>
      <t>N Engl J Med</t>
    </r>
    <r>
      <rPr>
        <sz val="11"/>
        <color theme="1"/>
        <rFont val="Calibri"/>
        <family val="2"/>
        <scheme val="minor"/>
      </rPr>
      <t xml:space="preserve"> 2006</t>
    </r>
  </si>
  <si>
    <r>
      <t xml:space="preserve">Araujo J et al. Dasatinib combined with docetaxel for castration-resistant prostate cancer: results from a phase 1-2 study. </t>
    </r>
    <r>
      <rPr>
        <i/>
        <sz val="11"/>
        <color theme="1"/>
        <rFont val="Calibri"/>
        <family val="2"/>
        <scheme val="minor"/>
      </rPr>
      <t xml:space="preserve">Cancer. </t>
    </r>
    <r>
      <rPr>
        <sz val="11"/>
        <color theme="1"/>
        <rFont val="Calibri"/>
        <family val="2"/>
        <scheme val="minor"/>
      </rPr>
      <t>2012</t>
    </r>
  </si>
  <si>
    <t>100 mg QD</t>
  </si>
  <si>
    <t>free Cmax [nM]</t>
  </si>
  <si>
    <t>500 mg QD</t>
  </si>
  <si>
    <t>45 mg QD</t>
  </si>
  <si>
    <t>AUC [nM*hr]</t>
  </si>
  <si>
    <r>
      <t xml:space="preserve">Cortes J et al. Ponatinib in Refractory Philadelphia Chromosome–Positive Leukemias. </t>
    </r>
    <r>
      <rPr>
        <i/>
        <sz val="11"/>
        <color theme="1"/>
        <rFont val="Calibri"/>
        <family val="2"/>
        <scheme val="minor"/>
      </rPr>
      <t>N Engl J Med</t>
    </r>
    <r>
      <rPr>
        <sz val="11"/>
        <color theme="1"/>
        <rFont val="Calibri"/>
        <family val="2"/>
        <scheme val="minor"/>
      </rPr>
      <t>. 2012</t>
    </r>
  </si>
  <si>
    <t>Cortes J et al. Safety and efficacy of bosutinib (SKI-606) in chronic phase Philadelphia chromosome-positive chronic myeloid leukemia patients with resistance or intolerance to imatinib. N Engl J Med. 2011</t>
  </si>
  <si>
    <t>150 mg QD</t>
  </si>
  <si>
    <t>250 mg QD</t>
  </si>
  <si>
    <t>40 mg QD</t>
  </si>
  <si>
    <t>180 mg QD</t>
  </si>
  <si>
    <t>80 mg QD</t>
  </si>
  <si>
    <t>50 mg QD</t>
  </si>
  <si>
    <t>Note: values taken as weighted average of values in Table IV</t>
  </si>
  <si>
    <t>225 mg QD</t>
  </si>
  <si>
    <t>Lu JF et al. Clinical pharmacokinetics of erlotinib in patients with solid tumors and exposure-safety relationship in patients with non–small cell lung cancer. Clin Pharmacol Ther. 2006.</t>
  </si>
  <si>
    <t>Wind S et al. Clinical Pharmacokinetics and Pharmacodynamics of Afatinib. Clin Pharmacokinet. 2017.</t>
  </si>
  <si>
    <t>Herbst RS et al. Selective Oral Epidermal Growth Factor Receptor Tyrosine Kinase Inhibitor ZD1839 Is Generally Well-Tolerated and Has Activity in Non–Small-Cell Lung Cancer and Other Solid Tumors: Results of a Phase I Trial. J Clin Oncol. 2002.</t>
  </si>
  <si>
    <t>Note: 250 mg QD is the approved dose, but was not evaluated in Phase I trials. Herbst et al found a dose-proportional response, so 250 mg QD values are linearly interpolated from 225 mg QD and 300 mg QD values</t>
  </si>
  <si>
    <t>ARIAD Pharmaceuticals Inc. Alunbrig (brigatinib): US prescribing information. 2017. https://www.accessdata.fda.gov/drugsatfda_docs/label/2017/208772lbl.pdf.</t>
  </si>
  <si>
    <t>Kloth JSL et al. Relationship Between Sunitinib Pharmacokinetics and Administration Time: Preclinical and Clinical Evidence. Clin Pharmacokinet. 2015.</t>
  </si>
  <si>
    <t>Note: AUC was taken to be the average across administration times</t>
  </si>
  <si>
    <t>Rossi A et al. Pharmacokinetic drug evaluation of osimertinib for the treatment of non-small cell lung cancer. Expert Opin Drug Metab Toxicol.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</si>
</sst>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D14AE-69CD-4AD7-BD5E-13685AA49CFA}">
  <dimension ref="A1:R17"/>
  <sheetViews>
    <sheetView tabSelected="1" workbookViewId="0">
      <selection activeCell="Q17" sqref="Q17"/>
    </sheetView>
  </sheetViews>
  <sheetFormatPr defaultRowHeight="14.4" x14ac:dyDescent="0.55000000000000004"/>
  <sheetData>
    <row r="1" spans="1:18" x14ac:dyDescent="0.55000000000000004">
      <c r="A1" t="s">
        <v>0</v>
      </c>
      <c r="B1" t="s">
        <v>14</v>
      </c>
      <c r="C1" t="s">
        <v>1</v>
      </c>
      <c r="D1" t="s">
        <v>15</v>
      </c>
      <c r="E1" t="s">
        <v>16</v>
      </c>
      <c r="F1" t="s">
        <v>18</v>
      </c>
      <c r="G1" t="s">
        <v>33</v>
      </c>
      <c r="I1" t="s">
        <v>13</v>
      </c>
      <c r="J1" t="s">
        <v>36</v>
      </c>
      <c r="K1" t="s">
        <v>19</v>
      </c>
      <c r="L1" t="s">
        <v>20</v>
      </c>
      <c r="M1" t="s">
        <v>21</v>
      </c>
      <c r="N1" t="s">
        <v>17</v>
      </c>
      <c r="O1" t="s">
        <v>23</v>
      </c>
      <c r="P1" t="s">
        <v>24</v>
      </c>
      <c r="Q1" t="s">
        <v>22</v>
      </c>
    </row>
    <row r="2" spans="1:18" x14ac:dyDescent="0.55000000000000004">
      <c r="A2" t="s">
        <v>4</v>
      </c>
      <c r="B2">
        <v>493.6</v>
      </c>
      <c r="C2" t="s">
        <v>25</v>
      </c>
      <c r="D2">
        <v>1834.2</v>
      </c>
      <c r="E2" s="1">
        <f>D2/B2*1000</f>
        <v>3715.9643435980552</v>
      </c>
      <c r="F2">
        <v>94</v>
      </c>
      <c r="G2" s="1">
        <f>E2*(1-F2/100)</f>
        <v>222.9578606158835</v>
      </c>
      <c r="I2">
        <v>27400</v>
      </c>
      <c r="K2">
        <v>24</v>
      </c>
      <c r="L2" s="1">
        <f t="shared" ref="L2:L8" si="0">I2/K2</f>
        <v>1141.6666666666667</v>
      </c>
      <c r="M2" s="1">
        <f t="shared" ref="M2:M8" si="1">L2/B2*1000</f>
        <v>2312.9389519178822</v>
      </c>
      <c r="N2" s="1">
        <f t="shared" ref="N2:N17" si="2">M2*(1-F2/100)</f>
        <v>138.77633711507306</v>
      </c>
      <c r="O2">
        <v>7.6</v>
      </c>
      <c r="P2" s="1">
        <f>M2/O2</f>
        <v>304.33407262077401</v>
      </c>
      <c r="Q2" t="s">
        <v>29</v>
      </c>
    </row>
    <row r="3" spans="1:18" x14ac:dyDescent="0.55000000000000004">
      <c r="A3" t="s">
        <v>4</v>
      </c>
      <c r="B3">
        <v>493.6</v>
      </c>
      <c r="C3" t="s">
        <v>26</v>
      </c>
      <c r="D3">
        <v>2596</v>
      </c>
      <c r="E3" s="1">
        <f t="shared" ref="E3:E10" si="3">D3/B3*1000</f>
        <v>5259.3192868719607</v>
      </c>
      <c r="F3">
        <v>94</v>
      </c>
      <c r="G3" s="1">
        <f t="shared" ref="G3:G10" si="4">E3*(1-F3/100)</f>
        <v>315.55915721231793</v>
      </c>
      <c r="I3">
        <v>40100</v>
      </c>
      <c r="K3">
        <v>24</v>
      </c>
      <c r="L3" s="1">
        <f t="shared" si="0"/>
        <v>1670.8333333333333</v>
      </c>
      <c r="M3" s="1">
        <f t="shared" si="1"/>
        <v>3384.9945975148567</v>
      </c>
      <c r="N3" s="1">
        <f t="shared" si="2"/>
        <v>203.09967585089157</v>
      </c>
      <c r="O3">
        <v>7.6</v>
      </c>
      <c r="P3" s="1">
        <f>M3/O3</f>
        <v>445.39402598879695</v>
      </c>
      <c r="Q3" t="s">
        <v>29</v>
      </c>
    </row>
    <row r="4" spans="1:18" x14ac:dyDescent="0.55000000000000004">
      <c r="A4" t="s">
        <v>4</v>
      </c>
      <c r="B4">
        <v>493.6</v>
      </c>
      <c r="C4" t="s">
        <v>27</v>
      </c>
      <c r="D4">
        <v>3508.9</v>
      </c>
      <c r="E4" s="1">
        <f t="shared" si="3"/>
        <v>7108.7925445705023</v>
      </c>
      <c r="F4">
        <v>94</v>
      </c>
      <c r="G4" s="1">
        <f t="shared" si="4"/>
        <v>426.52755267423049</v>
      </c>
      <c r="I4">
        <v>51700</v>
      </c>
      <c r="K4">
        <v>24</v>
      </c>
      <c r="L4" s="1">
        <f t="shared" si="0"/>
        <v>2154.1666666666665</v>
      </c>
      <c r="M4" s="1">
        <f t="shared" si="1"/>
        <v>4364.1950297136673</v>
      </c>
      <c r="N4" s="1">
        <f t="shared" si="2"/>
        <v>261.85170178282027</v>
      </c>
      <c r="O4">
        <v>7.6</v>
      </c>
      <c r="P4" s="1">
        <f>M4/O4</f>
        <v>574.23618812021937</v>
      </c>
      <c r="Q4" t="s">
        <v>29</v>
      </c>
    </row>
    <row r="5" spans="1:18" x14ac:dyDescent="0.55000000000000004">
      <c r="A5" t="s">
        <v>4</v>
      </c>
      <c r="B5">
        <v>493.6</v>
      </c>
      <c r="C5" t="s">
        <v>28</v>
      </c>
      <c r="D5">
        <v>3701.8</v>
      </c>
      <c r="E5" s="1">
        <f t="shared" si="3"/>
        <v>7499.5948136142624</v>
      </c>
      <c r="F5">
        <v>94</v>
      </c>
      <c r="G5" s="1">
        <f t="shared" si="4"/>
        <v>449.97568881685612</v>
      </c>
      <c r="I5">
        <v>68400</v>
      </c>
      <c r="K5">
        <v>24</v>
      </c>
      <c r="L5" s="1">
        <f t="shared" si="0"/>
        <v>2850</v>
      </c>
      <c r="M5" s="1">
        <f t="shared" si="1"/>
        <v>5773.905996758509</v>
      </c>
      <c r="N5" s="1">
        <f t="shared" si="2"/>
        <v>346.43435980551084</v>
      </c>
      <c r="O5">
        <v>7.6</v>
      </c>
      <c r="P5" s="1">
        <f>M5/O5</f>
        <v>759.72447325769861</v>
      </c>
      <c r="Q5" t="s">
        <v>29</v>
      </c>
    </row>
    <row r="6" spans="1:18" x14ac:dyDescent="0.55000000000000004">
      <c r="A6" t="s">
        <v>5</v>
      </c>
      <c r="B6">
        <v>529.5</v>
      </c>
      <c r="C6" t="s">
        <v>28</v>
      </c>
      <c r="E6" s="1">
        <v>3600</v>
      </c>
      <c r="F6">
        <v>98</v>
      </c>
      <c r="G6" s="1">
        <f t="shared" si="4"/>
        <v>72.000000000000057</v>
      </c>
      <c r="I6">
        <v>17500</v>
      </c>
      <c r="K6">
        <v>12</v>
      </c>
      <c r="L6" s="1">
        <f t="shared" si="0"/>
        <v>1458.3333333333333</v>
      </c>
      <c r="M6" s="1">
        <f t="shared" si="1"/>
        <v>2754.1706011960969</v>
      </c>
      <c r="N6" s="1">
        <f t="shared" si="2"/>
        <v>55.083412023921987</v>
      </c>
      <c r="Q6" t="s">
        <v>30</v>
      </c>
    </row>
    <row r="7" spans="1:18" x14ac:dyDescent="0.55000000000000004">
      <c r="A7" t="s">
        <v>6</v>
      </c>
      <c r="B7">
        <v>488</v>
      </c>
      <c r="C7" t="s">
        <v>32</v>
      </c>
      <c r="D7">
        <v>84</v>
      </c>
      <c r="E7" s="1">
        <f t="shared" si="3"/>
        <v>172.13114754098359</v>
      </c>
      <c r="F7">
        <v>96</v>
      </c>
      <c r="G7" s="1">
        <f t="shared" si="4"/>
        <v>6.8852459016393501</v>
      </c>
      <c r="I7">
        <v>318</v>
      </c>
      <c r="K7">
        <v>24</v>
      </c>
      <c r="L7" s="1">
        <f t="shared" si="0"/>
        <v>13.25</v>
      </c>
      <c r="M7" s="1">
        <f t="shared" si="1"/>
        <v>27.151639344262293</v>
      </c>
      <c r="N7" s="1">
        <f t="shared" si="2"/>
        <v>1.0860655737704927</v>
      </c>
      <c r="Q7" t="s">
        <v>31</v>
      </c>
    </row>
    <row r="8" spans="1:18" x14ac:dyDescent="0.55000000000000004">
      <c r="A8" t="s">
        <v>7</v>
      </c>
      <c r="B8">
        <v>530.4</v>
      </c>
      <c r="C8" t="s">
        <v>34</v>
      </c>
      <c r="D8">
        <v>200.3</v>
      </c>
      <c r="E8" s="1">
        <f t="shared" si="3"/>
        <v>377.63951734539972</v>
      </c>
      <c r="F8">
        <v>95</v>
      </c>
      <c r="G8" s="1">
        <f t="shared" si="4"/>
        <v>18.881975867270004</v>
      </c>
      <c r="I8">
        <v>3660</v>
      </c>
      <c r="K8">
        <v>24</v>
      </c>
      <c r="L8" s="1">
        <f t="shared" si="0"/>
        <v>152.5</v>
      </c>
      <c r="M8" s="1">
        <f t="shared" si="1"/>
        <v>287.51885369532431</v>
      </c>
      <c r="N8" s="1">
        <f t="shared" si="2"/>
        <v>14.375942684766228</v>
      </c>
      <c r="Q8" t="s">
        <v>38</v>
      </c>
    </row>
    <row r="9" spans="1:18" x14ac:dyDescent="0.55000000000000004">
      <c r="A9" t="s">
        <v>8</v>
      </c>
      <c r="B9">
        <v>532.6</v>
      </c>
      <c r="C9" t="s">
        <v>35</v>
      </c>
      <c r="E9" s="1">
        <v>145.4</v>
      </c>
      <c r="F9">
        <v>99.9</v>
      </c>
      <c r="G9" s="1">
        <f t="shared" si="4"/>
        <v>0.14539999999998399</v>
      </c>
      <c r="J9">
        <v>2433.5</v>
      </c>
      <c r="K9">
        <v>24</v>
      </c>
      <c r="L9" s="1"/>
      <c r="M9" s="1">
        <f>J9/K9</f>
        <v>101.39583333333333</v>
      </c>
      <c r="N9" s="1">
        <f t="shared" si="2"/>
        <v>0.10139583333332217</v>
      </c>
      <c r="Q9" t="s">
        <v>37</v>
      </c>
    </row>
    <row r="10" spans="1:18" x14ac:dyDescent="0.55000000000000004">
      <c r="A10" t="s">
        <v>9</v>
      </c>
      <c r="B10">
        <v>393.4</v>
      </c>
      <c r="C10" t="s">
        <v>39</v>
      </c>
      <c r="D10" s="1">
        <f>(1947*43+1801*110+2002*157+2297*29)/339</f>
        <v>1955.0383480825958</v>
      </c>
      <c r="E10" s="1">
        <f t="shared" si="3"/>
        <v>4969.5941740787894</v>
      </c>
      <c r="F10">
        <v>95</v>
      </c>
      <c r="G10" s="1">
        <f t="shared" si="4"/>
        <v>248.47970870393968</v>
      </c>
      <c r="I10" s="1">
        <f>(39.9*43+37.5*110+42.8*157+50.1*29)/339*1000</f>
        <v>41336.873156342182</v>
      </c>
      <c r="K10">
        <v>24</v>
      </c>
      <c r="L10" s="1">
        <f>I10/K10</f>
        <v>1722.369714847591</v>
      </c>
      <c r="M10" s="1">
        <f>L10/B10*1000</f>
        <v>4378.1639930035362</v>
      </c>
      <c r="N10" s="1">
        <f t="shared" si="2"/>
        <v>218.90819965017701</v>
      </c>
      <c r="Q10" t="s">
        <v>47</v>
      </c>
      <c r="R10" t="s">
        <v>45</v>
      </c>
    </row>
    <row r="11" spans="1:18" x14ac:dyDescent="0.55000000000000004">
      <c r="A11" t="s">
        <v>10</v>
      </c>
      <c r="B11">
        <v>446.9</v>
      </c>
      <c r="C11" t="s">
        <v>46</v>
      </c>
      <c r="E11" s="1"/>
      <c r="F11">
        <v>97</v>
      </c>
      <c r="G11" s="1"/>
      <c r="L11" s="1">
        <v>190</v>
      </c>
      <c r="M11" s="1"/>
      <c r="N11" s="1"/>
      <c r="Q11" t="s">
        <v>49</v>
      </c>
    </row>
    <row r="12" spans="1:18" x14ac:dyDescent="0.55000000000000004">
      <c r="A12" t="s">
        <v>10</v>
      </c>
      <c r="B12">
        <v>446.9</v>
      </c>
      <c r="C12" t="s">
        <v>25</v>
      </c>
      <c r="E12" s="1"/>
      <c r="F12">
        <v>97</v>
      </c>
      <c r="G12" s="1"/>
      <c r="L12" s="1">
        <v>265</v>
      </c>
      <c r="M12" s="1"/>
      <c r="N12" s="1"/>
      <c r="Q12" t="s">
        <v>49</v>
      </c>
    </row>
    <row r="13" spans="1:18" x14ac:dyDescent="0.55000000000000004">
      <c r="A13" t="s">
        <v>10</v>
      </c>
      <c r="B13">
        <v>446.9</v>
      </c>
      <c r="C13" t="s">
        <v>40</v>
      </c>
      <c r="E13" s="1"/>
      <c r="F13">
        <v>97</v>
      </c>
      <c r="G13" s="1"/>
      <c r="I13">
        <v>5078</v>
      </c>
      <c r="K13">
        <v>24</v>
      </c>
      <c r="L13" s="1">
        <f>(L12-L11)/(300-225)*250+(L11-(L12-L11)/(300-225)*225)</f>
        <v>215</v>
      </c>
      <c r="M13" s="1">
        <f>L13/B13*1000</f>
        <v>481.09196688297163</v>
      </c>
      <c r="N13" s="1">
        <f t="shared" si="2"/>
        <v>14.432759006489162</v>
      </c>
      <c r="Q13" t="s">
        <v>49</v>
      </c>
      <c r="R13" t="s">
        <v>50</v>
      </c>
    </row>
    <row r="14" spans="1:18" x14ac:dyDescent="0.55000000000000004">
      <c r="A14" t="s">
        <v>2</v>
      </c>
      <c r="B14">
        <v>485.9</v>
      </c>
      <c r="C14" t="s">
        <v>41</v>
      </c>
      <c r="D14">
        <v>38</v>
      </c>
      <c r="E14" s="1">
        <f t="shared" ref="E14:E15" si="5">D14/B14*1000</f>
        <v>78.205392055978592</v>
      </c>
      <c r="F14">
        <v>95</v>
      </c>
      <c r="G14" s="1">
        <f t="shared" ref="G14:G16" si="6">E14*(1-F14/100)</f>
        <v>3.910269602798933</v>
      </c>
      <c r="I14">
        <v>631</v>
      </c>
      <c r="K14">
        <v>24</v>
      </c>
      <c r="L14" s="1">
        <f>I14/K14</f>
        <v>26.291666666666668</v>
      </c>
      <c r="M14" s="1">
        <f>L14/B14*1000</f>
        <v>54.109213143993969</v>
      </c>
      <c r="N14" s="1">
        <f t="shared" si="2"/>
        <v>2.7054606571997009</v>
      </c>
      <c r="Q14" t="s">
        <v>48</v>
      </c>
    </row>
    <row r="15" spans="1:18" x14ac:dyDescent="0.55000000000000004">
      <c r="A15" t="s">
        <v>3</v>
      </c>
      <c r="B15">
        <v>584.1</v>
      </c>
      <c r="C15" t="s">
        <v>42</v>
      </c>
      <c r="D15">
        <v>1452</v>
      </c>
      <c r="E15" s="1">
        <f t="shared" si="5"/>
        <v>2485.8757062146892</v>
      </c>
      <c r="F15">
        <v>66</v>
      </c>
      <c r="G15" s="1">
        <f t="shared" si="6"/>
        <v>845.19774011299421</v>
      </c>
      <c r="I15">
        <v>20276</v>
      </c>
      <c r="K15">
        <v>24</v>
      </c>
      <c r="L15" s="1">
        <f>I15/K15</f>
        <v>844.83333333333337</v>
      </c>
      <c r="M15" s="1">
        <f>L15/B15*1000</f>
        <v>1446.3847514694971</v>
      </c>
      <c r="N15" s="1">
        <f t="shared" si="2"/>
        <v>491.77081549962895</v>
      </c>
      <c r="Q15" s="2" t="s">
        <v>51</v>
      </c>
    </row>
    <row r="16" spans="1:18" x14ac:dyDescent="0.55000000000000004">
      <c r="A16" t="s">
        <v>11</v>
      </c>
      <c r="B16">
        <v>499.6</v>
      </c>
      <c r="C16" t="s">
        <v>43</v>
      </c>
      <c r="E16" s="1">
        <v>623.79999999999995</v>
      </c>
      <c r="F16">
        <v>95</v>
      </c>
      <c r="G16" s="1">
        <f t="shared" si="6"/>
        <v>31.190000000000026</v>
      </c>
      <c r="J16">
        <v>11930</v>
      </c>
      <c r="K16">
        <v>24</v>
      </c>
      <c r="M16" s="1">
        <f>J16/K16</f>
        <v>497.08333333333331</v>
      </c>
      <c r="N16" s="1">
        <f t="shared" si="2"/>
        <v>24.854166666666689</v>
      </c>
      <c r="Q16" s="2" t="s">
        <v>54</v>
      </c>
    </row>
    <row r="17" spans="1:18" x14ac:dyDescent="0.55000000000000004">
      <c r="A17" t="s">
        <v>12</v>
      </c>
      <c r="B17">
        <v>398.5</v>
      </c>
      <c r="C17" t="s">
        <v>44</v>
      </c>
      <c r="E17" s="1"/>
      <c r="F17">
        <v>95</v>
      </c>
      <c r="G17" s="1"/>
      <c r="I17" s="1">
        <f>AVERAGE(1832,1965,1711,1314,1572,1274)</f>
        <v>1611.3333333333333</v>
      </c>
      <c r="K17">
        <v>24</v>
      </c>
      <c r="L17" s="1">
        <f>I17/K17</f>
        <v>67.138888888888886</v>
      </c>
      <c r="M17" s="1">
        <f>L17/B17*1000</f>
        <v>168.47901854175379</v>
      </c>
      <c r="N17" s="1">
        <f t="shared" si="2"/>
        <v>8.4239509270876969</v>
      </c>
      <c r="Q17" t="s">
        <v>52</v>
      </c>
      <c r="R17" t="s">
        <v>53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2021-09-30T23:08:12Z</dcterms:created>
  <dcterms:modified xsi:type="dcterms:W3CDTF">2021-10-13T16:50:04Z</dcterms:modified>
</cp:coreProperties>
</file>