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COOLYAH\SEMESTER 5\PENGAUDITAN 2\Asis\"/>
    </mc:Choice>
  </mc:AlternateContent>
  <xr:revisionPtr revIDLastSave="0" documentId="13_ncr:1_{92091C39-FB8C-4D5D-AB3D-8809F2F7DFAC}" xr6:coauthVersionLast="47" xr6:coauthVersionMax="47" xr10:uidLastSave="{00000000-0000-0000-0000-000000000000}"/>
  <bookViews>
    <workbookView xWindow="-108" yWindow="-108" windowWidth="23256" windowHeight="12456" activeTab="2" xr2:uid="{00000000-000D-0000-FFFF-FFFF00000000}"/>
  </bookViews>
  <sheets>
    <sheet name="Daftar Gaji" sheetId="1" r:id="rId1"/>
    <sheet name="Substantif Beban Gaji" sheetId="3" r:id="rId2"/>
    <sheet name="Tickmarks" sheetId="2" r:id="rId3"/>
  </sheets>
  <definedNames>
    <definedName name="_xlnm._FilterDatabase" localSheetId="0" hidden="1">'Daftar Gaji'!$W$11:$AH$54</definedName>
    <definedName name="_xlnm._FilterDatabase" localSheetId="1" hidden="1">'Substantif Beban Gaji'!$B$17:$D$25</definedName>
    <definedName name="Asuransi">'Daftar Gaji'!$K$12:$K$60</definedName>
    <definedName name="Biaya_Jabatan">'Daftar Gaji'!$M$12:$M$60</definedName>
    <definedName name="Gaji_Pokok">'Daftar Gaji'!$I$12:$I$60</definedName>
    <definedName name="ID_Karyawan">'Daftar Gaji'!$B$12:$B$60</definedName>
    <definedName name="JHT_JP__Dibayarkan_oleh_Karyawan">'Daftar Gaji'!$N$12:$N$60</definedName>
    <definedName name="Nama_Karyawan">'Daftar Gaji'!$C$12:$C$60</definedName>
    <definedName name="NPWP">'Daftar Gaji'!$G$12:$G$60</definedName>
    <definedName name="Penghasilan_Bruto">'Daftar Gaji'!$L$12:$L$60</definedName>
    <definedName name="Penghasilan_Neto">'Daftar Gaji'!$O$12:$O$60</definedName>
    <definedName name="PKP">'Daftar Gaji'!$Q$12:$Q$60</definedName>
    <definedName name="Posisi">'Daftar Gaji'!$D$12:$D$60</definedName>
    <definedName name="PPh_21">'Daftar Gaji'!$R$12:$R$60</definedName>
    <definedName name="PPh_21_bulan">'Daftar Gaji'!$S$12:$S$60</definedName>
    <definedName name="PTKP">'Daftar Gaji'!$P$12:$P$60</definedName>
    <definedName name="Status">'Daftar Gaji'!$H$12:$H$60</definedName>
    <definedName name="Tabel_BebanGaji">'Daftar Gaji'!$B$11:$U$60</definedName>
    <definedName name="Tabel_Pembantu_PTKP">'Daftar Gaji'!$W$63:$X$70</definedName>
    <definedName name="Take_Home_Pay__bulan">'Daftar Gaji'!$T$12:$T$60</definedName>
    <definedName name="Take_Home_Pay__tahun">'Daftar Gaji'!$U$12:$U$60</definedName>
    <definedName name="Tarif_Jabatan">'Daftar Gaji'!$X$10</definedName>
    <definedName name="Tarif_JHP">'Daftar Gaji'!$Y$10</definedName>
    <definedName name="Tarif_Ps_17">'Daftar Gaji'!$AC$2:$AE$6</definedName>
    <definedName name="Tgl_Penerimaan">'Daftar Gaji'!$E$12:$E$60</definedName>
    <definedName name="Tgl_Resign">'Daftar Gaji'!$F$12:$F$60</definedName>
    <definedName name="Tunjangan">'Daftar Gaji'!$J$12:$J$60</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X60" i="1" l="1"/>
  <c r="Y60" i="1"/>
  <c r="Z60" i="1"/>
  <c r="AA60" i="1"/>
  <c r="AB60" i="1"/>
  <c r="AC60" i="1"/>
  <c r="AD60" i="1"/>
  <c r="AE60" i="1"/>
  <c r="AF60" i="1"/>
  <c r="AG60" i="1"/>
  <c r="AH60" i="1"/>
  <c r="W60" i="1"/>
  <c r="J60" i="1"/>
  <c r="K60" i="1"/>
  <c r="L60" i="1"/>
  <c r="M60" i="1"/>
  <c r="N60" i="1"/>
  <c r="O60" i="1"/>
  <c r="P60" i="1"/>
  <c r="Q60" i="1"/>
  <c r="R60" i="1"/>
  <c r="S60" i="1"/>
  <c r="T60" i="1"/>
  <c r="U60" i="1"/>
  <c r="I60" i="1"/>
  <c r="L56" i="1" l="1"/>
  <c r="L55" i="1"/>
  <c r="L53" i="1"/>
  <c r="C70" i="1"/>
  <c r="M19" i="3"/>
  <c r="M20" i="3"/>
  <c r="M21" i="3"/>
  <c r="M22" i="3"/>
  <c r="M23" i="3"/>
  <c r="M24" i="3"/>
  <c r="M25" i="3"/>
  <c r="M26" i="3"/>
  <c r="M27" i="3"/>
  <c r="M28" i="3"/>
  <c r="M29" i="3"/>
  <c r="K53" i="1"/>
  <c r="W56" i="1"/>
  <c r="X56" i="1" s="1"/>
  <c r="AA13" i="1"/>
  <c r="Y54" i="1"/>
  <c r="Y55" i="1"/>
  <c r="Y56" i="1"/>
  <c r="Y57" i="1"/>
  <c r="Y58" i="1"/>
  <c r="Y14" i="1"/>
  <c r="Y15" i="1"/>
  <c r="Y16" i="1"/>
  <c r="Y17" i="1"/>
  <c r="Y18" i="1"/>
  <c r="Y19" i="1"/>
  <c r="Y20" i="1"/>
  <c r="Y21" i="1"/>
  <c r="Y22" i="1"/>
  <c r="Y23" i="1"/>
  <c r="Y24" i="1"/>
  <c r="Y25" i="1"/>
  <c r="Y26" i="1"/>
  <c r="Y27" i="1"/>
  <c r="Y28" i="1"/>
  <c r="Y29" i="1"/>
  <c r="Y30" i="1"/>
  <c r="Y31" i="1"/>
  <c r="Y32" i="1"/>
  <c r="Y33" i="1"/>
  <c r="Y34" i="1"/>
  <c r="Y35" i="1"/>
  <c r="Y36" i="1"/>
  <c r="Y37" i="1"/>
  <c r="Y38" i="1"/>
  <c r="Y40" i="1"/>
  <c r="Y41" i="1"/>
  <c r="Y42" i="1"/>
  <c r="Y43" i="1"/>
  <c r="Y44" i="1"/>
  <c r="Y45" i="1"/>
  <c r="Y46" i="1"/>
  <c r="Y47" i="1"/>
  <c r="Y48" i="1"/>
  <c r="Y49" i="1"/>
  <c r="Y50" i="1"/>
  <c r="Y51" i="1"/>
  <c r="Y52" i="1"/>
  <c r="Y13" i="1"/>
  <c r="W14" i="1"/>
  <c r="W15" i="1"/>
  <c r="X15" i="1" s="1"/>
  <c r="W16" i="1"/>
  <c r="X16" i="1" s="1"/>
  <c r="W17" i="1"/>
  <c r="X17" i="1" s="1"/>
  <c r="W18" i="1"/>
  <c r="X18" i="1" s="1"/>
  <c r="Z18" i="1" s="1"/>
  <c r="AB18" i="1" s="1"/>
  <c r="AC18" i="1" s="1"/>
  <c r="W19" i="1"/>
  <c r="X19" i="1" s="1"/>
  <c r="W20" i="1"/>
  <c r="X20" i="1" s="1"/>
  <c r="W21" i="1"/>
  <c r="X21" i="1" s="1"/>
  <c r="W22" i="1"/>
  <c r="X22" i="1" s="1"/>
  <c r="Z22" i="1" s="1"/>
  <c r="W23" i="1"/>
  <c r="W24" i="1"/>
  <c r="X24" i="1" s="1"/>
  <c r="W25" i="1"/>
  <c r="X25" i="1" s="1"/>
  <c r="W26" i="1"/>
  <c r="X26" i="1" s="1"/>
  <c r="Z26" i="1" s="1"/>
  <c r="W27" i="1"/>
  <c r="X27" i="1" s="1"/>
  <c r="W28" i="1"/>
  <c r="X28" i="1" s="1"/>
  <c r="W29" i="1"/>
  <c r="X29" i="1" s="1"/>
  <c r="W30" i="1"/>
  <c r="X30" i="1" s="1"/>
  <c r="Z30" i="1" s="1"/>
  <c r="W31" i="1"/>
  <c r="X31" i="1" s="1"/>
  <c r="W32" i="1"/>
  <c r="X32" i="1" s="1"/>
  <c r="W33" i="1"/>
  <c r="X33" i="1" s="1"/>
  <c r="W34" i="1"/>
  <c r="X34" i="1" s="1"/>
  <c r="Z34" i="1" s="1"/>
  <c r="W35" i="1"/>
  <c r="X35" i="1" s="1"/>
  <c r="W36" i="1"/>
  <c r="X36" i="1" s="1"/>
  <c r="W37" i="1"/>
  <c r="X37" i="1" s="1"/>
  <c r="W38" i="1"/>
  <c r="X38" i="1" s="1"/>
  <c r="Z38" i="1" s="1"/>
  <c r="W40" i="1"/>
  <c r="X40" i="1" s="1"/>
  <c r="W41" i="1"/>
  <c r="X41" i="1" s="1"/>
  <c r="W42" i="1"/>
  <c r="X42" i="1" s="1"/>
  <c r="W43" i="1"/>
  <c r="X43" i="1" s="1"/>
  <c r="Z43" i="1" s="1"/>
  <c r="W44" i="1"/>
  <c r="X44" i="1" s="1"/>
  <c r="W45" i="1"/>
  <c r="X45" i="1" s="1"/>
  <c r="W46" i="1"/>
  <c r="X46" i="1" s="1"/>
  <c r="W47" i="1"/>
  <c r="X47" i="1" s="1"/>
  <c r="Z47" i="1" s="1"/>
  <c r="W48" i="1"/>
  <c r="X48" i="1" s="1"/>
  <c r="W49" i="1"/>
  <c r="X49" i="1" s="1"/>
  <c r="W50" i="1"/>
  <c r="X50" i="1" s="1"/>
  <c r="W51" i="1"/>
  <c r="X51" i="1" s="1"/>
  <c r="Z51" i="1" s="1"/>
  <c r="W52" i="1"/>
  <c r="X52" i="1" s="1"/>
  <c r="W55" i="1"/>
  <c r="W57" i="1"/>
  <c r="X57" i="1" s="1"/>
  <c r="W58" i="1"/>
  <c r="X58" i="1" s="1"/>
  <c r="W13" i="1"/>
  <c r="M18" i="3"/>
  <c r="AA56" i="1"/>
  <c r="AA57" i="1"/>
  <c r="AA58" i="1"/>
  <c r="AA55"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40" i="1"/>
  <c r="AA41" i="1"/>
  <c r="AA42" i="1"/>
  <c r="AA43" i="1"/>
  <c r="AA44" i="1"/>
  <c r="AA45" i="1"/>
  <c r="AA46" i="1"/>
  <c r="AA47" i="1"/>
  <c r="AA48" i="1"/>
  <c r="AA49" i="1"/>
  <c r="AA50" i="1"/>
  <c r="AA51" i="1"/>
  <c r="AA52" i="1"/>
  <c r="P13" i="1"/>
  <c r="L23" i="1"/>
  <c r="AG54" i="1"/>
  <c r="AE5" i="1"/>
  <c r="AE4" i="1"/>
  <c r="AE3" i="1"/>
  <c r="X70" i="1"/>
  <c r="X69" i="1"/>
  <c r="X68" i="1"/>
  <c r="X67" i="1"/>
  <c r="X66" i="1"/>
  <c r="X65" i="1"/>
  <c r="X64" i="1"/>
  <c r="Z14" i="1" l="1"/>
  <c r="AB14" i="1" s="1"/>
  <c r="AC14" i="1" s="1"/>
  <c r="AF14" i="1" s="1"/>
  <c r="Z24" i="1"/>
  <c r="X14" i="1"/>
  <c r="W53" i="1"/>
  <c r="Y53" i="1"/>
  <c r="AA53" i="1"/>
  <c r="Z50" i="1"/>
  <c r="AB50" i="1" s="1"/>
  <c r="AC50" i="1" s="1"/>
  <c r="Z46" i="1"/>
  <c r="AB46" i="1" s="1"/>
  <c r="AC46" i="1" s="1"/>
  <c r="AF46" i="1" s="1"/>
  <c r="Z42" i="1"/>
  <c r="AB42" i="1" s="1"/>
  <c r="AC42" i="1" s="1"/>
  <c r="AF42" i="1" s="1"/>
  <c r="AB51" i="1"/>
  <c r="AC51" i="1" s="1"/>
  <c r="AD51" i="1" s="1"/>
  <c r="AE51" i="1" s="1"/>
  <c r="AG51" i="1" s="1"/>
  <c r="AH51" i="1" s="1"/>
  <c r="AB47" i="1"/>
  <c r="AC47" i="1" s="1"/>
  <c r="AD47" i="1" s="1"/>
  <c r="AE47" i="1" s="1"/>
  <c r="AG47" i="1" s="1"/>
  <c r="AH47" i="1" s="1"/>
  <c r="AB43" i="1"/>
  <c r="AC43" i="1" s="1"/>
  <c r="AF43" i="1" s="1"/>
  <c r="AB38" i="1"/>
  <c r="AC38" i="1" s="1"/>
  <c r="AD38" i="1" s="1"/>
  <c r="AE38" i="1" s="1"/>
  <c r="AG38" i="1" s="1"/>
  <c r="AH38" i="1" s="1"/>
  <c r="X23" i="1"/>
  <c r="Z23" i="1" s="1"/>
  <c r="AB23" i="1" s="1"/>
  <c r="AC23" i="1" s="1"/>
  <c r="AF23" i="1" s="1"/>
  <c r="X13" i="1"/>
  <c r="AB22" i="1"/>
  <c r="AC22" i="1" s="1"/>
  <c r="AD22" i="1" s="1"/>
  <c r="AE22" i="1" s="1"/>
  <c r="AG22" i="1" s="1"/>
  <c r="AH22" i="1" s="1"/>
  <c r="AB30" i="1"/>
  <c r="AC30" i="1" s="1"/>
  <c r="AD30" i="1" s="1"/>
  <c r="AE30" i="1" s="1"/>
  <c r="AG30" i="1" s="1"/>
  <c r="AH30" i="1" s="1"/>
  <c r="W59" i="1"/>
  <c r="AB64" i="1" s="1"/>
  <c r="AB24" i="1"/>
  <c r="AC24" i="1" s="1"/>
  <c r="AD24" i="1" s="1"/>
  <c r="AE24" i="1" s="1"/>
  <c r="AG24" i="1" s="1"/>
  <c r="AH24" i="1" s="1"/>
  <c r="AB34" i="1"/>
  <c r="AC34" i="1" s="1"/>
  <c r="AD34" i="1" s="1"/>
  <c r="AE34" i="1" s="1"/>
  <c r="AG34" i="1" s="1"/>
  <c r="AH34" i="1" s="1"/>
  <c r="Z27" i="1"/>
  <c r="AB27" i="1" s="1"/>
  <c r="AC27" i="1" s="1"/>
  <c r="AF27" i="1" s="1"/>
  <c r="Y59" i="1"/>
  <c r="X55" i="1"/>
  <c r="Z55" i="1" s="1"/>
  <c r="AB55" i="1" s="1"/>
  <c r="AC55" i="1" s="1"/>
  <c r="AB26" i="1"/>
  <c r="AC26" i="1" s="1"/>
  <c r="AF26" i="1" s="1"/>
  <c r="Z58" i="1"/>
  <c r="AB58" i="1" s="1"/>
  <c r="AC58" i="1" s="1"/>
  <c r="AF58" i="1" s="1"/>
  <c r="Z56" i="1"/>
  <c r="AB56" i="1" s="1"/>
  <c r="AC56" i="1" s="1"/>
  <c r="Z52" i="1"/>
  <c r="AB52" i="1" s="1"/>
  <c r="AC52" i="1" s="1"/>
  <c r="AF52" i="1" s="1"/>
  <c r="Z48" i="1"/>
  <c r="AB48" i="1" s="1"/>
  <c r="AC48" i="1" s="1"/>
  <c r="AF48" i="1" s="1"/>
  <c r="Z44" i="1"/>
  <c r="AB44" i="1" s="1"/>
  <c r="AC44" i="1" s="1"/>
  <c r="AF44" i="1" s="1"/>
  <c r="Z40" i="1"/>
  <c r="AB40" i="1" s="1"/>
  <c r="AC40" i="1" s="1"/>
  <c r="AF40" i="1" s="1"/>
  <c r="Z49" i="1"/>
  <c r="AB49" i="1" s="1"/>
  <c r="AC49" i="1" s="1"/>
  <c r="AF49" i="1" s="1"/>
  <c r="Z41" i="1"/>
  <c r="AB41" i="1" s="1"/>
  <c r="AC41" i="1" s="1"/>
  <c r="AD41" i="1" s="1"/>
  <c r="AE41" i="1" s="1"/>
  <c r="AG41" i="1" s="1"/>
  <c r="AH41" i="1" s="1"/>
  <c r="Z57" i="1"/>
  <c r="AB57" i="1" s="1"/>
  <c r="AC57" i="1" s="1"/>
  <c r="AF57" i="1" s="1"/>
  <c r="Z45" i="1"/>
  <c r="AB45" i="1" s="1"/>
  <c r="AC45" i="1" s="1"/>
  <c r="Z37" i="1"/>
  <c r="AB37" i="1" s="1"/>
  <c r="AC37" i="1" s="1"/>
  <c r="Z29" i="1"/>
  <c r="AB29" i="1" s="1"/>
  <c r="AC29" i="1" s="1"/>
  <c r="AF29" i="1" s="1"/>
  <c r="Z28" i="1"/>
  <c r="AB28" i="1" s="1"/>
  <c r="AC28" i="1" s="1"/>
  <c r="AF28" i="1" s="1"/>
  <c r="Z25" i="1"/>
  <c r="AB25" i="1" s="1"/>
  <c r="AC25" i="1" s="1"/>
  <c r="Z21" i="1"/>
  <c r="AB21" i="1" s="1"/>
  <c r="AC21" i="1" s="1"/>
  <c r="Z17" i="1"/>
  <c r="AB17" i="1" s="1"/>
  <c r="AC17" i="1" s="1"/>
  <c r="AD17" i="1" s="1"/>
  <c r="AE17" i="1" s="1"/>
  <c r="AG17" i="1" s="1"/>
  <c r="AH17" i="1" s="1"/>
  <c r="Z35" i="1"/>
  <c r="AB35" i="1" s="1"/>
  <c r="AC35" i="1" s="1"/>
  <c r="AF35" i="1" s="1"/>
  <c r="Z32" i="1"/>
  <c r="AB32" i="1" s="1"/>
  <c r="AC32" i="1" s="1"/>
  <c r="AD32" i="1" s="1"/>
  <c r="AE32" i="1" s="1"/>
  <c r="AG32" i="1" s="1"/>
  <c r="AH32" i="1" s="1"/>
  <c r="Z31" i="1"/>
  <c r="AB31" i="1" s="1"/>
  <c r="AC31" i="1" s="1"/>
  <c r="Z19" i="1"/>
  <c r="AB19" i="1" s="1"/>
  <c r="AC19" i="1" s="1"/>
  <c r="AF19" i="1" s="1"/>
  <c r="Z16" i="1"/>
  <c r="AB16" i="1" s="1"/>
  <c r="AC16" i="1" s="1"/>
  <c r="AF16" i="1" s="1"/>
  <c r="Z15" i="1"/>
  <c r="AB15" i="1" s="1"/>
  <c r="AC15" i="1" s="1"/>
  <c r="Z33" i="1"/>
  <c r="AB33" i="1" s="1"/>
  <c r="AC33" i="1" s="1"/>
  <c r="AF33" i="1" s="1"/>
  <c r="Z36" i="1"/>
  <c r="AB36" i="1" s="1"/>
  <c r="AC36" i="1" s="1"/>
  <c r="AF36" i="1" s="1"/>
  <c r="Z20" i="1"/>
  <c r="AB20" i="1" s="1"/>
  <c r="AC20" i="1" s="1"/>
  <c r="AF20" i="1" s="1"/>
  <c r="AD43" i="1"/>
  <c r="AE43" i="1" s="1"/>
  <c r="AG43" i="1" s="1"/>
  <c r="AH43" i="1" s="1"/>
  <c r="AF47" i="1"/>
  <c r="AD20" i="1"/>
  <c r="AE20" i="1" s="1"/>
  <c r="AG20" i="1" s="1"/>
  <c r="AH20" i="1" s="1"/>
  <c r="AF30" i="1"/>
  <c r="AF24" i="1"/>
  <c r="AF18" i="1"/>
  <c r="AD18" i="1"/>
  <c r="AE18" i="1" s="1"/>
  <c r="AG18" i="1" s="1"/>
  <c r="AH18" i="1" s="1"/>
  <c r="AF22" i="1"/>
  <c r="AF17" i="1"/>
  <c r="AA59" i="1"/>
  <c r="K56" i="1"/>
  <c r="K57" i="1"/>
  <c r="K58" i="1"/>
  <c r="K55"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13" i="1"/>
  <c r="I59" i="1"/>
  <c r="J55" i="1"/>
  <c r="J49" i="1"/>
  <c r="J45" i="1"/>
  <c r="J40" i="1"/>
  <c r="J36" i="1"/>
  <c r="J33" i="1"/>
  <c r="J29" i="1"/>
  <c r="J25" i="1"/>
  <c r="J21" i="1"/>
  <c r="J20" i="1"/>
  <c r="J16" i="1"/>
  <c r="J17" i="1"/>
  <c r="J18" i="1"/>
  <c r="J19" i="1"/>
  <c r="J15" i="1"/>
  <c r="J14" i="1"/>
  <c r="J13" i="1"/>
  <c r="N58" i="1"/>
  <c r="P58" i="1"/>
  <c r="I53" i="1"/>
  <c r="P23" i="1"/>
  <c r="N23" i="1"/>
  <c r="N51" i="1"/>
  <c r="N52" i="1"/>
  <c r="P52" i="1"/>
  <c r="P51" i="1"/>
  <c r="N50" i="1"/>
  <c r="P50" i="1"/>
  <c r="N49" i="1"/>
  <c r="P49" i="1"/>
  <c r="N48" i="1"/>
  <c r="P48" i="1"/>
  <c r="X53" i="1" l="1"/>
  <c r="AF51" i="1"/>
  <c r="AF50" i="1"/>
  <c r="AD50" i="1"/>
  <c r="AE50" i="1" s="1"/>
  <c r="AG50" i="1" s="1"/>
  <c r="AH50" i="1" s="1"/>
  <c r="AD26" i="1"/>
  <c r="AE26" i="1" s="1"/>
  <c r="AG26" i="1" s="1"/>
  <c r="AH26" i="1" s="1"/>
  <c r="AD52" i="1"/>
  <c r="AE52" i="1" s="1"/>
  <c r="AG52" i="1" s="1"/>
  <c r="AH52" i="1" s="1"/>
  <c r="AD49" i="1"/>
  <c r="AE49" i="1" s="1"/>
  <c r="AG49" i="1" s="1"/>
  <c r="AH49" i="1" s="1"/>
  <c r="AD27" i="1"/>
  <c r="AE27" i="1" s="1"/>
  <c r="AG27" i="1" s="1"/>
  <c r="AH27" i="1" s="1"/>
  <c r="Z13" i="1"/>
  <c r="AB13" i="1" s="1"/>
  <c r="AD44" i="1"/>
  <c r="AE44" i="1" s="1"/>
  <c r="AG44" i="1" s="1"/>
  <c r="AH44" i="1" s="1"/>
  <c r="AF34" i="1"/>
  <c r="AD46" i="1"/>
  <c r="AE46" i="1" s="1"/>
  <c r="AG46" i="1" s="1"/>
  <c r="AH46" i="1" s="1"/>
  <c r="AD14" i="1"/>
  <c r="AE14" i="1" s="1"/>
  <c r="AG14" i="1" s="1"/>
  <c r="AH14" i="1" s="1"/>
  <c r="AF38" i="1"/>
  <c r="AD23" i="1"/>
  <c r="AE23" i="1" s="1"/>
  <c r="AG23" i="1" s="1"/>
  <c r="AH23" i="1" s="1"/>
  <c r="AD19" i="1"/>
  <c r="AE19" i="1" s="1"/>
  <c r="AG19" i="1" s="1"/>
  <c r="AH19" i="1" s="1"/>
  <c r="AD42" i="1"/>
  <c r="AE42" i="1" s="1"/>
  <c r="AG42" i="1" s="1"/>
  <c r="AH42" i="1" s="1"/>
  <c r="AD58" i="1"/>
  <c r="AE58" i="1" s="1"/>
  <c r="AG58" i="1" s="1"/>
  <c r="AH58" i="1" s="1"/>
  <c r="AD48" i="1"/>
  <c r="AE48" i="1" s="1"/>
  <c r="AG48" i="1" s="1"/>
  <c r="AH48" i="1" s="1"/>
  <c r="AF32" i="1"/>
  <c r="AD16" i="1"/>
  <c r="AE16" i="1" s="1"/>
  <c r="AG16" i="1" s="1"/>
  <c r="AH16" i="1" s="1"/>
  <c r="AF41" i="1"/>
  <c r="AD56" i="1"/>
  <c r="AE56" i="1" s="1"/>
  <c r="AG56" i="1" s="1"/>
  <c r="AD57" i="1"/>
  <c r="AE57" i="1" s="1"/>
  <c r="AG57" i="1" s="1"/>
  <c r="AH57" i="1" s="1"/>
  <c r="AD40" i="1"/>
  <c r="AE40" i="1" s="1"/>
  <c r="AG40" i="1" s="1"/>
  <c r="AH40" i="1" s="1"/>
  <c r="AD35" i="1"/>
  <c r="AE35" i="1" s="1"/>
  <c r="AG35" i="1" s="1"/>
  <c r="AH35" i="1" s="1"/>
  <c r="AD28" i="1"/>
  <c r="AE28" i="1" s="1"/>
  <c r="AG28" i="1" s="1"/>
  <c r="AH28" i="1" s="1"/>
  <c r="AD36" i="1"/>
  <c r="AE36" i="1" s="1"/>
  <c r="AG36" i="1" s="1"/>
  <c r="AH36" i="1" s="1"/>
  <c r="AD25" i="1"/>
  <c r="AE25" i="1" s="1"/>
  <c r="AG25" i="1" s="1"/>
  <c r="AH25" i="1" s="1"/>
  <c r="AF25" i="1"/>
  <c r="AD37" i="1"/>
  <c r="AE37" i="1" s="1"/>
  <c r="AG37" i="1" s="1"/>
  <c r="AH37" i="1" s="1"/>
  <c r="AF37" i="1"/>
  <c r="AF21" i="1"/>
  <c r="AD21" i="1"/>
  <c r="AE21" i="1" s="1"/>
  <c r="AG21" i="1" s="1"/>
  <c r="AH21" i="1" s="1"/>
  <c r="AD33" i="1"/>
  <c r="AE33" i="1" s="1"/>
  <c r="AG33" i="1" s="1"/>
  <c r="AH33" i="1" s="1"/>
  <c r="AD29" i="1"/>
  <c r="AE29" i="1" s="1"/>
  <c r="AG29" i="1" s="1"/>
  <c r="AH29" i="1" s="1"/>
  <c r="AF15" i="1"/>
  <c r="AD15" i="1"/>
  <c r="AE15" i="1" s="1"/>
  <c r="AG15" i="1" s="1"/>
  <c r="AH15" i="1" s="1"/>
  <c r="AF31" i="1"/>
  <c r="AD31" i="1"/>
  <c r="AE31" i="1" s="1"/>
  <c r="AG31" i="1" s="1"/>
  <c r="AH31" i="1" s="1"/>
  <c r="AD45" i="1"/>
  <c r="AE45" i="1" s="1"/>
  <c r="AG45" i="1" s="1"/>
  <c r="AH45" i="1" s="1"/>
  <c r="AF45" i="1"/>
  <c r="AD55" i="1"/>
  <c r="AE55" i="1" s="1"/>
  <c r="AG55" i="1" s="1"/>
  <c r="J59" i="1"/>
  <c r="L58" i="1"/>
  <c r="M58" i="1" s="1"/>
  <c r="L50" i="1"/>
  <c r="M50" i="1" s="1"/>
  <c r="L51" i="1"/>
  <c r="M51" i="1" s="1"/>
  <c r="L48" i="1"/>
  <c r="M48" i="1" s="1"/>
  <c r="O48" i="1" s="1"/>
  <c r="Q48" i="1" s="1"/>
  <c r="R48" i="1" s="1"/>
  <c r="J24" i="1"/>
  <c r="J27" i="1"/>
  <c r="J31" i="1"/>
  <c r="L52" i="1"/>
  <c r="M52" i="1" s="1"/>
  <c r="O52" i="1" s="1"/>
  <c r="Q52" i="1" s="1"/>
  <c r="R52" i="1" s="1"/>
  <c r="K59" i="1"/>
  <c r="O58" i="1"/>
  <c r="Q58" i="1" s="1"/>
  <c r="R58" i="1" s="1"/>
  <c r="T58" i="1" s="1"/>
  <c r="U58" i="1" s="1"/>
  <c r="J23" i="1"/>
  <c r="L49" i="1"/>
  <c r="M49" i="1" s="1"/>
  <c r="O49" i="1" s="1"/>
  <c r="Q49" i="1" s="1"/>
  <c r="R49" i="1" s="1"/>
  <c r="J28" i="1"/>
  <c r="J32" i="1"/>
  <c r="N13" i="1"/>
  <c r="L13" i="1"/>
  <c r="Z53" i="1" l="1"/>
  <c r="AC13" i="1"/>
  <c r="AB53" i="1"/>
  <c r="AG59" i="1"/>
  <c r="O50" i="1"/>
  <c r="Q50" i="1" s="1"/>
  <c r="R50" i="1" s="1"/>
  <c r="O51" i="1"/>
  <c r="Q51" i="1" s="1"/>
  <c r="R51" i="1" s="1"/>
  <c r="M23" i="1"/>
  <c r="O23" i="1" s="1"/>
  <c r="Q23" i="1" s="1"/>
  <c r="R23" i="1" s="1"/>
  <c r="S23" i="1" s="1"/>
  <c r="S58" i="1"/>
  <c r="T52" i="1"/>
  <c r="U52" i="1" s="1"/>
  <c r="S52" i="1"/>
  <c r="S49" i="1"/>
  <c r="T49" i="1"/>
  <c r="U49" i="1" s="1"/>
  <c r="S48" i="1"/>
  <c r="T48" i="1"/>
  <c r="U48" i="1" s="1"/>
  <c r="P57" i="1"/>
  <c r="N57" i="1"/>
  <c r="L57" i="1"/>
  <c r="M57" i="1" s="1"/>
  <c r="P56" i="1"/>
  <c r="N56" i="1"/>
  <c r="M56" i="1"/>
  <c r="B56" i="1"/>
  <c r="B57" i="1" s="1"/>
  <c r="P55" i="1"/>
  <c r="N55" i="1"/>
  <c r="P47" i="1"/>
  <c r="N47" i="1"/>
  <c r="P46" i="1"/>
  <c r="N46" i="1"/>
  <c r="B46" i="1"/>
  <c r="B47" i="1" s="1"/>
  <c r="P45" i="1"/>
  <c r="N45" i="1"/>
  <c r="P44" i="1"/>
  <c r="N44" i="1"/>
  <c r="P43" i="1"/>
  <c r="N43" i="1"/>
  <c r="P42" i="1"/>
  <c r="N42" i="1"/>
  <c r="P41" i="1"/>
  <c r="N41" i="1"/>
  <c r="B41" i="1"/>
  <c r="B42" i="1" s="1"/>
  <c r="B43" i="1" s="1"/>
  <c r="B44" i="1" s="1"/>
  <c r="P40" i="1"/>
  <c r="N40" i="1"/>
  <c r="P39" i="1"/>
  <c r="N39" i="1"/>
  <c r="L39" i="1"/>
  <c r="P38" i="1"/>
  <c r="N38" i="1"/>
  <c r="P37" i="1"/>
  <c r="N37" i="1"/>
  <c r="B37" i="1"/>
  <c r="B38" i="1" s="1"/>
  <c r="B39" i="1" s="1"/>
  <c r="P36" i="1"/>
  <c r="N36" i="1"/>
  <c r="P35" i="1"/>
  <c r="N35" i="1"/>
  <c r="B35" i="1"/>
  <c r="P34" i="1"/>
  <c r="N34" i="1"/>
  <c r="P33" i="1"/>
  <c r="N33" i="1"/>
  <c r="P32" i="1"/>
  <c r="N32" i="1"/>
  <c r="P28" i="1"/>
  <c r="N28" i="1"/>
  <c r="P24" i="1"/>
  <c r="N24" i="1"/>
  <c r="P31" i="1"/>
  <c r="N31" i="1"/>
  <c r="P27" i="1"/>
  <c r="N27" i="1"/>
  <c r="P30" i="1"/>
  <c r="N30" i="1"/>
  <c r="J30" i="1"/>
  <c r="P29" i="1"/>
  <c r="N29" i="1"/>
  <c r="P26" i="1"/>
  <c r="N26" i="1"/>
  <c r="J26" i="1"/>
  <c r="P25" i="1"/>
  <c r="N25" i="1"/>
  <c r="P22" i="1"/>
  <c r="N22" i="1"/>
  <c r="J22" i="1"/>
  <c r="B22" i="1"/>
  <c r="P21" i="1"/>
  <c r="N21" i="1"/>
  <c r="P20" i="1"/>
  <c r="N20" i="1"/>
  <c r="P19" i="1"/>
  <c r="N19" i="1"/>
  <c r="P18" i="1"/>
  <c r="N18" i="1"/>
  <c r="P17" i="1"/>
  <c r="N17" i="1"/>
  <c r="P16" i="1"/>
  <c r="N16" i="1"/>
  <c r="B16" i="1"/>
  <c r="B17" i="1" s="1"/>
  <c r="B18" i="1" s="1"/>
  <c r="B19" i="1" s="1"/>
  <c r="P15" i="1"/>
  <c r="N15" i="1"/>
  <c r="P14" i="1"/>
  <c r="N14" i="1"/>
  <c r="AC53" i="1" l="1"/>
  <c r="AF13" i="1"/>
  <c r="AF53" i="1" s="1"/>
  <c r="AD13" i="1"/>
  <c r="T51" i="1"/>
  <c r="U51" i="1" s="1"/>
  <c r="T50" i="1"/>
  <c r="U50" i="1" s="1"/>
  <c r="X59" i="1"/>
  <c r="S50" i="1"/>
  <c r="S51" i="1"/>
  <c r="T23" i="1"/>
  <c r="U23" i="1" s="1"/>
  <c r="J53" i="1"/>
  <c r="P59" i="1"/>
  <c r="N59" i="1"/>
  <c r="L59" i="1"/>
  <c r="C64" i="1" s="1"/>
  <c r="P53" i="1"/>
  <c r="N53" i="1"/>
  <c r="B23" i="1"/>
  <c r="B24" i="1" s="1"/>
  <c r="B25" i="1" s="1"/>
  <c r="B26" i="1" s="1"/>
  <c r="B27" i="1" s="1"/>
  <c r="B28" i="1" s="1"/>
  <c r="B29" i="1" s="1"/>
  <c r="B30" i="1" s="1"/>
  <c r="B31" i="1" s="1"/>
  <c r="B32" i="1" s="1"/>
  <c r="L15" i="1"/>
  <c r="M15" i="1" s="1"/>
  <c r="L16" i="1"/>
  <c r="M16" i="1" s="1"/>
  <c r="L18" i="1"/>
  <c r="M18" i="1" s="1"/>
  <c r="O18" i="1" s="1"/>
  <c r="Q18" i="1" s="1"/>
  <c r="R18" i="1" s="1"/>
  <c r="L20" i="1"/>
  <c r="M20" i="1" s="1"/>
  <c r="L29" i="1"/>
  <c r="M29" i="1" s="1"/>
  <c r="L31" i="1"/>
  <c r="M31" i="1" s="1"/>
  <c r="O31" i="1" s="1"/>
  <c r="Q31" i="1" s="1"/>
  <c r="R31" i="1" s="1"/>
  <c r="L33" i="1"/>
  <c r="M33" i="1" s="1"/>
  <c r="O33" i="1" s="1"/>
  <c r="Q33" i="1" s="1"/>
  <c r="R33" i="1" s="1"/>
  <c r="L36" i="1"/>
  <c r="M36" i="1" s="1"/>
  <c r="O36" i="1" s="1"/>
  <c r="Q36" i="1" s="1"/>
  <c r="R36" i="1" s="1"/>
  <c r="L37" i="1"/>
  <c r="M37" i="1" s="1"/>
  <c r="L42" i="1"/>
  <c r="M42" i="1" s="1"/>
  <c r="O42" i="1" s="1"/>
  <c r="Q42" i="1" s="1"/>
  <c r="R42" i="1" s="1"/>
  <c r="L44" i="1"/>
  <c r="M44" i="1" s="1"/>
  <c r="O44" i="1" s="1"/>
  <c r="Q44" i="1" s="1"/>
  <c r="R44" i="1" s="1"/>
  <c r="L47" i="1"/>
  <c r="M47" i="1" s="1"/>
  <c r="O47" i="1" s="1"/>
  <c r="Q47" i="1" s="1"/>
  <c r="R47" i="1" s="1"/>
  <c r="M55" i="1"/>
  <c r="L14" i="1"/>
  <c r="L17" i="1"/>
  <c r="M17" i="1" s="1"/>
  <c r="L19" i="1"/>
  <c r="M19" i="1" s="1"/>
  <c r="O19" i="1" s="1"/>
  <c r="Q19" i="1" s="1"/>
  <c r="R19" i="1" s="1"/>
  <c r="L21" i="1"/>
  <c r="M21" i="1" s="1"/>
  <c r="O21" i="1" s="1"/>
  <c r="Q21" i="1" s="1"/>
  <c r="R21" i="1" s="1"/>
  <c r="L25" i="1"/>
  <c r="M25" i="1" s="1"/>
  <c r="L28" i="1"/>
  <c r="M28" i="1" s="1"/>
  <c r="L34" i="1"/>
  <c r="M34" i="1" s="1"/>
  <c r="L35" i="1"/>
  <c r="M35" i="1" s="1"/>
  <c r="L38" i="1"/>
  <c r="M38" i="1" s="1"/>
  <c r="L40" i="1"/>
  <c r="M40" i="1" s="1"/>
  <c r="L41" i="1"/>
  <c r="M41" i="1" s="1"/>
  <c r="L43" i="1"/>
  <c r="M43" i="1" s="1"/>
  <c r="O43" i="1" s="1"/>
  <c r="Q43" i="1" s="1"/>
  <c r="R43" i="1" s="1"/>
  <c r="L45" i="1"/>
  <c r="M45" i="1" s="1"/>
  <c r="O45" i="1" s="1"/>
  <c r="Q45" i="1" s="1"/>
  <c r="R45" i="1" s="1"/>
  <c r="L46" i="1"/>
  <c r="M46" i="1" s="1"/>
  <c r="O46" i="1" s="1"/>
  <c r="Q46" i="1" s="1"/>
  <c r="R46" i="1" s="1"/>
  <c r="L22" i="1"/>
  <c r="M22" i="1" s="1"/>
  <c r="O22" i="1" s="1"/>
  <c r="Q22" i="1" s="1"/>
  <c r="R22" i="1" s="1"/>
  <c r="L26" i="1"/>
  <c r="M26" i="1" s="1"/>
  <c r="L24" i="1"/>
  <c r="M24" i="1" s="1"/>
  <c r="O24" i="1" s="1"/>
  <c r="Q24" i="1" s="1"/>
  <c r="R24" i="1" s="1"/>
  <c r="L32" i="1"/>
  <c r="M32" i="1" s="1"/>
  <c r="O56" i="1"/>
  <c r="Q56" i="1" s="1"/>
  <c r="R56" i="1" s="1"/>
  <c r="AF56" i="1" s="1"/>
  <c r="L30" i="1"/>
  <c r="M39" i="1"/>
  <c r="O39" i="1" s="1"/>
  <c r="Q39" i="1" s="1"/>
  <c r="R39" i="1" s="1"/>
  <c r="L27" i="1"/>
  <c r="O57" i="1"/>
  <c r="Q57" i="1" s="1"/>
  <c r="R57" i="1" s="1"/>
  <c r="AE13" i="1" l="1"/>
  <c r="AD53" i="1"/>
  <c r="Z59" i="1"/>
  <c r="O55" i="1"/>
  <c r="M59" i="1"/>
  <c r="M14" i="1"/>
  <c r="O14" i="1" s="1"/>
  <c r="Q14" i="1" s="1"/>
  <c r="R14" i="1" s="1"/>
  <c r="O15" i="1"/>
  <c r="Q15" i="1" s="1"/>
  <c r="R15" i="1" s="1"/>
  <c r="O25" i="1"/>
  <c r="Q25" i="1" s="1"/>
  <c r="R25" i="1" s="1"/>
  <c r="O40" i="1"/>
  <c r="Q40" i="1" s="1"/>
  <c r="R40" i="1" s="1"/>
  <c r="O20" i="1"/>
  <c r="Q20" i="1" s="1"/>
  <c r="R20" i="1" s="1"/>
  <c r="O28" i="1"/>
  <c r="Q28" i="1" s="1"/>
  <c r="R28" i="1" s="1"/>
  <c r="O16" i="1"/>
  <c r="Q16" i="1" s="1"/>
  <c r="R16" i="1" s="1"/>
  <c r="O35" i="1"/>
  <c r="Q35" i="1" s="1"/>
  <c r="R35" i="1" s="1"/>
  <c r="O37" i="1"/>
  <c r="Q37" i="1" s="1"/>
  <c r="R37" i="1" s="1"/>
  <c r="O29" i="1"/>
  <c r="Q29" i="1" s="1"/>
  <c r="R29" i="1" s="1"/>
  <c r="O38" i="1"/>
  <c r="Q38" i="1" s="1"/>
  <c r="R38" i="1" s="1"/>
  <c r="O17" i="1"/>
  <c r="Q17" i="1" s="1"/>
  <c r="R17" i="1" s="1"/>
  <c r="O34" i="1"/>
  <c r="Q34" i="1" s="1"/>
  <c r="R34" i="1" s="1"/>
  <c r="O41" i="1"/>
  <c r="Q41" i="1" s="1"/>
  <c r="R41" i="1" s="1"/>
  <c r="S46" i="1"/>
  <c r="S57" i="1"/>
  <c r="T46" i="1"/>
  <c r="U46" i="1" s="1"/>
  <c r="S42" i="1"/>
  <c r="S18" i="1"/>
  <c r="S19" i="1"/>
  <c r="S56" i="1"/>
  <c r="S31" i="1"/>
  <c r="C72" i="1"/>
  <c r="AB68" i="1" s="1"/>
  <c r="AC69" i="1" s="1"/>
  <c r="S36" i="1"/>
  <c r="S21" i="1"/>
  <c r="M13" i="1"/>
  <c r="O32" i="1"/>
  <c r="Q32" i="1" s="1"/>
  <c r="R32" i="1" s="1"/>
  <c r="O26" i="1"/>
  <c r="Q26" i="1" s="1"/>
  <c r="R26" i="1" s="1"/>
  <c r="T26" i="1" s="1"/>
  <c r="U26" i="1" s="1"/>
  <c r="T56" i="1"/>
  <c r="U56" i="1" s="1"/>
  <c r="AH56" i="1" s="1"/>
  <c r="S22" i="1"/>
  <c r="T22" i="1"/>
  <c r="U22" i="1" s="1"/>
  <c r="S24" i="1"/>
  <c r="T24" i="1"/>
  <c r="U24" i="1" s="1"/>
  <c r="T57" i="1"/>
  <c r="U57" i="1" s="1"/>
  <c r="T31" i="1"/>
  <c r="U31" i="1" s="1"/>
  <c r="S45" i="1"/>
  <c r="T45" i="1"/>
  <c r="U45" i="1" s="1"/>
  <c r="S44" i="1"/>
  <c r="T44" i="1"/>
  <c r="U44" i="1" s="1"/>
  <c r="S33" i="1"/>
  <c r="T33" i="1"/>
  <c r="U33" i="1" s="1"/>
  <c r="S47" i="1"/>
  <c r="T47" i="1"/>
  <c r="U47" i="1" s="1"/>
  <c r="S39" i="1"/>
  <c r="T39" i="1"/>
  <c r="S43" i="1"/>
  <c r="T43" i="1"/>
  <c r="U43" i="1" s="1"/>
  <c r="T36" i="1"/>
  <c r="U36" i="1" s="1"/>
  <c r="T21" i="1"/>
  <c r="U21" i="1" s="1"/>
  <c r="T18" i="1"/>
  <c r="U18" i="1" s="1"/>
  <c r="T42" i="1"/>
  <c r="U42" i="1" s="1"/>
  <c r="M27" i="1"/>
  <c r="O27" i="1" s="1"/>
  <c r="Q27" i="1" s="1"/>
  <c r="R27" i="1" s="1"/>
  <c r="M30" i="1"/>
  <c r="O30" i="1" s="1"/>
  <c r="Q30" i="1" s="1"/>
  <c r="R30" i="1" s="1"/>
  <c r="T19" i="1"/>
  <c r="U19" i="1" s="1"/>
  <c r="AG13" i="1" l="1"/>
  <c r="AE53" i="1"/>
  <c r="C66" i="1"/>
  <c r="T41" i="1"/>
  <c r="U41" i="1" s="1"/>
  <c r="T34" i="1"/>
  <c r="U34" i="1" s="1"/>
  <c r="T17" i="1"/>
  <c r="U17" i="1" s="1"/>
  <c r="S38" i="1"/>
  <c r="T29" i="1"/>
  <c r="U29" i="1" s="1"/>
  <c r="S37" i="1"/>
  <c r="T35" i="1"/>
  <c r="U35" i="1" s="1"/>
  <c r="S16" i="1"/>
  <c r="T28" i="1"/>
  <c r="U28" i="1" s="1"/>
  <c r="T20" i="1"/>
  <c r="U20" i="1" s="1"/>
  <c r="T40" i="1"/>
  <c r="U40" i="1" s="1"/>
  <c r="S25" i="1"/>
  <c r="T15" i="1"/>
  <c r="U15" i="1" s="1"/>
  <c r="S14" i="1"/>
  <c r="AB59" i="1"/>
  <c r="Q55" i="1"/>
  <c r="O59" i="1"/>
  <c r="T37" i="1"/>
  <c r="U37" i="1" s="1"/>
  <c r="T14" i="1"/>
  <c r="U14" i="1" s="1"/>
  <c r="S15" i="1"/>
  <c r="S29" i="1"/>
  <c r="U39" i="1"/>
  <c r="S35" i="1"/>
  <c r="M53" i="1"/>
  <c r="S20" i="1"/>
  <c r="S17" i="1"/>
  <c r="T25" i="1"/>
  <c r="U25" i="1" s="1"/>
  <c r="S40" i="1"/>
  <c r="S28" i="1"/>
  <c r="S41" i="1"/>
  <c r="T16" i="1"/>
  <c r="U16" i="1" s="1"/>
  <c r="T38" i="1"/>
  <c r="U38" i="1" s="1"/>
  <c r="S34" i="1"/>
  <c r="O13" i="1"/>
  <c r="O53" i="1" s="1"/>
  <c r="S27" i="1"/>
  <c r="T32" i="1"/>
  <c r="U32" i="1" s="1"/>
  <c r="S32" i="1"/>
  <c r="S26" i="1"/>
  <c r="S30" i="1"/>
  <c r="T30" i="1"/>
  <c r="U30" i="1" s="1"/>
  <c r="T27" i="1"/>
  <c r="U27" i="1" s="1"/>
  <c r="AH13" i="1" l="1"/>
  <c r="AH53" i="1" s="1"/>
  <c r="AG53" i="1"/>
  <c r="AC59" i="1"/>
  <c r="R55" i="1"/>
  <c r="Q59" i="1"/>
  <c r="Q13" i="1"/>
  <c r="Q53" i="1" s="1"/>
  <c r="AF55" i="1" l="1"/>
  <c r="AF59" i="1" s="1"/>
  <c r="AD59" i="1"/>
  <c r="AE59" i="1"/>
  <c r="T55" i="1"/>
  <c r="R59" i="1"/>
  <c r="S55" i="1"/>
  <c r="S59" i="1" s="1"/>
  <c r="R13" i="1"/>
  <c r="AC66" i="1" l="1"/>
  <c r="AC65" i="1" s="1"/>
  <c r="R53" i="1"/>
  <c r="T13" i="1"/>
  <c r="U55" i="1"/>
  <c r="T59" i="1"/>
  <c r="S13" i="1"/>
  <c r="S53" i="1" s="1"/>
  <c r="U59" i="1" l="1"/>
  <c r="AH55" i="1"/>
  <c r="AH59" i="1" s="1"/>
  <c r="U13" i="1"/>
  <c r="T53" i="1"/>
  <c r="U5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shindy</author>
    <author>NELWAN SATRIA PUTRA</author>
  </authors>
  <commentList>
    <comment ref="X10" authorId="0" shapeId="0" xr:uid="{C6B500B8-2A4A-4827-9A45-9A506398C50D}">
      <text>
        <r>
          <rPr>
            <b/>
            <sz val="9"/>
            <color indexed="81"/>
            <rFont val="Tahoma"/>
            <family val="2"/>
          </rPr>
          <t>shindy:</t>
        </r>
        <r>
          <rPr>
            <sz val="9"/>
            <color indexed="81"/>
            <rFont val="Tahoma"/>
            <family val="2"/>
          </rPr>
          <t xml:space="preserve">
maksimal biaya jabatan 6 juta per tahun</t>
        </r>
      </text>
    </comment>
    <comment ref="H11" authorId="0" shapeId="0" xr:uid="{999F8A26-08F7-4BD4-AA60-CFDFA0D5D18D}">
      <text>
        <r>
          <rPr>
            <b/>
            <sz val="9"/>
            <color indexed="81"/>
            <rFont val="Tahoma"/>
            <family val="2"/>
          </rPr>
          <t>shindy:</t>
        </r>
        <r>
          <rPr>
            <sz val="9"/>
            <color indexed="81"/>
            <rFont val="Tahoma"/>
            <family val="2"/>
          </rPr>
          <t xml:space="preserve">
Hitung PTKP</t>
        </r>
      </text>
    </comment>
    <comment ref="K11" authorId="1" shapeId="0" xr:uid="{F3C06787-F7A1-4164-875F-DEEF20676E32}">
      <text>
        <r>
          <rPr>
            <b/>
            <sz val="9"/>
            <color indexed="81"/>
            <rFont val="Tahoma"/>
            <family val="2"/>
          </rPr>
          <t>NELWAN SATRIA PUTRA:</t>
        </r>
        <r>
          <rPr>
            <sz val="9"/>
            <color indexed="81"/>
            <rFont val="Tahoma"/>
            <family val="2"/>
          </rPr>
          <t xml:space="preserve">
Asuransi yang dibayar oleh pemberi kerja</t>
        </r>
      </text>
    </comment>
    <comment ref="AA11" authorId="0" shapeId="0" xr:uid="{7C26B274-AC97-44A0-93F6-EEDCC453E384}">
      <text>
        <r>
          <rPr>
            <b/>
            <sz val="9"/>
            <color indexed="81"/>
            <rFont val="Tahoma"/>
            <family val="2"/>
          </rPr>
          <t>shindy:</t>
        </r>
        <r>
          <rPr>
            <sz val="9"/>
            <color indexed="81"/>
            <rFont val="Tahoma"/>
            <family val="2"/>
          </rPr>
          <t xml:space="preserve">
Lihat status</t>
        </r>
      </text>
    </comment>
    <comment ref="AF11" authorId="0" shapeId="0" xr:uid="{FF1B5A8E-2AF0-4F5C-96C3-083CEE5885D1}">
      <text>
        <r>
          <rPr>
            <b/>
            <sz val="9"/>
            <color indexed="81"/>
            <rFont val="Tahoma"/>
            <family val="2"/>
          </rPr>
          <t>shindy:</t>
        </r>
        <r>
          <rPr>
            <sz val="9"/>
            <color indexed="81"/>
            <rFont val="Tahoma"/>
            <family val="2"/>
          </rPr>
          <t xml:space="preserve">
Selisih listing dng hitungan KAP</t>
        </r>
      </text>
    </comment>
    <comment ref="C39" authorId="0" shapeId="0" xr:uid="{A5F4841B-D243-46DF-B050-770B3E78AAD9}">
      <text>
        <r>
          <rPr>
            <b/>
            <sz val="9"/>
            <color indexed="81"/>
            <rFont val="Tahoma"/>
            <family val="2"/>
          </rPr>
          <t>shindy:</t>
        </r>
        <r>
          <rPr>
            <sz val="9"/>
            <color indexed="81"/>
            <rFont val="Tahoma"/>
            <family val="2"/>
          </rPr>
          <t xml:space="preserve">
Di hapus lalu di tickmarks</t>
        </r>
      </text>
    </comment>
    <comment ref="B69" authorId="0" shapeId="0" xr:uid="{D1A2E6FC-82EE-4026-980C-22935659D189}">
      <text>
        <r>
          <rPr>
            <b/>
            <sz val="9"/>
            <color indexed="81"/>
            <rFont val="Tahoma"/>
            <family val="2"/>
          </rPr>
          <t>shindy:</t>
        </r>
        <r>
          <rPr>
            <sz val="9"/>
            <color indexed="81"/>
            <rFont val="Tahoma"/>
            <family val="2"/>
          </rPr>
          <t xml:space="preserve">
Bisa asuransi gedung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shindy</author>
  </authors>
  <commentList>
    <comment ref="I16" authorId="0" shapeId="0" xr:uid="{39D338F9-82AD-455B-90DD-081AEC289D4D}">
      <text>
        <r>
          <rPr>
            <b/>
            <sz val="9"/>
            <color indexed="81"/>
            <rFont val="Tahoma"/>
            <family val="2"/>
          </rPr>
          <t>shindy:</t>
        </r>
        <r>
          <rPr>
            <sz val="9"/>
            <color indexed="81"/>
            <rFont val="Tahoma"/>
            <family val="2"/>
          </rPr>
          <t xml:space="preserve">
Diasumsikan sama dng payment</t>
        </r>
      </text>
    </comment>
    <comment ref="J18" authorId="0" shapeId="0" xr:uid="{F9AA2793-D423-4B8B-B7FF-70D19CBB585E}">
      <text>
        <r>
          <rPr>
            <b/>
            <sz val="9"/>
            <color indexed="81"/>
            <rFont val="Tahoma"/>
            <family val="2"/>
          </rPr>
          <t>shindy:</t>
        </r>
        <r>
          <rPr>
            <sz val="9"/>
            <color indexed="81"/>
            <rFont val="Tahoma"/>
            <family val="2"/>
          </rPr>
          <t xml:space="preserve">
jika tanggal pembayaran terlambat bisa di tickmarks</t>
        </r>
      </text>
    </comment>
  </commentList>
</comments>
</file>

<file path=xl/sharedStrings.xml><?xml version="1.0" encoding="utf-8"?>
<sst xmlns="http://schemas.openxmlformats.org/spreadsheetml/2006/main" count="432" uniqueCount="216">
  <si>
    <t>PT Mitra Realty</t>
  </si>
  <si>
    <t>Listing Beban Gaji</t>
  </si>
  <si>
    <t>31 December 2019</t>
  </si>
  <si>
    <t>Natur Akun Beban Gaji :</t>
  </si>
  <si>
    <t>Daftar Gaji Pegawai Tetap yang diperoleh dari Bapak Ryo Wicaksono (Manajer Akuntansi dan Keuangan)</t>
  </si>
  <si>
    <t>Perhitungan kembali Beban Gaji oleh KAP</t>
  </si>
  <si>
    <t>ID Karyawan</t>
  </si>
  <si>
    <t>Nama Karyawan</t>
  </si>
  <si>
    <t>Posisi</t>
  </si>
  <si>
    <t>Tgl Penerimaan</t>
  </si>
  <si>
    <t>Tgl Resign</t>
  </si>
  <si>
    <t>NPWP</t>
  </si>
  <si>
    <t>Status</t>
  </si>
  <si>
    <t>Gaji Pokok</t>
  </si>
  <si>
    <t>Tunjangan</t>
  </si>
  <si>
    <t>Asuransi</t>
  </si>
  <si>
    <t>Penghasilan Bruto</t>
  </si>
  <si>
    <t>Biaya Jabatan</t>
  </si>
  <si>
    <t>Penghasilan Neto</t>
  </si>
  <si>
    <t>PTKP</t>
  </si>
  <si>
    <t>PKP</t>
  </si>
  <si>
    <t>PPh 21</t>
  </si>
  <si>
    <t>PPh 21/bulan</t>
  </si>
  <si>
    <t>Take Home Pay/ bulan</t>
  </si>
  <si>
    <t>Take Home Pay/ tahun</t>
  </si>
  <si>
    <t>Operasional</t>
  </si>
  <si>
    <t>Irvan Mardiansyah</t>
  </si>
  <si>
    <t>Dewan Komisaris</t>
  </si>
  <si>
    <t>-</t>
  </si>
  <si>
    <t>v</t>
  </si>
  <si>
    <t>K/2</t>
  </si>
  <si>
    <t>Billy Kasetra</t>
  </si>
  <si>
    <t>Direktur Utama</t>
  </si>
  <si>
    <t>K/3</t>
  </si>
  <si>
    <t>Agus Ariyanto</t>
  </si>
  <si>
    <t>Komite Audit</t>
  </si>
  <si>
    <t>Atmanto Dwi Wijaya</t>
  </si>
  <si>
    <t>Supriyadi</t>
  </si>
  <si>
    <t>Audit Internal</t>
  </si>
  <si>
    <t>Nurul Hendri Setiawan</t>
  </si>
  <si>
    <t>TK/0</t>
  </si>
  <si>
    <t>Nurdin Haqiqi</t>
  </si>
  <si>
    <t>Deni Siregar</t>
  </si>
  <si>
    <t>Sekretaris</t>
  </si>
  <si>
    <t>Tatsuya Adachi</t>
  </si>
  <si>
    <t>Manajer Gedung A</t>
  </si>
  <si>
    <t>Yana Suryana</t>
  </si>
  <si>
    <t>Asisten Manajer Gedung A</t>
  </si>
  <si>
    <t>Arifin Dyan Mulya Riskyawan</t>
  </si>
  <si>
    <t>Dede Nur Alamsyah</t>
  </si>
  <si>
    <t>Troy Aditia Tobias</t>
  </si>
  <si>
    <t>Manajer Gedung B</t>
  </si>
  <si>
    <t>K/1</t>
  </si>
  <si>
    <t>Nazirwan</t>
  </si>
  <si>
    <t>Asisten Manajer Gedung B</t>
  </si>
  <si>
    <t>Danu Yudho Prastowo</t>
  </si>
  <si>
    <t>Kozuka Yoji</t>
  </si>
  <si>
    <t>Mohammad Ihwan</t>
  </si>
  <si>
    <t>Manajer Gedung C</t>
  </si>
  <si>
    <t xml:space="preserve">Retno Ambarwati </t>
  </si>
  <si>
    <t>Asisten Manajer Gedung C</t>
  </si>
  <si>
    <t>Abdul Hanan</t>
  </si>
  <si>
    <t>Budhiarso Santosa</t>
  </si>
  <si>
    <t>Hadi Hamdani</t>
  </si>
  <si>
    <t>Manajer Proyek</t>
  </si>
  <si>
    <t>Rino Pamungkas</t>
  </si>
  <si>
    <t>Administrasi Proyek</t>
  </si>
  <si>
    <t>Jaenudin</t>
  </si>
  <si>
    <t>Staf Proyek</t>
  </si>
  <si>
    <t>Olivia Apriliani</t>
  </si>
  <si>
    <t>Manajer Pemasaran</t>
  </si>
  <si>
    <t>Arifin</t>
  </si>
  <si>
    <t>Administrasi Pemasaran</t>
  </si>
  <si>
    <t>Yusuf Pramadita</t>
  </si>
  <si>
    <t>Petugas Penagihan</t>
  </si>
  <si>
    <t>Arry Alifa Apriliawan</t>
  </si>
  <si>
    <t>Staf Pemasaran</t>
  </si>
  <si>
    <t>Ryo Wicaksono</t>
  </si>
  <si>
    <t>Manajer Akuntansi &amp; Keuangan</t>
  </si>
  <si>
    <t>Reza</t>
  </si>
  <si>
    <t>Kabag Akuntansi</t>
  </si>
  <si>
    <t>Maulana</t>
  </si>
  <si>
    <t>Kabag Keuangan</t>
  </si>
  <si>
    <t>Arizal Fahri</t>
  </si>
  <si>
    <t>Staf Akuntansi</t>
  </si>
  <si>
    <t>Anggun Achmad Saputro</t>
  </si>
  <si>
    <t>Staf Keuangan</t>
  </si>
  <si>
    <t>Jansen Rimowa</t>
  </si>
  <si>
    <t>Manajer Umum &amp; SDM</t>
  </si>
  <si>
    <t>Herman Surya</t>
  </si>
  <si>
    <t>Admin Pembelian &amp; Penggudangan</t>
  </si>
  <si>
    <t>Ambar Parwono</t>
  </si>
  <si>
    <t>Staf Pembelian &amp; Penggudangan</t>
  </si>
  <si>
    <t>Amalina Paulina</t>
  </si>
  <si>
    <t>Kepala Bagian Personalia</t>
  </si>
  <si>
    <t>Deddy Purnomo</t>
  </si>
  <si>
    <t>Manajer Umum &amp; Operasional</t>
  </si>
  <si>
    <t>Vivian Utomo</t>
  </si>
  <si>
    <t>Kepala Bagian Divisi Umum &amp; Operasional</t>
  </si>
  <si>
    <t>Yusuf Utomo</t>
  </si>
  <si>
    <t>Staff Divisi Umum &amp; Operasional</t>
  </si>
  <si>
    <t>Rendy Ardhita</t>
  </si>
  <si>
    <t>Administrasi Umum</t>
  </si>
  <si>
    <t>Hadi</t>
  </si>
  <si>
    <t>Kepala Security</t>
  </si>
  <si>
    <t>Rojali</t>
  </si>
  <si>
    <t>Security</t>
  </si>
  <si>
    <t>Jayadi</t>
  </si>
  <si>
    <t>K/0</t>
  </si>
  <si>
    <t>Sugeng</t>
  </si>
  <si>
    <t>Tie Up Balance - Beban Gaji</t>
  </si>
  <si>
    <t>Balance per Listing</t>
  </si>
  <si>
    <t>Balance per TB</t>
  </si>
  <si>
    <t>Difference</t>
  </si>
  <si>
    <t>Tie Up Balance - Beban Asuransi Tenaga Kerja</t>
  </si>
  <si>
    <t>Test of Detail Beban Gaji</t>
  </si>
  <si>
    <t>Attributes:</t>
  </si>
  <si>
    <t>Prosedur yang dilakukan:</t>
  </si>
  <si>
    <t>Checked that Invoice have already proof number</t>
  </si>
  <si>
    <t>Expense transactions have been recorded properly and in proper period</t>
  </si>
  <si>
    <t>Approve by authorized person</t>
  </si>
  <si>
    <t>Amount per cash disbursement agree with amount per list expense</t>
  </si>
  <si>
    <t>List Expense</t>
  </si>
  <si>
    <t>Payment</t>
  </si>
  <si>
    <t>Attribute</t>
  </si>
  <si>
    <t>Tickmark</t>
  </si>
  <si>
    <t>No</t>
  </si>
  <si>
    <t>Keterangan</t>
  </si>
  <si>
    <t>Amount</t>
  </si>
  <si>
    <t>Tanggal</t>
  </si>
  <si>
    <t>No. Bukti</t>
  </si>
  <si>
    <t>Diff</t>
  </si>
  <si>
    <t>WP Beban Gaji</t>
  </si>
  <si>
    <t>{a}</t>
  </si>
  <si>
    <t>{b}</t>
  </si>
  <si>
    <t>{c}</t>
  </si>
  <si>
    <t>{d}</t>
  </si>
  <si>
    <t>{e}</t>
  </si>
  <si>
    <t>{f}</t>
  </si>
  <si>
    <t>{g}</t>
  </si>
  <si>
    <t>{h}</t>
  </si>
  <si>
    <t>{i}</t>
  </si>
  <si>
    <t>{j}</t>
  </si>
  <si>
    <t>{k}</t>
  </si>
  <si>
    <t>{l}</t>
  </si>
  <si>
    <t>{m}</t>
  </si>
  <si>
    <t>{n}</t>
  </si>
  <si>
    <t>{o}</t>
  </si>
  <si>
    <t>{p}</t>
  </si>
  <si>
    <t>{q}</t>
  </si>
  <si>
    <t>{r}</t>
  </si>
  <si>
    <t>{s}</t>
  </si>
  <si>
    <t>{t}</t>
  </si>
  <si>
    <t>{u}</t>
  </si>
  <si>
    <t>{v}</t>
  </si>
  <si>
    <t>{w}</t>
  </si>
  <si>
    <t>{x}</t>
  </si>
  <si>
    <t>{y}</t>
  </si>
  <si>
    <t>{z}</t>
  </si>
  <si>
    <t>JHT JP (Dibayarkan oleh Karyawan)</t>
  </si>
  <si>
    <t>JHT JP (ditanggung karyawan)</t>
  </si>
  <si>
    <t>PPh 21/Bulan</t>
  </si>
  <si>
    <t>Tabel Pembantu PTKP</t>
  </si>
  <si>
    <t>TK/1</t>
  </si>
  <si>
    <t>TK/2</t>
  </si>
  <si>
    <t>TK/3</t>
  </si>
  <si>
    <t>Tarif Ps 17</t>
  </si>
  <si>
    <t>&gt;500.000.000</t>
  </si>
  <si>
    <t>Batas akumulatif</t>
  </si>
  <si>
    <t xml:space="preserve">UU PPh </t>
  </si>
  <si>
    <t>Besaran</t>
  </si>
  <si>
    <t>Take Home Pay/ Bulan</t>
  </si>
  <si>
    <t>Selisih Take Home Pay / Tahun</t>
  </si>
  <si>
    <t>Selisih PPh 21 / Tahun</t>
  </si>
  <si>
    <t>Take Home Pay/ Tahun</t>
  </si>
  <si>
    <t>Gaji bulan Januari</t>
  </si>
  <si>
    <t>Gaji bulan Februari</t>
  </si>
  <si>
    <t>Gaji bulan Maret</t>
  </si>
  <si>
    <t>Gaji bulan April</t>
  </si>
  <si>
    <t>Gaji bulan Mei</t>
  </si>
  <si>
    <t>Gaji bulan Juni</t>
  </si>
  <si>
    <t>Gaji bulan Juli</t>
  </si>
  <si>
    <t>Gaji bulan Agustus</t>
  </si>
  <si>
    <t>Gaji bulan September</t>
  </si>
  <si>
    <t>Gaji bulan Oktober</t>
  </si>
  <si>
    <t>Gaji bulan November</t>
  </si>
  <si>
    <t>Gaji bulan Desember</t>
  </si>
  <si>
    <t>Beban gaji</t>
  </si>
  <si>
    <t>Utang gaji</t>
  </si>
  <si>
    <t>Utang PPh 21</t>
  </si>
  <si>
    <t>BKK1-1</t>
  </si>
  <si>
    <t>Akun Beban Gaji melaporkan gaji yang diperoleh karyawan selama periode tahun berjalan. Dalam laporan keuangan, beban Gaji diklasifikasikan sebagai beban operasional. Beban gaji PT Mitra Realty meliputi gaji untuk karyawan operasional dan administrasi umum. Akun ini juga mencakup pajak gaji, asuransi, dan tunjangan yang dibayarkan kepada karyawan.</t>
  </si>
  <si>
    <t>BKK3-1</t>
  </si>
  <si>
    <t>BKK4-1</t>
  </si>
  <si>
    <t>BKK5-1</t>
  </si>
  <si>
    <t>BKK6-1</t>
  </si>
  <si>
    <t>BKK7-1</t>
  </si>
  <si>
    <t>BKK8-1</t>
  </si>
  <si>
    <t>BKK9-1</t>
  </si>
  <si>
    <t>BKK10-1</t>
  </si>
  <si>
    <t>BKK11-1</t>
  </si>
  <si>
    <t>BKK12-1</t>
  </si>
  <si>
    <t>Usulan Jurnal Koreksi</t>
  </si>
  <si>
    <t>Beban asuransi</t>
  </si>
  <si>
    <t>Utang asuransi</t>
  </si>
  <si>
    <t>- Memeriksa daftar penggajian perusahaan untuk memastikan pembayaran dilakukan kepada</t>
  </si>
  <si>
    <t xml:space="preserve"> karyawan yang sah</t>
  </si>
  <si>
    <t>- Membandingkan laporan keuangan dengan catatan perusahaan</t>
  </si>
  <si>
    <t>- Membandingkan beban gaji antarbulan dan menyelidiki perbedaan</t>
  </si>
  <si>
    <t>- Melakukan perhitungan kembali daftar penggajian untuk memastikan gaji dihitung dengan  benar</t>
  </si>
  <si>
    <t>- Melakukan penggujian pada bukti dokumentasi</t>
  </si>
  <si>
    <t>Ketika melakukan pemeriksaan untuk mengetahui daftar karyawan yang aktif pada tahun 2019 ditemukan karyawan yang sudah resign pada 29 Desember 2017 bernama Arry Alifa Apriliawan. Karyawan tersebut masih menerima gaji dan tunjangan meskipun sudah keluar pada tahun 2017</t>
  </si>
  <si>
    <t>Terdapat perbedaan jumlah beban gaji pada laporan keuangan dan catatan perusahaan sebesar Rp266.200.000. Jumlah selisih beban asuransi tersebut material.</t>
  </si>
  <si>
    <t>Terdapat perbedaan jumlah beban gaji pada laporan keuangan dan catatan perusahaan sebesar Rp184.355.790. Jumlah selisih beban asuransi tersebut material.</t>
  </si>
  <si>
    <t>Terdapat perbedaan beban gaji bulan September dengan bulan lainnya pada tahun 2019. Pada September beban gaji sebesar Rp150.000.000 sedangkan bulan-bulan lainnya sebesar Rp148159394. Penyebab perbedaan tersebut perlu ditelusauri</t>
  </si>
  <si>
    <t>Terdapat perbedaan jumlah take home pay pada perhitungan perusahaan dan KAP. Selisih tersebut disebabkan perbedaan perhitungan pada biaya jabatan,  PTKP, dan PPh 21 antara perusahaan dengan KAP. Selain itu perhitungan perusahaan menghitung gaji karyawan yang sudah tidak bekerja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</si>
</sst>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_(* \(#,##0\);_(* &quot;-&quot;_);_(@_)"/>
    <numFmt numFmtId="43" formatCode="_(* #,##0.00_);_(* \(#,##0.00\);_(* &quot;-&quot;??_);_(@_)"/>
    <numFmt numFmtId="164" formatCode="[$-409]dd\-mmm\-yy;@"/>
    <numFmt numFmtId="165" formatCode="_(* #,##0_);_(* \(#,##0\);_(* &quot;-&quot;??_);_(@_)"/>
    <numFmt numFmtId="166" formatCode="[$-421]dd\ mmmm\ yyyy;@"/>
    <numFmt numFmtId="167" formatCode="[$-409]d\-mmm\-yy;@"/>
  </numFmts>
  <fonts count="16" x14ac:knownFonts="1">
    <font>
      <sz val="11"/>
      <color theme="1"/>
      <name val="Calibri"/>
      <family val="2"/>
      <charset val="1"/>
      <scheme val="minor"/>
    </font>
    <font>
      <sz val="11"/>
      <color theme="1"/>
      <name val="Calibri"/>
      <family val="2"/>
      <charset val="1"/>
      <scheme val="minor"/>
    </font>
    <font>
      <sz val="8"/>
      <color theme="1"/>
      <name val="Arial"/>
      <family val="2"/>
    </font>
    <font>
      <b/>
      <sz val="8"/>
      <color theme="1"/>
      <name val="Arial"/>
      <family val="2"/>
    </font>
    <font>
      <b/>
      <sz val="8"/>
      <color indexed="8"/>
      <name val="Arial"/>
      <family val="2"/>
    </font>
    <font>
      <b/>
      <u/>
      <sz val="8"/>
      <color theme="1"/>
      <name val="Arial"/>
      <family val="2"/>
    </font>
    <font>
      <sz val="8"/>
      <color rgb="FFFF0000"/>
      <name val="Arial"/>
      <family val="2"/>
    </font>
    <font>
      <i/>
      <sz val="8"/>
      <color rgb="FFFF0000"/>
      <name val="Arial"/>
      <family val="2"/>
    </font>
    <font>
      <b/>
      <sz val="8"/>
      <color rgb="FFFF0000"/>
      <name val="Arial"/>
      <family val="2"/>
    </font>
    <font>
      <sz val="9"/>
      <color theme="1"/>
      <name val="Arial"/>
      <family val="2"/>
    </font>
    <font>
      <b/>
      <sz val="8"/>
      <name val="Arial"/>
      <family val="2"/>
    </font>
    <font>
      <sz val="9"/>
      <color indexed="81"/>
      <name val="Tahoma"/>
      <family val="2"/>
    </font>
    <font>
      <b/>
      <sz val="9"/>
      <color indexed="81"/>
      <name val="Tahoma"/>
      <family val="2"/>
    </font>
    <font>
      <sz val="8"/>
      <name val="Arial"/>
      <family val="2"/>
    </font>
    <font>
      <u/>
      <sz val="11"/>
      <color theme="10"/>
      <name val="Calibri"/>
      <family val="2"/>
      <charset val="1"/>
      <scheme val="minor"/>
    </font>
    <font>
      <u/>
      <sz val="11"/>
      <color rgb="FFFF0000"/>
      <name val="Calibri"/>
      <family val="2"/>
      <charset val="1"/>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auto="1"/>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41" fontId="1" fillId="0" borderId="0" applyFont="0" applyFill="0" applyBorder="0" applyAlignment="0" applyProtection="0"/>
    <xf numFmtId="43" fontId="1" fillId="0" borderId="0" applyFont="0" applyFill="0" applyBorder="0" applyAlignment="0" applyProtection="0"/>
    <xf numFmtId="0" fontId="14" fillId="0" borderId="0" applyNumberFormat="0" applyFill="0" applyBorder="0" applyAlignment="0" applyProtection="0"/>
  </cellStyleXfs>
  <cellXfs count="109">
    <xf numFmtId="0" fontId="0" fillId="0" borderId="0" xfId="0"/>
    <xf numFmtId="0" fontId="2" fillId="0" borderId="0" xfId="0" applyFont="1" applyAlignment="1">
      <alignment horizontal="center"/>
    </xf>
    <xf numFmtId="0" fontId="2" fillId="0" borderId="0" xfId="0" applyFont="1"/>
    <xf numFmtId="164" fontId="2" fillId="0" borderId="0" xfId="0" applyNumberFormat="1" applyFont="1"/>
    <xf numFmtId="164" fontId="2" fillId="0" borderId="0" xfId="0" applyNumberFormat="1" applyFont="1" applyAlignment="1">
      <alignment horizontal="center"/>
    </xf>
    <xf numFmtId="41" fontId="2" fillId="0" borderId="0" xfId="1" applyFont="1"/>
    <xf numFmtId="0" fontId="3" fillId="2" borderId="1" xfId="0" applyFont="1" applyFill="1" applyBorder="1" applyAlignment="1">
      <alignment horizontal="center" vertical="center" wrapText="1"/>
    </xf>
    <xf numFmtId="0" fontId="2" fillId="0" borderId="1" xfId="0" applyFont="1" applyBorder="1"/>
    <xf numFmtId="164" fontId="2" fillId="0" borderId="1" xfId="0" applyNumberFormat="1" applyFont="1" applyBorder="1" applyAlignment="1">
      <alignment horizontal="center"/>
    </xf>
    <xf numFmtId="41" fontId="2" fillId="0" borderId="1" xfId="1" applyFont="1" applyBorder="1"/>
    <xf numFmtId="0" fontId="2" fillId="0" borderId="1" xfId="0" applyFont="1" applyBorder="1" applyAlignment="1">
      <alignment horizontal="center"/>
    </xf>
    <xf numFmtId="41" fontId="2" fillId="0" borderId="1" xfId="1" applyFont="1" applyFill="1" applyBorder="1"/>
    <xf numFmtId="41" fontId="2" fillId="0" borderId="1" xfId="0" applyNumberFormat="1" applyFont="1" applyBorder="1"/>
    <xf numFmtId="0" fontId="3" fillId="3" borderId="1" xfId="0" applyFont="1" applyFill="1" applyBorder="1"/>
    <xf numFmtId="164" fontId="3" fillId="3" borderId="1" xfId="0" applyNumberFormat="1" applyFont="1" applyFill="1" applyBorder="1" applyAlignment="1">
      <alignment horizontal="center"/>
    </xf>
    <xf numFmtId="0" fontId="3" fillId="3" borderId="1" xfId="0" applyFont="1" applyFill="1" applyBorder="1" applyAlignment="1">
      <alignment horizontal="center"/>
    </xf>
    <xf numFmtId="41" fontId="3" fillId="3" borderId="1" xfId="1" applyFont="1" applyFill="1" applyBorder="1"/>
    <xf numFmtId="0" fontId="3" fillId="0" borderId="0" xfId="0" applyFont="1"/>
    <xf numFmtId="0" fontId="3" fillId="4" borderId="1" xfId="0" applyFont="1" applyFill="1" applyBorder="1"/>
    <xf numFmtId="164" fontId="3" fillId="4" borderId="1" xfId="0" applyNumberFormat="1" applyFont="1" applyFill="1" applyBorder="1" applyAlignment="1">
      <alignment horizontal="center"/>
    </xf>
    <xf numFmtId="0" fontId="3" fillId="4" borderId="1" xfId="0" applyFont="1" applyFill="1" applyBorder="1" applyAlignment="1">
      <alignment horizontal="center"/>
    </xf>
    <xf numFmtId="41" fontId="3" fillId="4" borderId="1" xfId="1" applyFont="1" applyFill="1" applyBorder="1"/>
    <xf numFmtId="0" fontId="4" fillId="0" borderId="0" xfId="0" applyFont="1"/>
    <xf numFmtId="0" fontId="4" fillId="0" borderId="0" xfId="0" quotePrefix="1" applyFont="1"/>
    <xf numFmtId="0" fontId="5" fillId="0" borderId="0" xfId="0" applyFont="1"/>
    <xf numFmtId="0" fontId="2" fillId="0" borderId="0" xfId="0" applyFont="1" applyAlignment="1">
      <alignment horizontal="right"/>
    </xf>
    <xf numFmtId="0" fontId="7" fillId="0" borderId="0" xfId="0" applyFont="1" applyAlignment="1">
      <alignment horizontal="left" vertical="top"/>
    </xf>
    <xf numFmtId="0" fontId="3" fillId="2" borderId="2" xfId="0" applyFont="1" applyFill="1" applyBorder="1"/>
    <xf numFmtId="0" fontId="2" fillId="2" borderId="3" xfId="0" applyFont="1" applyFill="1" applyBorder="1"/>
    <xf numFmtId="0" fontId="2" fillId="0" borderId="4" xfId="0" applyFont="1" applyBorder="1"/>
    <xf numFmtId="41" fontId="2" fillId="0" borderId="6" xfId="1" applyFont="1" applyBorder="1"/>
    <xf numFmtId="0" fontId="6" fillId="0" borderId="4" xfId="0" applyFont="1" applyBorder="1"/>
    <xf numFmtId="41" fontId="6" fillId="0" borderId="5" xfId="1" applyFont="1" applyBorder="1"/>
    <xf numFmtId="0" fontId="2" fillId="0" borderId="7" xfId="0" applyFont="1" applyBorder="1"/>
    <xf numFmtId="0" fontId="2" fillId="0" borderId="6" xfId="0" applyFont="1" applyBorder="1"/>
    <xf numFmtId="0" fontId="8" fillId="0" borderId="0" xfId="0" applyFont="1" applyAlignment="1">
      <alignment horizontal="center"/>
    </xf>
    <xf numFmtId="0" fontId="2" fillId="0" borderId="0" xfId="0" applyFont="1" applyAlignment="1">
      <alignment vertical="top"/>
    </xf>
    <xf numFmtId="0" fontId="2" fillId="0" borderId="0" xfId="0" applyFont="1" applyAlignment="1">
      <alignment horizontal="left" vertical="top" wrapText="1"/>
    </xf>
    <xf numFmtId="0" fontId="8" fillId="0" borderId="0" xfId="0" applyFont="1" applyAlignment="1">
      <alignment horizontal="center" vertical="top"/>
    </xf>
    <xf numFmtId="0" fontId="9" fillId="0" borderId="0" xfId="0" applyFont="1" applyAlignment="1">
      <alignment horizontal="left" vertical="top" wrapText="1"/>
    </xf>
    <xf numFmtId="0" fontId="7" fillId="0" borderId="0" xfId="0" applyFont="1"/>
    <xf numFmtId="0" fontId="3" fillId="2" borderId="1" xfId="0" applyFont="1" applyFill="1" applyBorder="1" applyAlignment="1">
      <alignment horizontal="center" vertical="center"/>
    </xf>
    <xf numFmtId="41" fontId="3" fillId="2" borderId="1" xfId="0" applyNumberFormat="1" applyFont="1" applyFill="1" applyBorder="1"/>
    <xf numFmtId="165" fontId="2" fillId="0" borderId="1" xfId="0" applyNumberFormat="1" applyFont="1" applyBorder="1"/>
    <xf numFmtId="165" fontId="3" fillId="2" borderId="1" xfId="0" applyNumberFormat="1" applyFont="1" applyFill="1" applyBorder="1"/>
    <xf numFmtId="165" fontId="3" fillId="4" borderId="8" xfId="0" applyNumberFormat="1" applyFont="1" applyFill="1" applyBorder="1"/>
    <xf numFmtId="165" fontId="2" fillId="0" borderId="1" xfId="2" applyNumberFormat="1" applyFont="1" applyFill="1" applyBorder="1"/>
    <xf numFmtId="165" fontId="6" fillId="0" borderId="1" xfId="2" applyNumberFormat="1" applyFont="1" applyFill="1" applyBorder="1"/>
    <xf numFmtId="165" fontId="2" fillId="0" borderId="0" xfId="0" applyNumberFormat="1" applyFont="1"/>
    <xf numFmtId="0" fontId="3" fillId="4" borderId="0" xfId="0" applyFont="1" applyFill="1"/>
    <xf numFmtId="0" fontId="2" fillId="4" borderId="0" xfId="0" applyFont="1" applyFill="1"/>
    <xf numFmtId="0" fontId="3" fillId="2" borderId="1" xfId="0" applyFont="1" applyFill="1" applyBorder="1" applyAlignment="1">
      <alignment horizontal="center"/>
    </xf>
    <xf numFmtId="41" fontId="3" fillId="2" borderId="2" xfId="1" applyFont="1" applyFill="1" applyBorder="1" applyAlignment="1">
      <alignment horizontal="center"/>
    </xf>
    <xf numFmtId="0" fontId="10" fillId="2" borderId="1" xfId="0" applyFont="1" applyFill="1" applyBorder="1" applyAlignment="1">
      <alignment horizontal="center" vertical="center" wrapText="1"/>
    </xf>
    <xf numFmtId="0" fontId="2" fillId="0" borderId="0" xfId="0" applyFont="1" applyAlignment="1">
      <alignment horizontal="right" vertical="center"/>
    </xf>
    <xf numFmtId="0" fontId="2" fillId="0" borderId="0" xfId="1" applyNumberFormat="1" applyFont="1" applyAlignment="1">
      <alignment horizontal="right"/>
    </xf>
    <xf numFmtId="41" fontId="8" fillId="0" borderId="0" xfId="1" applyFont="1" applyAlignment="1">
      <alignment horizontal="center"/>
    </xf>
    <xf numFmtId="0" fontId="8" fillId="0" borderId="0" xfId="0" applyFont="1"/>
    <xf numFmtId="165" fontId="2" fillId="0" borderId="0" xfId="2" applyNumberFormat="1" applyFont="1"/>
    <xf numFmtId="41" fontId="2" fillId="0" borderId="0" xfId="0" applyNumberFormat="1" applyFont="1"/>
    <xf numFmtId="0" fontId="2" fillId="0" borderId="0" xfId="0" quotePrefix="1" applyFont="1"/>
    <xf numFmtId="0" fontId="3" fillId="2" borderId="3" xfId="0" applyFont="1" applyFill="1" applyBorder="1" applyAlignment="1">
      <alignment horizontal="center" vertical="center"/>
    </xf>
    <xf numFmtId="165" fontId="2" fillId="0" borderId="1" xfId="2" applyNumberFormat="1" applyFont="1" applyFill="1" applyBorder="1" applyAlignment="1"/>
    <xf numFmtId="41" fontId="2" fillId="0" borderId="0" xfId="1" quotePrefix="1" applyFont="1"/>
    <xf numFmtId="0" fontId="3" fillId="0" borderId="1" xfId="0" applyFont="1" applyBorder="1"/>
    <xf numFmtId="165" fontId="2" fillId="0" borderId="1" xfId="2" applyNumberFormat="1" applyFont="1" applyBorder="1"/>
    <xf numFmtId="9" fontId="2" fillId="0" borderId="0" xfId="0" applyNumberFormat="1" applyFont="1"/>
    <xf numFmtId="43" fontId="2" fillId="0" borderId="1" xfId="2" applyFont="1" applyBorder="1"/>
    <xf numFmtId="43" fontId="2" fillId="0" borderId="0" xfId="0" quotePrefix="1" applyNumberFormat="1" applyFont="1"/>
    <xf numFmtId="0" fontId="13" fillId="0" borderId="0" xfId="0" applyFont="1"/>
    <xf numFmtId="0" fontId="13" fillId="0" borderId="1" xfId="0" applyFont="1" applyBorder="1"/>
    <xf numFmtId="165" fontId="13" fillId="0" borderId="1" xfId="2" applyNumberFormat="1" applyFont="1" applyFill="1" applyBorder="1"/>
    <xf numFmtId="165" fontId="13" fillId="0" borderId="0" xfId="2" quotePrefix="1" applyNumberFormat="1" applyFont="1" applyFill="1" applyBorder="1" applyAlignment="1"/>
    <xf numFmtId="166" fontId="2" fillId="0" borderId="1" xfId="0" applyNumberFormat="1" applyFont="1" applyBorder="1" applyAlignment="1">
      <alignment horizontal="center" vertical="center"/>
    </xf>
    <xf numFmtId="41" fontId="2" fillId="0" borderId="1" xfId="1" applyFont="1" applyBorder="1" applyAlignment="1">
      <alignment horizontal="center" vertical="center"/>
    </xf>
    <xf numFmtId="166" fontId="2" fillId="0" borderId="1" xfId="1" applyNumberFormat="1" applyFont="1" applyBorder="1" applyAlignment="1">
      <alignment horizontal="center" vertical="center" wrapText="1"/>
    </xf>
    <xf numFmtId="41" fontId="2" fillId="0" borderId="1" xfId="0" applyNumberFormat="1" applyFont="1" applyBorder="1" applyAlignment="1">
      <alignment horizontal="center" vertical="center"/>
    </xf>
    <xf numFmtId="167" fontId="2" fillId="0" borderId="1" xfId="0" applyNumberFormat="1" applyFont="1" applyBorder="1" applyAlignment="1">
      <alignment horizontal="center" vertical="center"/>
    </xf>
    <xf numFmtId="165" fontId="2" fillId="0" borderId="1" xfId="2" applyNumberFormat="1" applyFont="1" applyBorder="1" applyAlignment="1">
      <alignment horizontal="center" vertical="center"/>
    </xf>
    <xf numFmtId="41" fontId="6" fillId="0" borderId="1" xfId="1" applyFont="1" applyBorder="1" applyAlignment="1">
      <alignment vertical="center"/>
    </xf>
    <xf numFmtId="0" fontId="8" fillId="0" borderId="1" xfId="0" applyFont="1" applyBorder="1" applyAlignment="1">
      <alignment horizontal="center" vertical="center"/>
    </xf>
    <xf numFmtId="166" fontId="2" fillId="0" borderId="1" xfId="1" applyNumberFormat="1" applyFont="1" applyBorder="1" applyAlignment="1">
      <alignment horizontal="center" vertical="center"/>
    </xf>
    <xf numFmtId="0" fontId="2" fillId="0" borderId="1" xfId="0" applyFont="1" applyBorder="1" applyAlignment="1">
      <alignment horizontal="center" vertical="center"/>
    </xf>
    <xf numFmtId="41" fontId="2" fillId="0" borderId="1" xfId="1" applyFont="1" applyBorder="1" applyAlignment="1">
      <alignment vertical="top" wrapText="1"/>
    </xf>
    <xf numFmtId="41" fontId="2" fillId="0" borderId="1" xfId="1" applyFont="1" applyBorder="1" applyAlignment="1">
      <alignment vertical="top"/>
    </xf>
    <xf numFmtId="166" fontId="2" fillId="0" borderId="1" xfId="0" applyNumberFormat="1" applyFont="1" applyBorder="1" applyAlignment="1">
      <alignment horizontal="left" vertical="center"/>
    </xf>
    <xf numFmtId="9" fontId="2" fillId="0" borderId="1" xfId="0" applyNumberFormat="1" applyFont="1" applyBorder="1"/>
    <xf numFmtId="0" fontId="13" fillId="5" borderId="1" xfId="0" applyFont="1" applyFill="1" applyBorder="1" applyAlignment="1">
      <alignment horizontal="center"/>
    </xf>
    <xf numFmtId="0" fontId="13" fillId="5" borderId="1" xfId="0" applyFont="1" applyFill="1" applyBorder="1"/>
    <xf numFmtId="164" fontId="13" fillId="5" borderId="1" xfId="0" applyNumberFormat="1" applyFont="1" applyFill="1" applyBorder="1" applyAlignment="1">
      <alignment horizontal="center"/>
    </xf>
    <xf numFmtId="41" fontId="13" fillId="5" borderId="1" xfId="1" applyFont="1" applyFill="1" applyBorder="1"/>
    <xf numFmtId="41" fontId="13" fillId="5" borderId="1" xfId="0" applyNumberFormat="1" applyFont="1" applyFill="1" applyBorder="1"/>
    <xf numFmtId="0" fontId="2" fillId="0" borderId="0" xfId="0" applyFont="1" applyFill="1" applyAlignment="1">
      <alignment horizontal="left" vertical="top"/>
    </xf>
    <xf numFmtId="164" fontId="13" fillId="0" borderId="0" xfId="0" applyNumberFormat="1" applyFont="1" applyFill="1" applyBorder="1" applyAlignment="1">
      <alignment horizontal="center"/>
    </xf>
    <xf numFmtId="0" fontId="3" fillId="4" borderId="1" xfId="0" applyFont="1" applyFill="1" applyBorder="1" applyAlignment="1">
      <alignment horizont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xf numFmtId="41" fontId="2" fillId="0" borderId="1" xfId="0" applyNumberFormat="1" applyFont="1" applyFill="1" applyBorder="1"/>
    <xf numFmtId="165" fontId="2" fillId="0" borderId="1" xfId="0" applyNumberFormat="1" applyFont="1" applyFill="1" applyBorder="1"/>
    <xf numFmtId="43" fontId="2" fillId="0" borderId="1" xfId="2" applyFont="1" applyFill="1" applyBorder="1"/>
    <xf numFmtId="0" fontId="13" fillId="0" borderId="0" xfId="0" applyFont="1" applyFill="1"/>
    <xf numFmtId="41" fontId="2" fillId="0" borderId="5" xfId="1" applyFont="1" applyFill="1" applyBorder="1"/>
    <xf numFmtId="0" fontId="2" fillId="0" borderId="0" xfId="0" applyFont="1" applyFill="1"/>
    <xf numFmtId="0" fontId="2" fillId="0" borderId="0" xfId="0" quotePrefix="1" applyFont="1" applyAlignment="1">
      <alignment vertical="top"/>
    </xf>
    <xf numFmtId="0" fontId="15" fillId="0" borderId="0" xfId="3" applyFont="1" applyFill="1" applyAlignment="1">
      <alignment horizontal="center" vertical="center"/>
    </xf>
    <xf numFmtId="0" fontId="15" fillId="0" borderId="0" xfId="3" applyFont="1" applyAlignment="1">
      <alignment horizontal="left"/>
    </xf>
    <xf numFmtId="0" fontId="15" fillId="0" borderId="0" xfId="3" applyFont="1"/>
    <xf numFmtId="0" fontId="15" fillId="0" borderId="0" xfId="3" applyFont="1" applyAlignment="1">
      <alignment horizontal="center"/>
    </xf>
    <xf numFmtId="0" fontId="15" fillId="0" borderId="1" xfId="3" applyFont="1" applyBorder="1" applyAlignment="1">
      <alignment horizontal="center" vertical="center"/>
    </xf>
  </cellXfs>
  <cellStyles count="4">
    <cellStyle name="Comma" xfId="2" builtinId="3"/>
    <cellStyle name="Comma [0]" xfId="1" builtinId="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I73"/>
  <sheetViews>
    <sheetView showGridLines="0" topLeftCell="AE1" zoomScaleNormal="100" workbookViewId="0">
      <pane ySplit="11" topLeftCell="A44" activePane="bottomLeft" state="frozen"/>
      <selection pane="bottomLeft" activeCell="AI60" sqref="AI60"/>
    </sheetView>
  </sheetViews>
  <sheetFormatPr defaultColWidth="9.109375" defaultRowHeight="10.199999999999999" x14ac:dyDescent="0.2"/>
  <cols>
    <col min="1" max="1" width="3.6640625" style="2" customWidth="1"/>
    <col min="2" max="2" width="15.33203125" style="1" customWidth="1"/>
    <col min="3" max="3" width="22" style="2" customWidth="1"/>
    <col min="4" max="4" width="30.33203125" style="2" bestFit="1" customWidth="1"/>
    <col min="5" max="5" width="10.33203125" style="3" customWidth="1"/>
    <col min="6" max="6" width="9.109375" style="4"/>
    <col min="7" max="7" width="9.109375" style="2"/>
    <col min="8" max="8" width="9.88671875" style="2" bestFit="1" customWidth="1"/>
    <col min="9" max="9" width="12.109375" style="5" bestFit="1" customWidth="1"/>
    <col min="10" max="11" width="12.109375" style="2" bestFit="1" customWidth="1"/>
    <col min="12" max="12" width="13" style="2" customWidth="1"/>
    <col min="13" max="13" width="10.88671875" style="2" bestFit="1" customWidth="1"/>
    <col min="14" max="14" width="17.88671875" style="2" customWidth="1"/>
    <col min="15" max="16" width="12.109375" style="2" bestFit="1" customWidth="1"/>
    <col min="17" max="17" width="12" style="2" bestFit="1" customWidth="1"/>
    <col min="18" max="18" width="10" style="2" bestFit="1" customWidth="1"/>
    <col min="19" max="19" width="9.33203125" style="2" bestFit="1" customWidth="1"/>
    <col min="20" max="20" width="12.109375" style="2" bestFit="1" customWidth="1"/>
    <col min="21" max="21" width="12" style="2" customWidth="1"/>
    <col min="22" max="22" width="9.109375" style="2"/>
    <col min="23" max="23" width="19.5546875" style="2" customWidth="1"/>
    <col min="24" max="24" width="12.109375" style="2" bestFit="1" customWidth="1"/>
    <col min="25" max="25" width="14" style="2" customWidth="1"/>
    <col min="26" max="28" width="12.88671875" style="2" bestFit="1" customWidth="1"/>
    <col min="29" max="29" width="12.44140625" style="2" bestFit="1" customWidth="1"/>
    <col min="30" max="30" width="13.44140625" style="48" bestFit="1" customWidth="1"/>
    <col min="31" max="32" width="11.109375" style="2" customWidth="1"/>
    <col min="33" max="33" width="13" style="2" bestFit="1" customWidth="1"/>
    <col min="34" max="34" width="15" style="69" bestFit="1" customWidth="1"/>
    <col min="35" max="16384" width="9.109375" style="2"/>
  </cols>
  <sheetData>
    <row r="1" spans="2:35" x14ac:dyDescent="0.2">
      <c r="AC1" s="7" t="s">
        <v>169</v>
      </c>
      <c r="AD1" s="7"/>
      <c r="AE1" s="7"/>
    </row>
    <row r="2" spans="2:35" x14ac:dyDescent="0.2">
      <c r="B2" s="22" t="s">
        <v>0</v>
      </c>
      <c r="AC2" s="7" t="s">
        <v>166</v>
      </c>
      <c r="AD2" s="7" t="s">
        <v>168</v>
      </c>
      <c r="AE2" s="7" t="s">
        <v>170</v>
      </c>
    </row>
    <row r="3" spans="2:35" x14ac:dyDescent="0.2">
      <c r="B3" s="22" t="s">
        <v>1</v>
      </c>
      <c r="AC3" s="86">
        <v>0.05</v>
      </c>
      <c r="AD3" s="65">
        <v>50000000</v>
      </c>
      <c r="AE3" s="43">
        <f>AD3</f>
        <v>50000000</v>
      </c>
      <c r="AH3" s="72"/>
    </row>
    <row r="4" spans="2:35" x14ac:dyDescent="0.2">
      <c r="B4" s="23" t="s">
        <v>2</v>
      </c>
      <c r="AC4" s="86">
        <v>0.15</v>
      </c>
      <c r="AD4" s="65">
        <v>250000000</v>
      </c>
      <c r="AE4" s="43">
        <f>AD4-AD3</f>
        <v>200000000</v>
      </c>
    </row>
    <row r="5" spans="2:35" x14ac:dyDescent="0.2">
      <c r="AC5" s="86">
        <v>0.25</v>
      </c>
      <c r="AD5" s="65">
        <v>500000000</v>
      </c>
      <c r="AE5" s="43">
        <f>AD5-AD4</f>
        <v>250000000</v>
      </c>
    </row>
    <row r="6" spans="2:35" x14ac:dyDescent="0.2">
      <c r="B6" s="24" t="s">
        <v>3</v>
      </c>
      <c r="I6" s="63"/>
      <c r="AC6" s="86">
        <v>0.3</v>
      </c>
      <c r="AD6" s="7" t="s">
        <v>167</v>
      </c>
      <c r="AE6" s="7"/>
    </row>
    <row r="7" spans="2:35" x14ac:dyDescent="0.2">
      <c r="B7" s="92" t="s">
        <v>191</v>
      </c>
      <c r="AD7" s="2"/>
    </row>
    <row r="8" spans="2:35" x14ac:dyDescent="0.2">
      <c r="AD8" s="2"/>
    </row>
    <row r="9" spans="2:35" x14ac:dyDescent="0.2">
      <c r="B9" s="26" t="s">
        <v>4</v>
      </c>
      <c r="W9" s="40" t="s">
        <v>5</v>
      </c>
      <c r="AB9" s="48"/>
      <c r="AC9" s="48"/>
      <c r="AD9" s="2"/>
    </row>
    <row r="10" spans="2:35" x14ac:dyDescent="0.2">
      <c r="H10" s="35"/>
      <c r="I10" s="56"/>
      <c r="J10" s="35"/>
      <c r="X10" s="66">
        <v>0.05</v>
      </c>
      <c r="Y10" s="66">
        <v>0.04</v>
      </c>
      <c r="AB10" s="48"/>
      <c r="AC10" s="68"/>
      <c r="AD10" s="2"/>
      <c r="AG10" s="48"/>
    </row>
    <row r="11" spans="2:35" ht="30.6" x14ac:dyDescent="0.2">
      <c r="B11" s="6" t="s">
        <v>6</v>
      </c>
      <c r="C11" s="6" t="s">
        <v>7</v>
      </c>
      <c r="D11" s="6" t="s">
        <v>8</v>
      </c>
      <c r="E11" s="6" t="s">
        <v>9</v>
      </c>
      <c r="F11" s="6" t="s">
        <v>10</v>
      </c>
      <c r="G11" s="6" t="s">
        <v>11</v>
      </c>
      <c r="H11" s="6" t="s">
        <v>12</v>
      </c>
      <c r="I11" s="6" t="s">
        <v>13</v>
      </c>
      <c r="J11" s="6" t="s">
        <v>14</v>
      </c>
      <c r="K11" s="6" t="s">
        <v>15</v>
      </c>
      <c r="L11" s="6" t="s">
        <v>16</v>
      </c>
      <c r="M11" s="6" t="s">
        <v>17</v>
      </c>
      <c r="N11" s="6" t="s">
        <v>159</v>
      </c>
      <c r="O11" s="6" t="s">
        <v>18</v>
      </c>
      <c r="P11" s="6" t="s">
        <v>19</v>
      </c>
      <c r="Q11" s="6" t="s">
        <v>20</v>
      </c>
      <c r="R11" s="6" t="s">
        <v>21</v>
      </c>
      <c r="S11" s="6" t="s">
        <v>22</v>
      </c>
      <c r="T11" s="6" t="s">
        <v>23</v>
      </c>
      <c r="U11" s="6" t="s">
        <v>24</v>
      </c>
      <c r="W11" s="6" t="s">
        <v>16</v>
      </c>
      <c r="X11" s="6" t="s">
        <v>17</v>
      </c>
      <c r="Y11" s="6" t="s">
        <v>160</v>
      </c>
      <c r="Z11" s="6" t="s">
        <v>18</v>
      </c>
      <c r="AA11" s="41" t="s">
        <v>19</v>
      </c>
      <c r="AB11" s="41" t="s">
        <v>20</v>
      </c>
      <c r="AC11" s="61" t="s">
        <v>21</v>
      </c>
      <c r="AD11" s="6" t="s">
        <v>161</v>
      </c>
      <c r="AE11" s="6" t="s">
        <v>171</v>
      </c>
      <c r="AF11" s="6" t="s">
        <v>173</v>
      </c>
      <c r="AG11" s="6" t="s">
        <v>174</v>
      </c>
      <c r="AH11" s="53" t="s">
        <v>172</v>
      </c>
    </row>
    <row r="12" spans="2:35" x14ac:dyDescent="0.2">
      <c r="B12" s="64" t="s">
        <v>25</v>
      </c>
      <c r="C12" s="7"/>
      <c r="D12" s="7"/>
      <c r="E12" s="8"/>
      <c r="F12" s="8"/>
      <c r="G12" s="7"/>
      <c r="H12" s="7"/>
      <c r="I12" s="9"/>
      <c r="J12" s="7"/>
      <c r="K12" s="7"/>
      <c r="L12" s="7"/>
      <c r="M12" s="7"/>
      <c r="N12" s="7"/>
      <c r="O12" s="7"/>
      <c r="P12" s="7"/>
      <c r="Q12" s="7"/>
      <c r="R12" s="7"/>
      <c r="S12" s="7"/>
      <c r="T12" s="7"/>
      <c r="U12" s="7"/>
      <c r="W12" s="64" t="s">
        <v>25</v>
      </c>
      <c r="X12" s="7"/>
      <c r="Y12" s="7"/>
      <c r="Z12" s="7"/>
      <c r="AA12" s="7"/>
      <c r="AB12" s="7"/>
      <c r="AC12" s="7"/>
      <c r="AD12" s="7"/>
      <c r="AE12" s="7"/>
      <c r="AF12" s="7"/>
      <c r="AG12" s="7"/>
      <c r="AH12" s="70"/>
    </row>
    <row r="13" spans="2:35" x14ac:dyDescent="0.2">
      <c r="B13" s="10">
        <v>120101</v>
      </c>
      <c r="C13" s="7" t="s">
        <v>26</v>
      </c>
      <c r="D13" s="7" t="s">
        <v>27</v>
      </c>
      <c r="E13" s="8">
        <v>36899</v>
      </c>
      <c r="F13" s="8" t="s">
        <v>28</v>
      </c>
      <c r="G13" s="10" t="s">
        <v>29</v>
      </c>
      <c r="H13" s="10" t="s">
        <v>30</v>
      </c>
      <c r="I13" s="11">
        <v>120000000</v>
      </c>
      <c r="J13" s="12">
        <f>75%*I13</f>
        <v>90000000</v>
      </c>
      <c r="K13" s="12">
        <f>1%*I13</f>
        <v>1200000</v>
      </c>
      <c r="L13" s="12">
        <f>SUM(I13:K13)</f>
        <v>211200000</v>
      </c>
      <c r="M13" s="11">
        <f t="shared" ref="M13:M49" si="0">5%*L13</f>
        <v>10560000</v>
      </c>
      <c r="N13" s="12">
        <f>4%*I13</f>
        <v>4800000</v>
      </c>
      <c r="O13" s="12">
        <f>L13-SUM(M13:N13)</f>
        <v>195840000</v>
      </c>
      <c r="P13" s="11">
        <f>IF(H13="K/0",58500000,IF(H13="K/1",63000000,IF(H13="K/2",67500000,IF(H13="K/3",72000000,IF(H13="TK/0",54000000,IF(H13="TK/1",58500000,IF(H13="TK/2",63000000,IF(H13="TK/3",67500000,0))))))))</f>
        <v>67500000</v>
      </c>
      <c r="Q13" s="12">
        <f>MAX(O13-P13,0)</f>
        <v>128340000</v>
      </c>
      <c r="R13" s="12">
        <f>ROUND(Q13,-3)*5%</f>
        <v>6417000</v>
      </c>
      <c r="S13" s="12">
        <f>R13/12</f>
        <v>534750</v>
      </c>
      <c r="T13" s="12">
        <f>(L13-N13-R13)/12</f>
        <v>16665250</v>
      </c>
      <c r="U13" s="12">
        <f>T13*12</f>
        <v>199983000</v>
      </c>
      <c r="W13" s="12">
        <f t="shared" ref="W13:W52" si="1">Gaji_Pokok+Tunjangan+Asuransi</f>
        <v>211200000</v>
      </c>
      <c r="X13" s="43">
        <f t="shared" ref="X13:X52" si="2">IF(Tarif_Jabatan*W13&lt;6000000,W13*Tarif_Jabatan,6000000)</f>
        <v>6000000</v>
      </c>
      <c r="Y13" s="12">
        <f t="shared" ref="Y13:Y58" si="3">Gaji_Pokok*Tarif_JHP</f>
        <v>4800000</v>
      </c>
      <c r="Z13" s="43">
        <f>W13-X13-Y13</f>
        <v>200400000</v>
      </c>
      <c r="AA13" s="46">
        <f>VLOOKUP(H13,Tabel_Pembantu_PTKP,2,FALSE)</f>
        <v>67500000</v>
      </c>
      <c r="AB13" s="43">
        <f>IF(Z13-AA13&lt;0,0,Z13-AA13)</f>
        <v>132900000</v>
      </c>
      <c r="AC13" s="67">
        <f>IF(AND(AB13&gt;0,AB13&lt;=50000000),5%*AB13,IF(AND(AB13&gt;50000000,AB13&lt;=250000000),5%*50000000+15%*(AB13-50000000),IF(AND(AB13&gt;250000000,AB13&lt;=500000000),5%*50000000+15%*200000000+25%*(AB13-50000000-200000000),IF(AB13&gt;500000000,5%*50000000+15%*200000000+25%*250000000+30%*(AB13-50000000-200000000-250000000),0))))</f>
        <v>14935000</v>
      </c>
      <c r="AD13" s="43">
        <f>AC13/12</f>
        <v>1244583.3333333333</v>
      </c>
      <c r="AE13" s="62">
        <f>(I13+J13-N13)/12-AD13</f>
        <v>15855416.666666666</v>
      </c>
      <c r="AF13" s="46">
        <f>AC13-R13</f>
        <v>8518000</v>
      </c>
      <c r="AG13" s="46">
        <f>AE13*12</f>
        <v>190265000</v>
      </c>
      <c r="AH13" s="71">
        <f>AG13-U13</f>
        <v>-9718000</v>
      </c>
      <c r="AI13" s="57"/>
    </row>
    <row r="14" spans="2:35" x14ac:dyDescent="0.2">
      <c r="B14" s="10">
        <v>120201</v>
      </c>
      <c r="C14" s="7" t="s">
        <v>31</v>
      </c>
      <c r="D14" s="7" t="s">
        <v>32</v>
      </c>
      <c r="E14" s="8">
        <v>36899</v>
      </c>
      <c r="F14" s="8" t="s">
        <v>28</v>
      </c>
      <c r="G14" s="10" t="s">
        <v>29</v>
      </c>
      <c r="H14" s="10" t="s">
        <v>33</v>
      </c>
      <c r="I14" s="11">
        <v>100000000</v>
      </c>
      <c r="J14" s="12">
        <f>75%*I14</f>
        <v>75000000</v>
      </c>
      <c r="K14" s="12">
        <f t="shared" ref="K14:K52" si="4">1%*I14</f>
        <v>1000000</v>
      </c>
      <c r="L14" s="12">
        <f t="shared" ref="L14:L49" si="5">SUM(I14:K14)</f>
        <v>176000000</v>
      </c>
      <c r="M14" s="11">
        <f t="shared" si="0"/>
        <v>8800000</v>
      </c>
      <c r="N14" s="12">
        <f t="shared" ref="N14:N49" si="6">4%*I14</f>
        <v>4000000</v>
      </c>
      <c r="O14" s="12">
        <f t="shared" ref="O14:O49" si="7">L14-SUM(M14:N14)</f>
        <v>163200000</v>
      </c>
      <c r="P14" s="11">
        <f t="shared" ref="P14:P52" si="8">IF(H14="K/0",58500000,IF(H14="K/1",63000000,IF(H14="K/2",67500000,IF(H14="K/3",72000000,IF(H14="TK/0",54000000,IF(H14="TK/1",58500000,IF(H14="TK/2",63000000,IF(H14="TK/3",67500000,0))))))))</f>
        <v>72000000</v>
      </c>
      <c r="Q14" s="12">
        <f t="shared" ref="Q14:Q49" si="9">MAX(O14-P14,0)</f>
        <v>91200000</v>
      </c>
      <c r="R14" s="12">
        <f t="shared" ref="R14:R49" si="10">ROUND(Q14,-3)*5%</f>
        <v>4560000</v>
      </c>
      <c r="S14" s="12">
        <f t="shared" ref="S14:S49" si="11">R14/12</f>
        <v>380000</v>
      </c>
      <c r="T14" s="12">
        <f t="shared" ref="T14:T49" si="12">(L14-N14-R14)/12</f>
        <v>13953333.333333334</v>
      </c>
      <c r="U14" s="12">
        <f t="shared" ref="U14:U52" si="13">T14*12</f>
        <v>167440000</v>
      </c>
      <c r="W14" s="12">
        <f t="shared" si="1"/>
        <v>176000000</v>
      </c>
      <c r="X14" s="43">
        <f t="shared" si="2"/>
        <v>6000000</v>
      </c>
      <c r="Y14" s="12">
        <f t="shared" si="3"/>
        <v>4000000</v>
      </c>
      <c r="Z14" s="43">
        <f t="shared" ref="Z14:Z52" si="14">W14-X14-Y14</f>
        <v>166000000</v>
      </c>
      <c r="AA14" s="46">
        <f t="shared" ref="AA14:AA52" si="15">VLOOKUP(H14,Tabel_Pembantu_PTKP,2,FALSE)</f>
        <v>72000000</v>
      </c>
      <c r="AB14" s="43">
        <f t="shared" ref="AB14:AB52" si="16">IF(Z14-AA14&lt;0,0,Z14-AA14)</f>
        <v>94000000</v>
      </c>
      <c r="AC14" s="67">
        <f t="shared" ref="AC14:AC52" si="17">IF(AND(AB14&gt;0,AB14&lt;=50000000),5%*AB14,IF(AND(AB14&gt;50000000,AB14&lt;=250000000),5%*50000000+15%*(AB14-50000000),IF(AND(AB14&gt;250000000,AB14&lt;=500000000),5%*50000000+15%*200000000+25%*(AB14-50000000-200000000),IF(AB14&gt;500000000,5%*50000000+15%*200000000+25%*250000000+30%*(AB14-50000000-200000000-250000000),0))))</f>
        <v>9100000</v>
      </c>
      <c r="AD14" s="43">
        <f t="shared" ref="AD14:AD52" si="18">AC14/12</f>
        <v>758333.33333333337</v>
      </c>
      <c r="AE14" s="62">
        <f t="shared" ref="AE14:AE52" si="19">(I14+J14-N14)/12-AD14</f>
        <v>13491666.666666666</v>
      </c>
      <c r="AF14" s="46">
        <f t="shared" ref="AF14:AF52" si="20">AC14-R14</f>
        <v>4540000</v>
      </c>
      <c r="AG14" s="46">
        <f t="shared" ref="AG14:AG52" si="21">AE14*12</f>
        <v>161900000</v>
      </c>
      <c r="AH14" s="71">
        <f t="shared" ref="AH14:AH52" si="22">AG14-U14</f>
        <v>-5540000</v>
      </c>
    </row>
    <row r="15" spans="2:35" x14ac:dyDescent="0.2">
      <c r="B15" s="10">
        <v>120301</v>
      </c>
      <c r="C15" s="7" t="s">
        <v>34</v>
      </c>
      <c r="D15" s="7" t="s">
        <v>35</v>
      </c>
      <c r="E15" s="8">
        <v>42224</v>
      </c>
      <c r="F15" s="8" t="s">
        <v>28</v>
      </c>
      <c r="G15" s="10" t="s">
        <v>29</v>
      </c>
      <c r="H15" s="10" t="s">
        <v>33</v>
      </c>
      <c r="I15" s="11">
        <v>75000000</v>
      </c>
      <c r="J15" s="12">
        <f>50%*I15</f>
        <v>37500000</v>
      </c>
      <c r="K15" s="12">
        <f t="shared" si="4"/>
        <v>750000</v>
      </c>
      <c r="L15" s="12">
        <f t="shared" si="5"/>
        <v>113250000</v>
      </c>
      <c r="M15" s="11">
        <f t="shared" si="0"/>
        <v>5662500</v>
      </c>
      <c r="N15" s="12">
        <f t="shared" si="6"/>
        <v>3000000</v>
      </c>
      <c r="O15" s="12">
        <f t="shared" si="7"/>
        <v>104587500</v>
      </c>
      <c r="P15" s="11">
        <f t="shared" si="8"/>
        <v>72000000</v>
      </c>
      <c r="Q15" s="12">
        <f t="shared" si="9"/>
        <v>32587500</v>
      </c>
      <c r="R15" s="12">
        <f t="shared" si="10"/>
        <v>1629400</v>
      </c>
      <c r="S15" s="12">
        <f t="shared" si="11"/>
        <v>135783.33333333334</v>
      </c>
      <c r="T15" s="12">
        <f t="shared" si="12"/>
        <v>9051716.666666666</v>
      </c>
      <c r="U15" s="12">
        <f t="shared" si="13"/>
        <v>108620600</v>
      </c>
      <c r="W15" s="12">
        <f t="shared" si="1"/>
        <v>113250000</v>
      </c>
      <c r="X15" s="43">
        <f t="shared" si="2"/>
        <v>5662500</v>
      </c>
      <c r="Y15" s="12">
        <f t="shared" si="3"/>
        <v>3000000</v>
      </c>
      <c r="Z15" s="43">
        <f t="shared" si="14"/>
        <v>104587500</v>
      </c>
      <c r="AA15" s="46">
        <f t="shared" si="15"/>
        <v>72000000</v>
      </c>
      <c r="AB15" s="43">
        <f t="shared" si="16"/>
        <v>32587500</v>
      </c>
      <c r="AC15" s="67">
        <f t="shared" si="17"/>
        <v>1629375</v>
      </c>
      <c r="AD15" s="43">
        <f t="shared" si="18"/>
        <v>135781.25</v>
      </c>
      <c r="AE15" s="62">
        <f t="shared" si="19"/>
        <v>8989218.75</v>
      </c>
      <c r="AF15" s="46">
        <f t="shared" si="20"/>
        <v>-25</v>
      </c>
      <c r="AG15" s="46">
        <f t="shared" si="21"/>
        <v>107870625</v>
      </c>
      <c r="AH15" s="71">
        <f t="shared" si="22"/>
        <v>-749975</v>
      </c>
    </row>
    <row r="16" spans="2:35" x14ac:dyDescent="0.2">
      <c r="B16" s="10">
        <f>B15+1</f>
        <v>120302</v>
      </c>
      <c r="C16" s="7" t="s">
        <v>36</v>
      </c>
      <c r="D16" s="7" t="s">
        <v>35</v>
      </c>
      <c r="E16" s="8">
        <v>41866</v>
      </c>
      <c r="F16" s="8" t="s">
        <v>28</v>
      </c>
      <c r="G16" s="10" t="s">
        <v>29</v>
      </c>
      <c r="H16" s="10" t="s">
        <v>30</v>
      </c>
      <c r="I16" s="11">
        <v>75000000</v>
      </c>
      <c r="J16" s="12">
        <f t="shared" ref="J16:J19" si="23">50%*I16</f>
        <v>37500000</v>
      </c>
      <c r="K16" s="12">
        <f t="shared" si="4"/>
        <v>750000</v>
      </c>
      <c r="L16" s="12">
        <f t="shared" si="5"/>
        <v>113250000</v>
      </c>
      <c r="M16" s="11">
        <f t="shared" si="0"/>
        <v>5662500</v>
      </c>
      <c r="N16" s="12">
        <f t="shared" si="6"/>
        <v>3000000</v>
      </c>
      <c r="O16" s="12">
        <f t="shared" si="7"/>
        <v>104587500</v>
      </c>
      <c r="P16" s="11">
        <f t="shared" si="8"/>
        <v>67500000</v>
      </c>
      <c r="Q16" s="12">
        <f t="shared" si="9"/>
        <v>37087500</v>
      </c>
      <c r="R16" s="12">
        <f t="shared" si="10"/>
        <v>1854400</v>
      </c>
      <c r="S16" s="12">
        <f t="shared" si="11"/>
        <v>154533.33333333334</v>
      </c>
      <c r="T16" s="12">
        <f t="shared" si="12"/>
        <v>9032966.666666666</v>
      </c>
      <c r="U16" s="12">
        <f t="shared" si="13"/>
        <v>108395600</v>
      </c>
      <c r="W16" s="12">
        <f t="shared" si="1"/>
        <v>113250000</v>
      </c>
      <c r="X16" s="43">
        <f t="shared" si="2"/>
        <v>5662500</v>
      </c>
      <c r="Y16" s="12">
        <f t="shared" si="3"/>
        <v>3000000</v>
      </c>
      <c r="Z16" s="43">
        <f t="shared" si="14"/>
        <v>104587500</v>
      </c>
      <c r="AA16" s="46">
        <f t="shared" si="15"/>
        <v>67500000</v>
      </c>
      <c r="AB16" s="43">
        <f t="shared" si="16"/>
        <v>37087500</v>
      </c>
      <c r="AC16" s="67">
        <f t="shared" si="17"/>
        <v>1854375</v>
      </c>
      <c r="AD16" s="43">
        <f t="shared" si="18"/>
        <v>154531.25</v>
      </c>
      <c r="AE16" s="62">
        <f t="shared" si="19"/>
        <v>8970468.75</v>
      </c>
      <c r="AF16" s="46">
        <f t="shared" si="20"/>
        <v>-25</v>
      </c>
      <c r="AG16" s="46">
        <f t="shared" si="21"/>
        <v>107645625</v>
      </c>
      <c r="AH16" s="71">
        <f t="shared" si="22"/>
        <v>-749975</v>
      </c>
    </row>
    <row r="17" spans="2:35" x14ac:dyDescent="0.2">
      <c r="B17" s="10">
        <f t="shared" ref="B17:B19" si="24">B16+1</f>
        <v>120303</v>
      </c>
      <c r="C17" s="7" t="s">
        <v>37</v>
      </c>
      <c r="D17" s="7" t="s">
        <v>38</v>
      </c>
      <c r="E17" s="8">
        <v>41420</v>
      </c>
      <c r="F17" s="8" t="s">
        <v>28</v>
      </c>
      <c r="G17" s="10" t="s">
        <v>29</v>
      </c>
      <c r="H17" s="10" t="s">
        <v>30</v>
      </c>
      <c r="I17" s="11">
        <v>65000000</v>
      </c>
      <c r="J17" s="12">
        <f t="shared" si="23"/>
        <v>32500000</v>
      </c>
      <c r="K17" s="12">
        <f t="shared" si="4"/>
        <v>650000</v>
      </c>
      <c r="L17" s="12">
        <f t="shared" si="5"/>
        <v>98150000</v>
      </c>
      <c r="M17" s="11">
        <f t="shared" si="0"/>
        <v>4907500</v>
      </c>
      <c r="N17" s="12">
        <f t="shared" si="6"/>
        <v>2600000</v>
      </c>
      <c r="O17" s="12">
        <f t="shared" si="7"/>
        <v>90642500</v>
      </c>
      <c r="P17" s="11">
        <f t="shared" si="8"/>
        <v>67500000</v>
      </c>
      <c r="Q17" s="12">
        <f t="shared" si="9"/>
        <v>23142500</v>
      </c>
      <c r="R17" s="12">
        <f t="shared" si="10"/>
        <v>1157150</v>
      </c>
      <c r="S17" s="12">
        <f t="shared" si="11"/>
        <v>96429.166666666672</v>
      </c>
      <c r="T17" s="12">
        <f t="shared" si="12"/>
        <v>7866070.833333333</v>
      </c>
      <c r="U17" s="12">
        <f t="shared" si="13"/>
        <v>94392850</v>
      </c>
      <c r="W17" s="12">
        <f t="shared" si="1"/>
        <v>98150000</v>
      </c>
      <c r="X17" s="43">
        <f t="shared" si="2"/>
        <v>4907500</v>
      </c>
      <c r="Y17" s="12">
        <f t="shared" si="3"/>
        <v>2600000</v>
      </c>
      <c r="Z17" s="43">
        <f t="shared" si="14"/>
        <v>90642500</v>
      </c>
      <c r="AA17" s="46">
        <f t="shared" si="15"/>
        <v>67500000</v>
      </c>
      <c r="AB17" s="43">
        <f t="shared" si="16"/>
        <v>23142500</v>
      </c>
      <c r="AC17" s="67">
        <f t="shared" si="17"/>
        <v>1157125</v>
      </c>
      <c r="AD17" s="43">
        <f t="shared" si="18"/>
        <v>96427.083333333328</v>
      </c>
      <c r="AE17" s="62">
        <f t="shared" si="19"/>
        <v>7811906.25</v>
      </c>
      <c r="AF17" s="46">
        <f t="shared" si="20"/>
        <v>-25</v>
      </c>
      <c r="AG17" s="46">
        <f t="shared" si="21"/>
        <v>93742875</v>
      </c>
      <c r="AH17" s="71">
        <f t="shared" si="22"/>
        <v>-649975</v>
      </c>
    </row>
    <row r="18" spans="2:35" x14ac:dyDescent="0.2">
      <c r="B18" s="10">
        <f t="shared" si="24"/>
        <v>120304</v>
      </c>
      <c r="C18" s="7" t="s">
        <v>39</v>
      </c>
      <c r="D18" s="7" t="s">
        <v>38</v>
      </c>
      <c r="E18" s="8">
        <v>41765</v>
      </c>
      <c r="F18" s="8" t="s">
        <v>28</v>
      </c>
      <c r="G18" s="10" t="s">
        <v>29</v>
      </c>
      <c r="H18" s="10" t="s">
        <v>40</v>
      </c>
      <c r="I18" s="11">
        <v>65000000</v>
      </c>
      <c r="J18" s="12">
        <f t="shared" si="23"/>
        <v>32500000</v>
      </c>
      <c r="K18" s="12">
        <f t="shared" si="4"/>
        <v>650000</v>
      </c>
      <c r="L18" s="12">
        <f t="shared" si="5"/>
        <v>98150000</v>
      </c>
      <c r="M18" s="11">
        <f t="shared" si="0"/>
        <v>4907500</v>
      </c>
      <c r="N18" s="12">
        <f t="shared" si="6"/>
        <v>2600000</v>
      </c>
      <c r="O18" s="12">
        <f t="shared" si="7"/>
        <v>90642500</v>
      </c>
      <c r="P18" s="11">
        <f t="shared" si="8"/>
        <v>54000000</v>
      </c>
      <c r="Q18" s="12">
        <f t="shared" si="9"/>
        <v>36642500</v>
      </c>
      <c r="R18" s="12">
        <f t="shared" si="10"/>
        <v>1832150</v>
      </c>
      <c r="S18" s="12">
        <f t="shared" si="11"/>
        <v>152679.16666666666</v>
      </c>
      <c r="T18" s="12">
        <f t="shared" si="12"/>
        <v>7809820.833333333</v>
      </c>
      <c r="U18" s="12">
        <f t="shared" si="13"/>
        <v>93717850</v>
      </c>
      <c r="W18" s="12">
        <f t="shared" si="1"/>
        <v>98150000</v>
      </c>
      <c r="X18" s="43">
        <f t="shared" si="2"/>
        <v>4907500</v>
      </c>
      <c r="Y18" s="12">
        <f t="shared" si="3"/>
        <v>2600000</v>
      </c>
      <c r="Z18" s="43">
        <f t="shared" si="14"/>
        <v>90642500</v>
      </c>
      <c r="AA18" s="46">
        <f t="shared" si="15"/>
        <v>54000000</v>
      </c>
      <c r="AB18" s="43">
        <f t="shared" si="16"/>
        <v>36642500</v>
      </c>
      <c r="AC18" s="67">
        <f t="shared" si="17"/>
        <v>1832125</v>
      </c>
      <c r="AD18" s="43">
        <f t="shared" si="18"/>
        <v>152677.08333333334</v>
      </c>
      <c r="AE18" s="62">
        <f t="shared" si="19"/>
        <v>7755656.25</v>
      </c>
      <c r="AF18" s="46">
        <f t="shared" si="20"/>
        <v>-25</v>
      </c>
      <c r="AG18" s="46">
        <f t="shared" si="21"/>
        <v>93067875</v>
      </c>
      <c r="AH18" s="71">
        <f t="shared" si="22"/>
        <v>-649975</v>
      </c>
    </row>
    <row r="19" spans="2:35" x14ac:dyDescent="0.2">
      <c r="B19" s="10">
        <f t="shared" si="24"/>
        <v>120305</v>
      </c>
      <c r="C19" s="7" t="s">
        <v>41</v>
      </c>
      <c r="D19" s="7" t="s">
        <v>38</v>
      </c>
      <c r="E19" s="8">
        <v>42281</v>
      </c>
      <c r="F19" s="8" t="s">
        <v>28</v>
      </c>
      <c r="G19" s="10" t="s">
        <v>29</v>
      </c>
      <c r="H19" s="10" t="s">
        <v>40</v>
      </c>
      <c r="I19" s="11">
        <v>65000000</v>
      </c>
      <c r="J19" s="12">
        <f t="shared" si="23"/>
        <v>32500000</v>
      </c>
      <c r="K19" s="12">
        <f t="shared" si="4"/>
        <v>650000</v>
      </c>
      <c r="L19" s="12">
        <f t="shared" si="5"/>
        <v>98150000</v>
      </c>
      <c r="M19" s="11">
        <f t="shared" si="0"/>
        <v>4907500</v>
      </c>
      <c r="N19" s="12">
        <f t="shared" si="6"/>
        <v>2600000</v>
      </c>
      <c r="O19" s="12">
        <f t="shared" si="7"/>
        <v>90642500</v>
      </c>
      <c r="P19" s="11">
        <f t="shared" si="8"/>
        <v>54000000</v>
      </c>
      <c r="Q19" s="12">
        <f t="shared" si="9"/>
        <v>36642500</v>
      </c>
      <c r="R19" s="12">
        <f t="shared" si="10"/>
        <v>1832150</v>
      </c>
      <c r="S19" s="12">
        <f t="shared" si="11"/>
        <v>152679.16666666666</v>
      </c>
      <c r="T19" s="12">
        <f t="shared" si="12"/>
        <v>7809820.833333333</v>
      </c>
      <c r="U19" s="12">
        <f t="shared" si="13"/>
        <v>93717850</v>
      </c>
      <c r="W19" s="12">
        <f t="shared" si="1"/>
        <v>98150000</v>
      </c>
      <c r="X19" s="43">
        <f t="shared" si="2"/>
        <v>4907500</v>
      </c>
      <c r="Y19" s="12">
        <f t="shared" si="3"/>
        <v>2600000</v>
      </c>
      <c r="Z19" s="43">
        <f t="shared" si="14"/>
        <v>90642500</v>
      </c>
      <c r="AA19" s="46">
        <f t="shared" si="15"/>
        <v>54000000</v>
      </c>
      <c r="AB19" s="43">
        <f t="shared" si="16"/>
        <v>36642500</v>
      </c>
      <c r="AC19" s="67">
        <f t="shared" si="17"/>
        <v>1832125</v>
      </c>
      <c r="AD19" s="43">
        <f t="shared" si="18"/>
        <v>152677.08333333334</v>
      </c>
      <c r="AE19" s="62">
        <f t="shared" si="19"/>
        <v>7755656.25</v>
      </c>
      <c r="AF19" s="46">
        <f t="shared" si="20"/>
        <v>-25</v>
      </c>
      <c r="AG19" s="46">
        <f t="shared" si="21"/>
        <v>93067875</v>
      </c>
      <c r="AH19" s="71">
        <f t="shared" si="22"/>
        <v>-649975</v>
      </c>
    </row>
    <row r="20" spans="2:35" x14ac:dyDescent="0.2">
      <c r="B20" s="10">
        <v>120402</v>
      </c>
      <c r="C20" s="7" t="s">
        <v>42</v>
      </c>
      <c r="D20" s="7" t="s">
        <v>43</v>
      </c>
      <c r="E20" s="8">
        <v>40004</v>
      </c>
      <c r="F20" s="8" t="s">
        <v>28</v>
      </c>
      <c r="G20" s="10" t="s">
        <v>29</v>
      </c>
      <c r="H20" s="10" t="s">
        <v>30</v>
      </c>
      <c r="I20" s="11">
        <v>50000000</v>
      </c>
      <c r="J20" s="12">
        <f>60%*I20</f>
        <v>30000000</v>
      </c>
      <c r="K20" s="12">
        <f t="shared" si="4"/>
        <v>500000</v>
      </c>
      <c r="L20" s="12">
        <f t="shared" si="5"/>
        <v>80500000</v>
      </c>
      <c r="M20" s="11">
        <f t="shared" si="0"/>
        <v>4025000</v>
      </c>
      <c r="N20" s="12">
        <f t="shared" si="6"/>
        <v>2000000</v>
      </c>
      <c r="O20" s="12">
        <f t="shared" si="7"/>
        <v>74475000</v>
      </c>
      <c r="P20" s="11">
        <f t="shared" si="8"/>
        <v>67500000</v>
      </c>
      <c r="Q20" s="12">
        <f t="shared" si="9"/>
        <v>6975000</v>
      </c>
      <c r="R20" s="12">
        <f t="shared" si="10"/>
        <v>348750</v>
      </c>
      <c r="S20" s="12">
        <f t="shared" si="11"/>
        <v>29062.5</v>
      </c>
      <c r="T20" s="12">
        <f t="shared" si="12"/>
        <v>6512604.166666667</v>
      </c>
      <c r="U20" s="12">
        <f t="shared" si="13"/>
        <v>78151250</v>
      </c>
      <c r="W20" s="12">
        <f t="shared" si="1"/>
        <v>80500000</v>
      </c>
      <c r="X20" s="43">
        <f t="shared" si="2"/>
        <v>4025000</v>
      </c>
      <c r="Y20" s="12">
        <f t="shared" si="3"/>
        <v>2000000</v>
      </c>
      <c r="Z20" s="43">
        <f t="shared" si="14"/>
        <v>74475000</v>
      </c>
      <c r="AA20" s="46">
        <f t="shared" si="15"/>
        <v>67500000</v>
      </c>
      <c r="AB20" s="43">
        <f t="shared" si="16"/>
        <v>6975000</v>
      </c>
      <c r="AC20" s="67">
        <f t="shared" si="17"/>
        <v>348750</v>
      </c>
      <c r="AD20" s="43">
        <f t="shared" si="18"/>
        <v>29062.5</v>
      </c>
      <c r="AE20" s="62">
        <f t="shared" si="19"/>
        <v>6470937.5</v>
      </c>
      <c r="AF20" s="46">
        <f t="shared" si="20"/>
        <v>0</v>
      </c>
      <c r="AG20" s="46">
        <f t="shared" si="21"/>
        <v>77651250</v>
      </c>
      <c r="AH20" s="71">
        <f t="shared" si="22"/>
        <v>-500000</v>
      </c>
    </row>
    <row r="21" spans="2:35" x14ac:dyDescent="0.2">
      <c r="B21" s="10">
        <v>120501</v>
      </c>
      <c r="C21" s="7" t="s">
        <v>44</v>
      </c>
      <c r="D21" s="7" t="s">
        <v>45</v>
      </c>
      <c r="E21" s="8">
        <v>39095</v>
      </c>
      <c r="F21" s="8" t="s">
        <v>28</v>
      </c>
      <c r="G21" s="10" t="s">
        <v>29</v>
      </c>
      <c r="H21" s="10" t="s">
        <v>40</v>
      </c>
      <c r="I21" s="11">
        <v>70000000</v>
      </c>
      <c r="J21" s="12">
        <f>75%*I21</f>
        <v>52500000</v>
      </c>
      <c r="K21" s="12">
        <f t="shared" si="4"/>
        <v>700000</v>
      </c>
      <c r="L21" s="12">
        <f t="shared" si="5"/>
        <v>123200000</v>
      </c>
      <c r="M21" s="11">
        <f t="shared" si="0"/>
        <v>6160000</v>
      </c>
      <c r="N21" s="12">
        <f t="shared" si="6"/>
        <v>2800000</v>
      </c>
      <c r="O21" s="12">
        <f t="shared" si="7"/>
        <v>114240000</v>
      </c>
      <c r="P21" s="11">
        <f t="shared" si="8"/>
        <v>54000000</v>
      </c>
      <c r="Q21" s="12">
        <f t="shared" si="9"/>
        <v>60240000</v>
      </c>
      <c r="R21" s="12">
        <f t="shared" si="10"/>
        <v>3012000</v>
      </c>
      <c r="S21" s="12">
        <f t="shared" si="11"/>
        <v>251000</v>
      </c>
      <c r="T21" s="12">
        <f t="shared" si="12"/>
        <v>9782333.333333334</v>
      </c>
      <c r="U21" s="12">
        <f t="shared" si="13"/>
        <v>117388000</v>
      </c>
      <c r="W21" s="12">
        <f t="shared" si="1"/>
        <v>123200000</v>
      </c>
      <c r="X21" s="43">
        <f t="shared" si="2"/>
        <v>6000000</v>
      </c>
      <c r="Y21" s="12">
        <f t="shared" si="3"/>
        <v>2800000</v>
      </c>
      <c r="Z21" s="43">
        <f t="shared" si="14"/>
        <v>114400000</v>
      </c>
      <c r="AA21" s="46">
        <f t="shared" si="15"/>
        <v>54000000</v>
      </c>
      <c r="AB21" s="43">
        <f t="shared" si="16"/>
        <v>60400000</v>
      </c>
      <c r="AC21" s="67">
        <f t="shared" si="17"/>
        <v>4060000</v>
      </c>
      <c r="AD21" s="43">
        <f t="shared" si="18"/>
        <v>338333.33333333331</v>
      </c>
      <c r="AE21" s="62">
        <f t="shared" si="19"/>
        <v>9636666.666666666</v>
      </c>
      <c r="AF21" s="46">
        <f t="shared" si="20"/>
        <v>1048000</v>
      </c>
      <c r="AG21" s="46">
        <f t="shared" si="21"/>
        <v>115640000</v>
      </c>
      <c r="AH21" s="71">
        <f t="shared" si="22"/>
        <v>-1748000</v>
      </c>
      <c r="AI21" s="57"/>
    </row>
    <row r="22" spans="2:35" x14ac:dyDescent="0.2">
      <c r="B22" s="10">
        <f>B21+1</f>
        <v>120502</v>
      </c>
      <c r="C22" s="7" t="s">
        <v>46</v>
      </c>
      <c r="D22" s="7" t="s">
        <v>47</v>
      </c>
      <c r="E22" s="8">
        <v>39731</v>
      </c>
      <c r="F22" s="8" t="s">
        <v>28</v>
      </c>
      <c r="G22" s="10" t="s">
        <v>29</v>
      </c>
      <c r="H22" s="10" t="s">
        <v>40</v>
      </c>
      <c r="I22" s="11">
        <v>55000000</v>
      </c>
      <c r="J22" s="12">
        <f>80%*J21</f>
        <v>42000000</v>
      </c>
      <c r="K22" s="12">
        <f t="shared" si="4"/>
        <v>550000</v>
      </c>
      <c r="L22" s="12">
        <f t="shared" si="5"/>
        <v>97550000</v>
      </c>
      <c r="M22" s="11">
        <f t="shared" si="0"/>
        <v>4877500</v>
      </c>
      <c r="N22" s="12">
        <f t="shared" si="6"/>
        <v>2200000</v>
      </c>
      <c r="O22" s="12">
        <f t="shared" si="7"/>
        <v>90472500</v>
      </c>
      <c r="P22" s="11">
        <f t="shared" si="8"/>
        <v>54000000</v>
      </c>
      <c r="Q22" s="12">
        <f t="shared" si="9"/>
        <v>36472500</v>
      </c>
      <c r="R22" s="12">
        <f t="shared" si="10"/>
        <v>1823650</v>
      </c>
      <c r="S22" s="12">
        <f t="shared" si="11"/>
        <v>151970.83333333334</v>
      </c>
      <c r="T22" s="12">
        <f t="shared" si="12"/>
        <v>7793862.5</v>
      </c>
      <c r="U22" s="12">
        <f t="shared" si="13"/>
        <v>93526350</v>
      </c>
      <c r="W22" s="12">
        <f t="shared" si="1"/>
        <v>97550000</v>
      </c>
      <c r="X22" s="43">
        <f t="shared" si="2"/>
        <v>4877500</v>
      </c>
      <c r="Y22" s="12">
        <f t="shared" si="3"/>
        <v>2200000</v>
      </c>
      <c r="Z22" s="43">
        <f t="shared" si="14"/>
        <v>90472500</v>
      </c>
      <c r="AA22" s="46">
        <f t="shared" si="15"/>
        <v>54000000</v>
      </c>
      <c r="AB22" s="43">
        <f t="shared" si="16"/>
        <v>36472500</v>
      </c>
      <c r="AC22" s="67">
        <f t="shared" si="17"/>
        <v>1823625</v>
      </c>
      <c r="AD22" s="43">
        <f t="shared" si="18"/>
        <v>151968.75</v>
      </c>
      <c r="AE22" s="62">
        <f t="shared" si="19"/>
        <v>7748031.25</v>
      </c>
      <c r="AF22" s="46">
        <f t="shared" si="20"/>
        <v>-25</v>
      </c>
      <c r="AG22" s="46">
        <f t="shared" si="21"/>
        <v>92976375</v>
      </c>
      <c r="AH22" s="71">
        <f t="shared" si="22"/>
        <v>-549975</v>
      </c>
    </row>
    <row r="23" spans="2:35" x14ac:dyDescent="0.2">
      <c r="B23" s="10">
        <f t="shared" ref="B23:B32" si="25">B22+1</f>
        <v>120503</v>
      </c>
      <c r="C23" s="7" t="s">
        <v>48</v>
      </c>
      <c r="D23" s="7" t="s">
        <v>47</v>
      </c>
      <c r="E23" s="8">
        <v>39960.024983506555</v>
      </c>
      <c r="F23" s="8" t="s">
        <v>28</v>
      </c>
      <c r="G23" s="10" t="s">
        <v>29</v>
      </c>
      <c r="H23" s="10" t="s">
        <v>33</v>
      </c>
      <c r="I23" s="11">
        <v>55000000</v>
      </c>
      <c r="J23" s="43">
        <f>80%*J21</f>
        <v>42000000</v>
      </c>
      <c r="K23" s="12">
        <f t="shared" si="4"/>
        <v>550000</v>
      </c>
      <c r="L23" s="12">
        <f>SUM(I23:K23)</f>
        <v>97550000</v>
      </c>
      <c r="M23" s="11">
        <f t="shared" ref="M23" si="26">5%*L23</f>
        <v>4877500</v>
      </c>
      <c r="N23" s="12">
        <f t="shared" ref="N23" si="27">4%*I23</f>
        <v>2200000</v>
      </c>
      <c r="O23" s="12">
        <f t="shared" ref="O23" si="28">L23-SUM(M23:N23)</f>
        <v>90472500</v>
      </c>
      <c r="P23" s="11">
        <f t="shared" ref="P23" si="29">IF(H23="K/0",58500000,IF(H23="K/1",63000000,IF(H23="K/2",67500000,IF(H23="K/3",72000000,IF(H23="TK/0",54000000,IF(H23="TK/1",58500000,IF(H23="TK/2",63000000,IF(H23="TK/3",67500000,0))))))))</f>
        <v>72000000</v>
      </c>
      <c r="Q23" s="12">
        <f t="shared" ref="Q23" si="30">MAX(O23-P23,0)</f>
        <v>18472500</v>
      </c>
      <c r="R23" s="12">
        <f t="shared" ref="R23" si="31">ROUND(Q23,-3)*5%</f>
        <v>923650</v>
      </c>
      <c r="S23" s="12">
        <f t="shared" ref="S23" si="32">R23/12</f>
        <v>76970.833333333328</v>
      </c>
      <c r="T23" s="12">
        <f t="shared" ref="T23" si="33">(L23-N23-R23)/12</f>
        <v>7868862.5</v>
      </c>
      <c r="U23" s="12">
        <f t="shared" si="13"/>
        <v>94426350</v>
      </c>
      <c r="W23" s="12">
        <f t="shared" si="1"/>
        <v>97550000</v>
      </c>
      <c r="X23" s="43">
        <f t="shared" si="2"/>
        <v>4877500</v>
      </c>
      <c r="Y23" s="12">
        <f t="shared" si="3"/>
        <v>2200000</v>
      </c>
      <c r="Z23" s="43">
        <f t="shared" si="14"/>
        <v>90472500</v>
      </c>
      <c r="AA23" s="46">
        <f t="shared" si="15"/>
        <v>72000000</v>
      </c>
      <c r="AB23" s="43">
        <f t="shared" si="16"/>
        <v>18472500</v>
      </c>
      <c r="AC23" s="67">
        <f t="shared" si="17"/>
        <v>923625</v>
      </c>
      <c r="AD23" s="43">
        <f t="shared" si="18"/>
        <v>76968.75</v>
      </c>
      <c r="AE23" s="62">
        <f t="shared" si="19"/>
        <v>7823031.25</v>
      </c>
      <c r="AF23" s="46">
        <f t="shared" si="20"/>
        <v>-25</v>
      </c>
      <c r="AG23" s="46">
        <f t="shared" si="21"/>
        <v>93876375</v>
      </c>
      <c r="AH23" s="71">
        <f t="shared" si="22"/>
        <v>-549975</v>
      </c>
    </row>
    <row r="24" spans="2:35" x14ac:dyDescent="0.2">
      <c r="B24" s="10">
        <f t="shared" si="25"/>
        <v>120504</v>
      </c>
      <c r="C24" s="7" t="s">
        <v>49</v>
      </c>
      <c r="D24" s="7" t="s">
        <v>47</v>
      </c>
      <c r="E24" s="8">
        <v>42529</v>
      </c>
      <c r="F24" s="8" t="s">
        <v>28</v>
      </c>
      <c r="G24" s="10" t="s">
        <v>29</v>
      </c>
      <c r="H24" s="10" t="s">
        <v>33</v>
      </c>
      <c r="I24" s="11">
        <v>55000000</v>
      </c>
      <c r="J24" s="43">
        <f>80%*J21</f>
        <v>42000000</v>
      </c>
      <c r="K24" s="12">
        <f t="shared" si="4"/>
        <v>550000</v>
      </c>
      <c r="L24" s="12">
        <f>SUM(I24:K24)</f>
        <v>97550000</v>
      </c>
      <c r="M24" s="11">
        <f>5%*L24</f>
        <v>4877500</v>
      </c>
      <c r="N24" s="12">
        <f>4%*I24</f>
        <v>2200000</v>
      </c>
      <c r="O24" s="12">
        <f>L24-SUM(M24:N24)</f>
        <v>90472500</v>
      </c>
      <c r="P24" s="11">
        <f>IF(H24="K/0",58500000,IF(H24="K/1",63000000,IF(H24="K/2",67500000,IF(H24="K/3",72000000,IF(H24="TK/0",54000000,IF(H24="TK/1",58500000,IF(H24="TK/2",63000000,IF(H24="TK/3",67500000,0))))))))</f>
        <v>72000000</v>
      </c>
      <c r="Q24" s="12">
        <f>MAX(O24-P24,0)</f>
        <v>18472500</v>
      </c>
      <c r="R24" s="12">
        <f>ROUND(Q24,-3)*5%</f>
        <v>923650</v>
      </c>
      <c r="S24" s="12">
        <f>R24/12</f>
        <v>76970.833333333328</v>
      </c>
      <c r="T24" s="12">
        <f>(L24-N24-R24)/12</f>
        <v>7868862.5</v>
      </c>
      <c r="U24" s="12">
        <f t="shared" si="13"/>
        <v>94426350</v>
      </c>
      <c r="W24" s="12">
        <f t="shared" si="1"/>
        <v>97550000</v>
      </c>
      <c r="X24" s="43">
        <f t="shared" si="2"/>
        <v>4877500</v>
      </c>
      <c r="Y24" s="12">
        <f t="shared" si="3"/>
        <v>2200000</v>
      </c>
      <c r="Z24" s="43">
        <f t="shared" si="14"/>
        <v>90472500</v>
      </c>
      <c r="AA24" s="46">
        <f t="shared" si="15"/>
        <v>72000000</v>
      </c>
      <c r="AB24" s="43">
        <f t="shared" si="16"/>
        <v>18472500</v>
      </c>
      <c r="AC24" s="67">
        <f t="shared" si="17"/>
        <v>923625</v>
      </c>
      <c r="AD24" s="43">
        <f t="shared" si="18"/>
        <v>76968.75</v>
      </c>
      <c r="AE24" s="62">
        <f t="shared" si="19"/>
        <v>7823031.25</v>
      </c>
      <c r="AF24" s="46">
        <f t="shared" si="20"/>
        <v>-25</v>
      </c>
      <c r="AG24" s="46">
        <f t="shared" si="21"/>
        <v>93876375</v>
      </c>
      <c r="AH24" s="71">
        <f t="shared" si="22"/>
        <v>-549975</v>
      </c>
    </row>
    <row r="25" spans="2:35" x14ac:dyDescent="0.2">
      <c r="B25" s="10">
        <f>B24+1</f>
        <v>120505</v>
      </c>
      <c r="C25" s="7" t="s">
        <v>50</v>
      </c>
      <c r="D25" s="7" t="s">
        <v>51</v>
      </c>
      <c r="E25" s="8">
        <v>40153</v>
      </c>
      <c r="F25" s="8" t="s">
        <v>28</v>
      </c>
      <c r="G25" s="10" t="s">
        <v>29</v>
      </c>
      <c r="H25" s="10" t="s">
        <v>52</v>
      </c>
      <c r="I25" s="11">
        <v>70000000</v>
      </c>
      <c r="J25" s="12">
        <f>75%*I25</f>
        <v>52500000</v>
      </c>
      <c r="K25" s="12">
        <f t="shared" si="4"/>
        <v>700000</v>
      </c>
      <c r="L25" s="12">
        <f t="shared" si="5"/>
        <v>123200000</v>
      </c>
      <c r="M25" s="11">
        <f t="shared" si="0"/>
        <v>6160000</v>
      </c>
      <c r="N25" s="12">
        <f t="shared" si="6"/>
        <v>2800000</v>
      </c>
      <c r="O25" s="12">
        <f t="shared" si="7"/>
        <v>114240000</v>
      </c>
      <c r="P25" s="11">
        <f t="shared" si="8"/>
        <v>63000000</v>
      </c>
      <c r="Q25" s="12">
        <f t="shared" si="9"/>
        <v>51240000</v>
      </c>
      <c r="R25" s="12">
        <f t="shared" si="10"/>
        <v>2562000</v>
      </c>
      <c r="S25" s="12">
        <f t="shared" si="11"/>
        <v>213500</v>
      </c>
      <c r="T25" s="12">
        <f t="shared" si="12"/>
        <v>9819833.333333334</v>
      </c>
      <c r="U25" s="12">
        <f t="shared" si="13"/>
        <v>117838000</v>
      </c>
      <c r="W25" s="12">
        <f t="shared" si="1"/>
        <v>123200000</v>
      </c>
      <c r="X25" s="43">
        <f t="shared" si="2"/>
        <v>6000000</v>
      </c>
      <c r="Y25" s="12">
        <f t="shared" si="3"/>
        <v>2800000</v>
      </c>
      <c r="Z25" s="43">
        <f t="shared" si="14"/>
        <v>114400000</v>
      </c>
      <c r="AA25" s="46">
        <f t="shared" si="15"/>
        <v>63000000</v>
      </c>
      <c r="AB25" s="43">
        <f t="shared" si="16"/>
        <v>51400000</v>
      </c>
      <c r="AC25" s="67">
        <f t="shared" si="17"/>
        <v>2710000</v>
      </c>
      <c r="AD25" s="43">
        <f t="shared" si="18"/>
        <v>225833.33333333334</v>
      </c>
      <c r="AE25" s="62">
        <f t="shared" si="19"/>
        <v>9749166.666666666</v>
      </c>
      <c r="AF25" s="46">
        <f t="shared" si="20"/>
        <v>148000</v>
      </c>
      <c r="AG25" s="46">
        <f t="shared" si="21"/>
        <v>116990000</v>
      </c>
      <c r="AH25" s="71">
        <f t="shared" si="22"/>
        <v>-848000</v>
      </c>
    </row>
    <row r="26" spans="2:35" x14ac:dyDescent="0.2">
      <c r="B26" s="10">
        <f>B25+1</f>
        <v>120506</v>
      </c>
      <c r="C26" s="7" t="s">
        <v>53</v>
      </c>
      <c r="D26" s="7" t="s">
        <v>54</v>
      </c>
      <c r="E26" s="8">
        <v>39961</v>
      </c>
      <c r="F26" s="8" t="s">
        <v>28</v>
      </c>
      <c r="G26" s="10" t="s">
        <v>29</v>
      </c>
      <c r="H26" s="10" t="s">
        <v>33</v>
      </c>
      <c r="I26" s="11">
        <v>55000000</v>
      </c>
      <c r="J26" s="12">
        <f>80%*J25</f>
        <v>42000000</v>
      </c>
      <c r="K26" s="12">
        <f t="shared" si="4"/>
        <v>550000</v>
      </c>
      <c r="L26" s="12">
        <f t="shared" si="5"/>
        <v>97550000</v>
      </c>
      <c r="M26" s="11">
        <f t="shared" si="0"/>
        <v>4877500</v>
      </c>
      <c r="N26" s="12">
        <f t="shared" si="6"/>
        <v>2200000</v>
      </c>
      <c r="O26" s="12">
        <f t="shared" si="7"/>
        <v>90472500</v>
      </c>
      <c r="P26" s="11">
        <f t="shared" si="8"/>
        <v>72000000</v>
      </c>
      <c r="Q26" s="12">
        <f t="shared" si="9"/>
        <v>18472500</v>
      </c>
      <c r="R26" s="12">
        <f t="shared" si="10"/>
        <v>923650</v>
      </c>
      <c r="S26" s="12">
        <f t="shared" si="11"/>
        <v>76970.833333333328</v>
      </c>
      <c r="T26" s="12">
        <f t="shared" si="12"/>
        <v>7868862.5</v>
      </c>
      <c r="U26" s="12">
        <f t="shared" si="13"/>
        <v>94426350</v>
      </c>
      <c r="W26" s="12">
        <f t="shared" si="1"/>
        <v>97550000</v>
      </c>
      <c r="X26" s="43">
        <f t="shared" si="2"/>
        <v>4877500</v>
      </c>
      <c r="Y26" s="12">
        <f t="shared" si="3"/>
        <v>2200000</v>
      </c>
      <c r="Z26" s="43">
        <f t="shared" si="14"/>
        <v>90472500</v>
      </c>
      <c r="AA26" s="46">
        <f t="shared" si="15"/>
        <v>72000000</v>
      </c>
      <c r="AB26" s="43">
        <f t="shared" si="16"/>
        <v>18472500</v>
      </c>
      <c r="AC26" s="67">
        <f t="shared" si="17"/>
        <v>923625</v>
      </c>
      <c r="AD26" s="43">
        <f t="shared" si="18"/>
        <v>76968.75</v>
      </c>
      <c r="AE26" s="62">
        <f t="shared" si="19"/>
        <v>7823031.25</v>
      </c>
      <c r="AF26" s="46">
        <f t="shared" si="20"/>
        <v>-25</v>
      </c>
      <c r="AG26" s="46">
        <f t="shared" si="21"/>
        <v>93876375</v>
      </c>
      <c r="AH26" s="71">
        <f t="shared" si="22"/>
        <v>-549975</v>
      </c>
    </row>
    <row r="27" spans="2:35" x14ac:dyDescent="0.2">
      <c r="B27" s="10">
        <f t="shared" si="25"/>
        <v>120507</v>
      </c>
      <c r="C27" s="7" t="s">
        <v>55</v>
      </c>
      <c r="D27" s="7" t="s">
        <v>54</v>
      </c>
      <c r="E27" s="8">
        <v>42960.024983506555</v>
      </c>
      <c r="F27" s="8" t="s">
        <v>28</v>
      </c>
      <c r="G27" s="10" t="s">
        <v>29</v>
      </c>
      <c r="H27" s="10" t="s">
        <v>30</v>
      </c>
      <c r="I27" s="11">
        <v>55000000</v>
      </c>
      <c r="J27" s="12">
        <f>80%*J25</f>
        <v>42000000</v>
      </c>
      <c r="K27" s="12">
        <f t="shared" si="4"/>
        <v>550000</v>
      </c>
      <c r="L27" s="12">
        <f>SUM(I27:K27)</f>
        <v>97550000</v>
      </c>
      <c r="M27" s="11">
        <f>5%*L27</f>
        <v>4877500</v>
      </c>
      <c r="N27" s="12">
        <f>4%*I27</f>
        <v>2200000</v>
      </c>
      <c r="O27" s="12">
        <f>L27-SUM(M27:N27)</f>
        <v>90472500</v>
      </c>
      <c r="P27" s="11">
        <f>IF(H27="K/0",58500000,IF(H27="K/1",63000000,IF(H27="K/2",67500000,IF(H27="K/3",72000000,IF(H27="TK/0",54000000,IF(H27="TK/1",58500000,IF(H27="TK/2",63000000,IF(H27="TK/3",67500000,0))))))))</f>
        <v>67500000</v>
      </c>
      <c r="Q27" s="12">
        <f>MAX(O27-P27,0)</f>
        <v>22972500</v>
      </c>
      <c r="R27" s="12">
        <f>ROUND(Q27,-3)*5%</f>
        <v>1148650</v>
      </c>
      <c r="S27" s="12">
        <f>R27/12</f>
        <v>95720.833333333328</v>
      </c>
      <c r="T27" s="12">
        <f>(L27-N27-R27)/12</f>
        <v>7850112.5</v>
      </c>
      <c r="U27" s="12">
        <f t="shared" si="13"/>
        <v>94201350</v>
      </c>
      <c r="W27" s="12">
        <f t="shared" si="1"/>
        <v>97550000</v>
      </c>
      <c r="X27" s="43">
        <f t="shared" si="2"/>
        <v>4877500</v>
      </c>
      <c r="Y27" s="12">
        <f t="shared" si="3"/>
        <v>2200000</v>
      </c>
      <c r="Z27" s="43">
        <f t="shared" si="14"/>
        <v>90472500</v>
      </c>
      <c r="AA27" s="46">
        <f t="shared" si="15"/>
        <v>67500000</v>
      </c>
      <c r="AB27" s="43">
        <f t="shared" si="16"/>
        <v>22972500</v>
      </c>
      <c r="AC27" s="67">
        <f t="shared" si="17"/>
        <v>1148625</v>
      </c>
      <c r="AD27" s="43">
        <f t="shared" si="18"/>
        <v>95718.75</v>
      </c>
      <c r="AE27" s="62">
        <f t="shared" si="19"/>
        <v>7804281.25</v>
      </c>
      <c r="AF27" s="46">
        <f t="shared" si="20"/>
        <v>-25</v>
      </c>
      <c r="AG27" s="46">
        <f t="shared" si="21"/>
        <v>93651375</v>
      </c>
      <c r="AH27" s="71">
        <f t="shared" si="22"/>
        <v>-549975</v>
      </c>
    </row>
    <row r="28" spans="2:35" x14ac:dyDescent="0.2">
      <c r="B28" s="10">
        <f t="shared" si="25"/>
        <v>120508</v>
      </c>
      <c r="C28" s="7" t="s">
        <v>56</v>
      </c>
      <c r="D28" s="7" t="s">
        <v>54</v>
      </c>
      <c r="E28" s="8">
        <v>42434</v>
      </c>
      <c r="F28" s="8" t="s">
        <v>28</v>
      </c>
      <c r="G28" s="10" t="s">
        <v>29</v>
      </c>
      <c r="H28" s="10" t="s">
        <v>30</v>
      </c>
      <c r="I28" s="11">
        <v>55000000</v>
      </c>
      <c r="J28" s="12">
        <f>80%*J25</f>
        <v>42000000</v>
      </c>
      <c r="K28" s="12">
        <f t="shared" si="4"/>
        <v>550000</v>
      </c>
      <c r="L28" s="12">
        <f>SUM(I28:K28)</f>
        <v>97550000</v>
      </c>
      <c r="M28" s="11">
        <f>5%*L28</f>
        <v>4877500</v>
      </c>
      <c r="N28" s="12">
        <f>4%*I28</f>
        <v>2200000</v>
      </c>
      <c r="O28" s="12">
        <f>L28-SUM(M28:N28)</f>
        <v>90472500</v>
      </c>
      <c r="P28" s="11">
        <f>IF(H28="K/0",58500000,IF(H28="K/1",63000000,IF(H28="K/2",67500000,IF(H28="K/3",72000000,IF(H28="TK/0",54000000,IF(H28="TK/1",58500000,IF(H28="TK/2",63000000,IF(H28="TK/3",67500000,0))))))))</f>
        <v>67500000</v>
      </c>
      <c r="Q28" s="12">
        <f>MAX(O28-P28,0)</f>
        <v>22972500</v>
      </c>
      <c r="R28" s="12">
        <f>ROUND(Q28,-3)*5%</f>
        <v>1148650</v>
      </c>
      <c r="S28" s="12">
        <f>R28/12</f>
        <v>95720.833333333328</v>
      </c>
      <c r="T28" s="12">
        <f>(L28-N28-R28)/12</f>
        <v>7850112.5</v>
      </c>
      <c r="U28" s="12">
        <f t="shared" si="13"/>
        <v>94201350</v>
      </c>
      <c r="W28" s="12">
        <f t="shared" si="1"/>
        <v>97550000</v>
      </c>
      <c r="X28" s="43">
        <f t="shared" si="2"/>
        <v>4877500</v>
      </c>
      <c r="Y28" s="12">
        <f t="shared" si="3"/>
        <v>2200000</v>
      </c>
      <c r="Z28" s="43">
        <f t="shared" si="14"/>
        <v>90472500</v>
      </c>
      <c r="AA28" s="46">
        <f t="shared" si="15"/>
        <v>67500000</v>
      </c>
      <c r="AB28" s="43">
        <f t="shared" si="16"/>
        <v>22972500</v>
      </c>
      <c r="AC28" s="67">
        <f t="shared" si="17"/>
        <v>1148625</v>
      </c>
      <c r="AD28" s="43">
        <f t="shared" si="18"/>
        <v>95718.75</v>
      </c>
      <c r="AE28" s="62">
        <f t="shared" si="19"/>
        <v>7804281.25</v>
      </c>
      <c r="AF28" s="46">
        <f t="shared" si="20"/>
        <v>-25</v>
      </c>
      <c r="AG28" s="46">
        <f t="shared" si="21"/>
        <v>93651375</v>
      </c>
      <c r="AH28" s="71">
        <f t="shared" si="22"/>
        <v>-549975</v>
      </c>
    </row>
    <row r="29" spans="2:35" x14ac:dyDescent="0.2">
      <c r="B29" s="10">
        <f t="shared" si="25"/>
        <v>120509</v>
      </c>
      <c r="C29" s="7" t="s">
        <v>57</v>
      </c>
      <c r="D29" s="7" t="s">
        <v>58</v>
      </c>
      <c r="E29" s="8">
        <v>40337</v>
      </c>
      <c r="F29" s="8" t="s">
        <v>28</v>
      </c>
      <c r="G29" s="10" t="s">
        <v>29</v>
      </c>
      <c r="H29" s="10" t="s">
        <v>33</v>
      </c>
      <c r="I29" s="11">
        <v>70000000</v>
      </c>
      <c r="J29" s="12">
        <f>75%*I29</f>
        <v>52500000</v>
      </c>
      <c r="K29" s="12">
        <f t="shared" si="4"/>
        <v>700000</v>
      </c>
      <c r="L29" s="12">
        <f t="shared" si="5"/>
        <v>123200000</v>
      </c>
      <c r="M29" s="11">
        <f t="shared" si="0"/>
        <v>6160000</v>
      </c>
      <c r="N29" s="12">
        <f t="shared" si="6"/>
        <v>2800000</v>
      </c>
      <c r="O29" s="12">
        <f t="shared" si="7"/>
        <v>114240000</v>
      </c>
      <c r="P29" s="11">
        <f t="shared" si="8"/>
        <v>72000000</v>
      </c>
      <c r="Q29" s="12">
        <f t="shared" si="9"/>
        <v>42240000</v>
      </c>
      <c r="R29" s="12">
        <f t="shared" si="10"/>
        <v>2112000</v>
      </c>
      <c r="S29" s="12">
        <f t="shared" si="11"/>
        <v>176000</v>
      </c>
      <c r="T29" s="12">
        <f t="shared" si="12"/>
        <v>9857333.333333334</v>
      </c>
      <c r="U29" s="12">
        <f t="shared" si="13"/>
        <v>118288000</v>
      </c>
      <c r="W29" s="12">
        <f t="shared" si="1"/>
        <v>123200000</v>
      </c>
      <c r="X29" s="43">
        <f t="shared" si="2"/>
        <v>6000000</v>
      </c>
      <c r="Y29" s="12">
        <f t="shared" si="3"/>
        <v>2800000</v>
      </c>
      <c r="Z29" s="43">
        <f t="shared" si="14"/>
        <v>114400000</v>
      </c>
      <c r="AA29" s="46">
        <f t="shared" si="15"/>
        <v>72000000</v>
      </c>
      <c r="AB29" s="43">
        <f t="shared" si="16"/>
        <v>42400000</v>
      </c>
      <c r="AC29" s="67">
        <f t="shared" si="17"/>
        <v>2120000</v>
      </c>
      <c r="AD29" s="43">
        <f t="shared" si="18"/>
        <v>176666.66666666666</v>
      </c>
      <c r="AE29" s="62">
        <f t="shared" si="19"/>
        <v>9798333.333333334</v>
      </c>
      <c r="AF29" s="46">
        <f t="shared" si="20"/>
        <v>8000</v>
      </c>
      <c r="AG29" s="46">
        <f t="shared" si="21"/>
        <v>117580000</v>
      </c>
      <c r="AH29" s="71">
        <f t="shared" si="22"/>
        <v>-708000</v>
      </c>
    </row>
    <row r="30" spans="2:35" x14ac:dyDescent="0.2">
      <c r="B30" s="10">
        <f t="shared" si="25"/>
        <v>120510</v>
      </c>
      <c r="C30" s="7" t="s">
        <v>59</v>
      </c>
      <c r="D30" s="7" t="s">
        <v>60</v>
      </c>
      <c r="E30" s="8">
        <v>43011</v>
      </c>
      <c r="F30" s="8" t="s">
        <v>28</v>
      </c>
      <c r="G30" s="10" t="s">
        <v>29</v>
      </c>
      <c r="H30" s="10" t="s">
        <v>40</v>
      </c>
      <c r="I30" s="11">
        <v>55000000</v>
      </c>
      <c r="J30" s="12">
        <f>80%*J29</f>
        <v>42000000</v>
      </c>
      <c r="K30" s="12">
        <f t="shared" si="4"/>
        <v>550000</v>
      </c>
      <c r="L30" s="12">
        <f t="shared" si="5"/>
        <v>97550000</v>
      </c>
      <c r="M30" s="11">
        <f t="shared" si="0"/>
        <v>4877500</v>
      </c>
      <c r="N30" s="12">
        <f t="shared" si="6"/>
        <v>2200000</v>
      </c>
      <c r="O30" s="12">
        <f t="shared" si="7"/>
        <v>90472500</v>
      </c>
      <c r="P30" s="11">
        <f t="shared" si="8"/>
        <v>54000000</v>
      </c>
      <c r="Q30" s="12">
        <f t="shared" si="9"/>
        <v>36472500</v>
      </c>
      <c r="R30" s="12">
        <f t="shared" si="10"/>
        <v>1823650</v>
      </c>
      <c r="S30" s="12">
        <f t="shared" si="11"/>
        <v>151970.83333333334</v>
      </c>
      <c r="T30" s="12">
        <f t="shared" si="12"/>
        <v>7793862.5</v>
      </c>
      <c r="U30" s="12">
        <f t="shared" si="13"/>
        <v>93526350</v>
      </c>
      <c r="W30" s="12">
        <f t="shared" si="1"/>
        <v>97550000</v>
      </c>
      <c r="X30" s="43">
        <f t="shared" si="2"/>
        <v>4877500</v>
      </c>
      <c r="Y30" s="12">
        <f t="shared" si="3"/>
        <v>2200000</v>
      </c>
      <c r="Z30" s="43">
        <f t="shared" si="14"/>
        <v>90472500</v>
      </c>
      <c r="AA30" s="46">
        <f t="shared" si="15"/>
        <v>54000000</v>
      </c>
      <c r="AB30" s="43">
        <f t="shared" si="16"/>
        <v>36472500</v>
      </c>
      <c r="AC30" s="67">
        <f t="shared" si="17"/>
        <v>1823625</v>
      </c>
      <c r="AD30" s="43">
        <f t="shared" si="18"/>
        <v>151968.75</v>
      </c>
      <c r="AE30" s="62">
        <f t="shared" si="19"/>
        <v>7748031.25</v>
      </c>
      <c r="AF30" s="46">
        <f t="shared" si="20"/>
        <v>-25</v>
      </c>
      <c r="AG30" s="46">
        <f t="shared" si="21"/>
        <v>92976375</v>
      </c>
      <c r="AH30" s="71">
        <f t="shared" si="22"/>
        <v>-549975</v>
      </c>
    </row>
    <row r="31" spans="2:35" x14ac:dyDescent="0.2">
      <c r="B31" s="10">
        <f t="shared" si="25"/>
        <v>120511</v>
      </c>
      <c r="C31" s="7" t="s">
        <v>61</v>
      </c>
      <c r="D31" s="7" t="s">
        <v>60</v>
      </c>
      <c r="E31" s="8">
        <v>41625</v>
      </c>
      <c r="F31" s="8" t="s">
        <v>28</v>
      </c>
      <c r="G31" s="10" t="s">
        <v>29</v>
      </c>
      <c r="H31" s="10" t="s">
        <v>33</v>
      </c>
      <c r="I31" s="11">
        <v>55000000</v>
      </c>
      <c r="J31" s="12">
        <f>80%*J29</f>
        <v>42000000</v>
      </c>
      <c r="K31" s="12">
        <f t="shared" si="4"/>
        <v>550000</v>
      </c>
      <c r="L31" s="12">
        <f>SUM(I31:K31)</f>
        <v>97550000</v>
      </c>
      <c r="M31" s="11">
        <f>5%*L31</f>
        <v>4877500</v>
      </c>
      <c r="N31" s="12">
        <f>4%*I31</f>
        <v>2200000</v>
      </c>
      <c r="O31" s="12">
        <f>L31-SUM(M31:N31)</f>
        <v>90472500</v>
      </c>
      <c r="P31" s="11">
        <f>IF(H31="K/0",58500000,IF(H31="K/1",63000000,IF(H31="K/2",67500000,IF(H31="K/3",72000000,IF(H31="TK/0",54000000,IF(H31="TK/1",58500000,IF(H31="TK/2",63000000,IF(H31="TK/3",67500000,0))))))))</f>
        <v>72000000</v>
      </c>
      <c r="Q31" s="12">
        <f>MAX(O31-P31,0)</f>
        <v>18472500</v>
      </c>
      <c r="R31" s="12">
        <f>ROUND(Q31,-3)*5%</f>
        <v>923650</v>
      </c>
      <c r="S31" s="12">
        <f>R31/12</f>
        <v>76970.833333333328</v>
      </c>
      <c r="T31" s="12">
        <f>(L31-N31-R31)/12</f>
        <v>7868862.5</v>
      </c>
      <c r="U31" s="12">
        <f t="shared" si="13"/>
        <v>94426350</v>
      </c>
      <c r="W31" s="12">
        <f t="shared" si="1"/>
        <v>97550000</v>
      </c>
      <c r="X31" s="43">
        <f t="shared" si="2"/>
        <v>4877500</v>
      </c>
      <c r="Y31" s="12">
        <f t="shared" si="3"/>
        <v>2200000</v>
      </c>
      <c r="Z31" s="43">
        <f t="shared" si="14"/>
        <v>90472500</v>
      </c>
      <c r="AA31" s="46">
        <f t="shared" si="15"/>
        <v>72000000</v>
      </c>
      <c r="AB31" s="43">
        <f t="shared" si="16"/>
        <v>18472500</v>
      </c>
      <c r="AC31" s="67">
        <f t="shared" si="17"/>
        <v>923625</v>
      </c>
      <c r="AD31" s="43">
        <f t="shared" si="18"/>
        <v>76968.75</v>
      </c>
      <c r="AE31" s="62">
        <f t="shared" si="19"/>
        <v>7823031.25</v>
      </c>
      <c r="AF31" s="46">
        <f t="shared" si="20"/>
        <v>-25</v>
      </c>
      <c r="AG31" s="46">
        <f t="shared" si="21"/>
        <v>93876375</v>
      </c>
      <c r="AH31" s="71">
        <f t="shared" si="22"/>
        <v>-549975</v>
      </c>
    </row>
    <row r="32" spans="2:35" x14ac:dyDescent="0.2">
      <c r="B32" s="10">
        <f t="shared" si="25"/>
        <v>120512</v>
      </c>
      <c r="C32" s="7" t="s">
        <v>62</v>
      </c>
      <c r="D32" s="7" t="s">
        <v>60</v>
      </c>
      <c r="E32" s="8">
        <v>43414</v>
      </c>
      <c r="F32" s="8" t="s">
        <v>28</v>
      </c>
      <c r="G32" s="10" t="s">
        <v>29</v>
      </c>
      <c r="H32" s="10" t="s">
        <v>40</v>
      </c>
      <c r="I32" s="11">
        <v>55000000</v>
      </c>
      <c r="J32" s="12">
        <f>80%*J29</f>
        <v>42000000</v>
      </c>
      <c r="K32" s="12">
        <f t="shared" si="4"/>
        <v>550000</v>
      </c>
      <c r="L32" s="12">
        <f>SUM(I32:K32)</f>
        <v>97550000</v>
      </c>
      <c r="M32" s="11">
        <f>5%*L32</f>
        <v>4877500</v>
      </c>
      <c r="N32" s="12">
        <f>4%*I32</f>
        <v>2200000</v>
      </c>
      <c r="O32" s="12">
        <f>L32-SUM(M32:N32)</f>
        <v>90472500</v>
      </c>
      <c r="P32" s="11">
        <f>IF(H32="K/0",58500000,IF(H32="K/1",63000000,IF(H32="K/2",67500000,IF(H32="K/3",72000000,IF(H32="TK/0",54000000,IF(H32="TK/1",58500000,IF(H32="TK/2",63000000,IF(H32="TK/3",67500000,0))))))))</f>
        <v>54000000</v>
      </c>
      <c r="Q32" s="12">
        <f>MAX(O32-P32,0)</f>
        <v>36472500</v>
      </c>
      <c r="R32" s="12">
        <f>ROUND(Q32,-3)*5%</f>
        <v>1823650</v>
      </c>
      <c r="S32" s="12">
        <f>R32/12</f>
        <v>151970.83333333334</v>
      </c>
      <c r="T32" s="12">
        <f>(L32-N32-R32)/12</f>
        <v>7793862.5</v>
      </c>
      <c r="U32" s="12">
        <f t="shared" si="13"/>
        <v>93526350</v>
      </c>
      <c r="W32" s="12">
        <f t="shared" si="1"/>
        <v>97550000</v>
      </c>
      <c r="X32" s="43">
        <f t="shared" si="2"/>
        <v>4877500</v>
      </c>
      <c r="Y32" s="12">
        <f t="shared" si="3"/>
        <v>2200000</v>
      </c>
      <c r="Z32" s="43">
        <f t="shared" si="14"/>
        <v>90472500</v>
      </c>
      <c r="AA32" s="46">
        <f t="shared" si="15"/>
        <v>54000000</v>
      </c>
      <c r="AB32" s="43">
        <f t="shared" si="16"/>
        <v>36472500</v>
      </c>
      <c r="AC32" s="67">
        <f t="shared" si="17"/>
        <v>1823625</v>
      </c>
      <c r="AD32" s="43">
        <f t="shared" si="18"/>
        <v>151968.75</v>
      </c>
      <c r="AE32" s="62">
        <f t="shared" si="19"/>
        <v>7748031.25</v>
      </c>
      <c r="AF32" s="46">
        <f t="shared" si="20"/>
        <v>-25</v>
      </c>
      <c r="AG32" s="46">
        <f t="shared" si="21"/>
        <v>92976375</v>
      </c>
      <c r="AH32" s="71">
        <f t="shared" si="22"/>
        <v>-549975</v>
      </c>
    </row>
    <row r="33" spans="2:35" x14ac:dyDescent="0.2">
      <c r="B33" s="10">
        <v>120601</v>
      </c>
      <c r="C33" s="7" t="s">
        <v>63</v>
      </c>
      <c r="D33" s="7" t="s">
        <v>64</v>
      </c>
      <c r="E33" s="8">
        <v>41600</v>
      </c>
      <c r="F33" s="8" t="s">
        <v>28</v>
      </c>
      <c r="G33" s="10" t="s">
        <v>29</v>
      </c>
      <c r="H33" s="10" t="s">
        <v>40</v>
      </c>
      <c r="I33" s="11">
        <v>60000000</v>
      </c>
      <c r="J33" s="12">
        <f>75%*I33</f>
        <v>45000000</v>
      </c>
      <c r="K33" s="12">
        <f t="shared" si="4"/>
        <v>600000</v>
      </c>
      <c r="L33" s="12">
        <f t="shared" si="5"/>
        <v>105600000</v>
      </c>
      <c r="M33" s="11">
        <f t="shared" si="0"/>
        <v>5280000</v>
      </c>
      <c r="N33" s="12">
        <f t="shared" si="6"/>
        <v>2400000</v>
      </c>
      <c r="O33" s="12">
        <f t="shared" si="7"/>
        <v>97920000</v>
      </c>
      <c r="P33" s="11">
        <f t="shared" si="8"/>
        <v>54000000</v>
      </c>
      <c r="Q33" s="12">
        <f t="shared" si="9"/>
        <v>43920000</v>
      </c>
      <c r="R33" s="12">
        <f t="shared" si="10"/>
        <v>2196000</v>
      </c>
      <c r="S33" s="12">
        <f t="shared" si="11"/>
        <v>183000</v>
      </c>
      <c r="T33" s="12">
        <f t="shared" si="12"/>
        <v>8417000</v>
      </c>
      <c r="U33" s="12">
        <f t="shared" si="13"/>
        <v>101004000</v>
      </c>
      <c r="W33" s="12">
        <f t="shared" si="1"/>
        <v>105600000</v>
      </c>
      <c r="X33" s="43">
        <f t="shared" si="2"/>
        <v>5280000</v>
      </c>
      <c r="Y33" s="12">
        <f t="shared" si="3"/>
        <v>2400000</v>
      </c>
      <c r="Z33" s="43">
        <f t="shared" si="14"/>
        <v>97920000</v>
      </c>
      <c r="AA33" s="46">
        <f t="shared" si="15"/>
        <v>54000000</v>
      </c>
      <c r="AB33" s="43">
        <f t="shared" si="16"/>
        <v>43920000</v>
      </c>
      <c r="AC33" s="67">
        <f t="shared" si="17"/>
        <v>2196000</v>
      </c>
      <c r="AD33" s="43">
        <f t="shared" si="18"/>
        <v>183000</v>
      </c>
      <c r="AE33" s="62">
        <f t="shared" si="19"/>
        <v>8367000</v>
      </c>
      <c r="AF33" s="46">
        <f t="shared" si="20"/>
        <v>0</v>
      </c>
      <c r="AG33" s="46">
        <f t="shared" si="21"/>
        <v>100404000</v>
      </c>
      <c r="AH33" s="71">
        <f t="shared" si="22"/>
        <v>-600000</v>
      </c>
    </row>
    <row r="34" spans="2:35" x14ac:dyDescent="0.2">
      <c r="B34" s="10">
        <v>120602</v>
      </c>
      <c r="C34" s="7" t="s">
        <v>65</v>
      </c>
      <c r="D34" s="7" t="s">
        <v>66</v>
      </c>
      <c r="E34" s="8">
        <v>41600</v>
      </c>
      <c r="F34" s="8" t="s">
        <v>28</v>
      </c>
      <c r="G34" s="10" t="s">
        <v>29</v>
      </c>
      <c r="H34" s="10" t="s">
        <v>52</v>
      </c>
      <c r="I34" s="11">
        <v>45000000</v>
      </c>
      <c r="J34" s="12">
        <v>0</v>
      </c>
      <c r="K34" s="12">
        <f t="shared" si="4"/>
        <v>450000</v>
      </c>
      <c r="L34" s="12">
        <f t="shared" si="5"/>
        <v>45450000</v>
      </c>
      <c r="M34" s="11">
        <f t="shared" si="0"/>
        <v>2272500</v>
      </c>
      <c r="N34" s="12">
        <f t="shared" si="6"/>
        <v>1800000</v>
      </c>
      <c r="O34" s="12">
        <f t="shared" si="7"/>
        <v>41377500</v>
      </c>
      <c r="P34" s="11">
        <f t="shared" si="8"/>
        <v>63000000</v>
      </c>
      <c r="Q34" s="12">
        <f t="shared" si="9"/>
        <v>0</v>
      </c>
      <c r="R34" s="12">
        <f t="shared" si="10"/>
        <v>0</v>
      </c>
      <c r="S34" s="12">
        <f t="shared" si="11"/>
        <v>0</v>
      </c>
      <c r="T34" s="12">
        <f t="shared" si="12"/>
        <v>3637500</v>
      </c>
      <c r="U34" s="12">
        <f t="shared" si="13"/>
        <v>43650000</v>
      </c>
      <c r="W34" s="12">
        <f t="shared" si="1"/>
        <v>45450000</v>
      </c>
      <c r="X34" s="43">
        <f t="shared" si="2"/>
        <v>2272500</v>
      </c>
      <c r="Y34" s="12">
        <f t="shared" si="3"/>
        <v>1800000</v>
      </c>
      <c r="Z34" s="43">
        <f t="shared" si="14"/>
        <v>41377500</v>
      </c>
      <c r="AA34" s="46">
        <f t="shared" si="15"/>
        <v>63000000</v>
      </c>
      <c r="AB34" s="43">
        <f t="shared" si="16"/>
        <v>0</v>
      </c>
      <c r="AC34" s="67">
        <f t="shared" si="17"/>
        <v>0</v>
      </c>
      <c r="AD34" s="43">
        <f t="shared" si="18"/>
        <v>0</v>
      </c>
      <c r="AE34" s="62">
        <f t="shared" si="19"/>
        <v>3600000</v>
      </c>
      <c r="AF34" s="46">
        <f t="shared" si="20"/>
        <v>0</v>
      </c>
      <c r="AG34" s="46">
        <f t="shared" si="21"/>
        <v>43200000</v>
      </c>
      <c r="AH34" s="71">
        <f t="shared" si="22"/>
        <v>-450000</v>
      </c>
    </row>
    <row r="35" spans="2:35" x14ac:dyDescent="0.2">
      <c r="B35" s="10">
        <f>B34+1</f>
        <v>120603</v>
      </c>
      <c r="C35" s="7" t="s">
        <v>67</v>
      </c>
      <c r="D35" s="7" t="s">
        <v>68</v>
      </c>
      <c r="E35" s="8">
        <v>41600</v>
      </c>
      <c r="F35" s="8" t="s">
        <v>28</v>
      </c>
      <c r="G35" s="10" t="s">
        <v>29</v>
      </c>
      <c r="H35" s="10" t="s">
        <v>33</v>
      </c>
      <c r="I35" s="11">
        <v>25000000</v>
      </c>
      <c r="J35" s="12">
        <v>0</v>
      </c>
      <c r="K35" s="12">
        <f t="shared" si="4"/>
        <v>250000</v>
      </c>
      <c r="L35" s="12">
        <f t="shared" si="5"/>
        <v>25250000</v>
      </c>
      <c r="M35" s="11">
        <f t="shared" si="0"/>
        <v>1262500</v>
      </c>
      <c r="N35" s="12">
        <f t="shared" si="6"/>
        <v>1000000</v>
      </c>
      <c r="O35" s="12">
        <f t="shared" si="7"/>
        <v>22987500</v>
      </c>
      <c r="P35" s="11">
        <f t="shared" si="8"/>
        <v>72000000</v>
      </c>
      <c r="Q35" s="12">
        <f t="shared" si="9"/>
        <v>0</v>
      </c>
      <c r="R35" s="12">
        <f t="shared" si="10"/>
        <v>0</v>
      </c>
      <c r="S35" s="12">
        <f t="shared" si="11"/>
        <v>0</v>
      </c>
      <c r="T35" s="12">
        <f t="shared" si="12"/>
        <v>2020833.3333333333</v>
      </c>
      <c r="U35" s="12">
        <f t="shared" si="13"/>
        <v>24250000</v>
      </c>
      <c r="W35" s="12">
        <f t="shared" si="1"/>
        <v>25250000</v>
      </c>
      <c r="X35" s="43">
        <f t="shared" si="2"/>
        <v>1262500</v>
      </c>
      <c r="Y35" s="12">
        <f t="shared" si="3"/>
        <v>1000000</v>
      </c>
      <c r="Z35" s="43">
        <f t="shared" si="14"/>
        <v>22987500</v>
      </c>
      <c r="AA35" s="46">
        <f t="shared" si="15"/>
        <v>72000000</v>
      </c>
      <c r="AB35" s="43">
        <f t="shared" si="16"/>
        <v>0</v>
      </c>
      <c r="AC35" s="67">
        <f t="shared" si="17"/>
        <v>0</v>
      </c>
      <c r="AD35" s="43">
        <f t="shared" si="18"/>
        <v>0</v>
      </c>
      <c r="AE35" s="62">
        <f t="shared" si="19"/>
        <v>2000000</v>
      </c>
      <c r="AF35" s="46">
        <f t="shared" si="20"/>
        <v>0</v>
      </c>
      <c r="AG35" s="46">
        <f t="shared" si="21"/>
        <v>24000000</v>
      </c>
      <c r="AH35" s="71">
        <f t="shared" si="22"/>
        <v>-250000</v>
      </c>
    </row>
    <row r="36" spans="2:35" x14ac:dyDescent="0.2">
      <c r="B36" s="10">
        <v>120701</v>
      </c>
      <c r="C36" s="7" t="s">
        <v>69</v>
      </c>
      <c r="D36" s="7" t="s">
        <v>70</v>
      </c>
      <c r="E36" s="8">
        <v>40779</v>
      </c>
      <c r="F36" s="8" t="s">
        <v>28</v>
      </c>
      <c r="G36" s="10" t="s">
        <v>29</v>
      </c>
      <c r="H36" s="10" t="s">
        <v>33</v>
      </c>
      <c r="I36" s="11">
        <v>80000000</v>
      </c>
      <c r="J36" s="12">
        <f>75%*I36</f>
        <v>60000000</v>
      </c>
      <c r="K36" s="12">
        <f t="shared" si="4"/>
        <v>800000</v>
      </c>
      <c r="L36" s="12">
        <f t="shared" si="5"/>
        <v>140800000</v>
      </c>
      <c r="M36" s="11">
        <f t="shared" si="0"/>
        <v>7040000</v>
      </c>
      <c r="N36" s="12">
        <f t="shared" si="6"/>
        <v>3200000</v>
      </c>
      <c r="O36" s="12">
        <f t="shared" si="7"/>
        <v>130560000</v>
      </c>
      <c r="P36" s="11">
        <f t="shared" si="8"/>
        <v>72000000</v>
      </c>
      <c r="Q36" s="12">
        <f t="shared" si="9"/>
        <v>58560000</v>
      </c>
      <c r="R36" s="12">
        <f t="shared" si="10"/>
        <v>2928000</v>
      </c>
      <c r="S36" s="12">
        <f t="shared" si="11"/>
        <v>244000</v>
      </c>
      <c r="T36" s="12">
        <f t="shared" si="12"/>
        <v>11222666.666666666</v>
      </c>
      <c r="U36" s="12">
        <f t="shared" si="13"/>
        <v>134672000</v>
      </c>
      <c r="W36" s="12">
        <f t="shared" si="1"/>
        <v>140800000</v>
      </c>
      <c r="X36" s="43">
        <f t="shared" si="2"/>
        <v>6000000</v>
      </c>
      <c r="Y36" s="12">
        <f t="shared" si="3"/>
        <v>3200000</v>
      </c>
      <c r="Z36" s="43">
        <f t="shared" si="14"/>
        <v>131600000</v>
      </c>
      <c r="AA36" s="46">
        <f t="shared" si="15"/>
        <v>72000000</v>
      </c>
      <c r="AB36" s="43">
        <f t="shared" si="16"/>
        <v>59600000</v>
      </c>
      <c r="AC36" s="67">
        <f t="shared" si="17"/>
        <v>3940000</v>
      </c>
      <c r="AD36" s="43">
        <f t="shared" si="18"/>
        <v>328333.33333333331</v>
      </c>
      <c r="AE36" s="62">
        <f t="shared" si="19"/>
        <v>11071666.666666666</v>
      </c>
      <c r="AF36" s="46">
        <f t="shared" si="20"/>
        <v>1012000</v>
      </c>
      <c r="AG36" s="46">
        <f t="shared" si="21"/>
        <v>132860000</v>
      </c>
      <c r="AH36" s="71">
        <f t="shared" si="22"/>
        <v>-1812000</v>
      </c>
    </row>
    <row r="37" spans="2:35" x14ac:dyDescent="0.2">
      <c r="B37" s="10">
        <f>B36+1</f>
        <v>120702</v>
      </c>
      <c r="C37" s="7" t="s">
        <v>71</v>
      </c>
      <c r="D37" s="7" t="s">
        <v>72</v>
      </c>
      <c r="E37" s="8">
        <v>41600</v>
      </c>
      <c r="F37" s="8" t="s">
        <v>28</v>
      </c>
      <c r="G37" s="10" t="s">
        <v>29</v>
      </c>
      <c r="H37" s="10" t="s">
        <v>30</v>
      </c>
      <c r="I37" s="11">
        <v>45000000</v>
      </c>
      <c r="J37" s="12">
        <v>0</v>
      </c>
      <c r="K37" s="12">
        <f t="shared" si="4"/>
        <v>450000</v>
      </c>
      <c r="L37" s="12">
        <f t="shared" si="5"/>
        <v>45450000</v>
      </c>
      <c r="M37" s="11">
        <f t="shared" si="0"/>
        <v>2272500</v>
      </c>
      <c r="N37" s="12">
        <f t="shared" si="6"/>
        <v>1800000</v>
      </c>
      <c r="O37" s="12">
        <f t="shared" si="7"/>
        <v>41377500</v>
      </c>
      <c r="P37" s="11">
        <f t="shared" si="8"/>
        <v>67500000</v>
      </c>
      <c r="Q37" s="12">
        <f t="shared" si="9"/>
        <v>0</v>
      </c>
      <c r="R37" s="12">
        <f t="shared" si="10"/>
        <v>0</v>
      </c>
      <c r="S37" s="12">
        <f t="shared" si="11"/>
        <v>0</v>
      </c>
      <c r="T37" s="12">
        <f t="shared" si="12"/>
        <v>3637500</v>
      </c>
      <c r="U37" s="12">
        <f t="shared" si="13"/>
        <v>43650000</v>
      </c>
      <c r="W37" s="12">
        <f t="shared" si="1"/>
        <v>45450000</v>
      </c>
      <c r="X37" s="43">
        <f t="shared" si="2"/>
        <v>2272500</v>
      </c>
      <c r="Y37" s="12">
        <f t="shared" si="3"/>
        <v>1800000</v>
      </c>
      <c r="Z37" s="43">
        <f t="shared" si="14"/>
        <v>41377500</v>
      </c>
      <c r="AA37" s="46">
        <f t="shared" si="15"/>
        <v>67500000</v>
      </c>
      <c r="AB37" s="43">
        <f t="shared" si="16"/>
        <v>0</v>
      </c>
      <c r="AC37" s="67">
        <f t="shared" si="17"/>
        <v>0</v>
      </c>
      <c r="AD37" s="43">
        <f t="shared" si="18"/>
        <v>0</v>
      </c>
      <c r="AE37" s="62">
        <f t="shared" si="19"/>
        <v>3600000</v>
      </c>
      <c r="AF37" s="46">
        <f t="shared" si="20"/>
        <v>0</v>
      </c>
      <c r="AG37" s="46">
        <f t="shared" si="21"/>
        <v>43200000</v>
      </c>
      <c r="AH37" s="71">
        <f t="shared" si="22"/>
        <v>-450000</v>
      </c>
    </row>
    <row r="38" spans="2:35" x14ac:dyDescent="0.2">
      <c r="B38" s="10">
        <f>B37+1</f>
        <v>120703</v>
      </c>
      <c r="C38" s="7" t="s">
        <v>73</v>
      </c>
      <c r="D38" s="7" t="s">
        <v>74</v>
      </c>
      <c r="E38" s="8">
        <v>41563</v>
      </c>
      <c r="F38" s="8" t="s">
        <v>28</v>
      </c>
      <c r="G38" s="10" t="s">
        <v>29</v>
      </c>
      <c r="H38" s="10" t="s">
        <v>33</v>
      </c>
      <c r="I38" s="11">
        <v>25000000</v>
      </c>
      <c r="J38" s="12">
        <v>0</v>
      </c>
      <c r="K38" s="12">
        <f t="shared" si="4"/>
        <v>250000</v>
      </c>
      <c r="L38" s="12">
        <f t="shared" si="5"/>
        <v>25250000</v>
      </c>
      <c r="M38" s="11">
        <f t="shared" si="0"/>
        <v>1262500</v>
      </c>
      <c r="N38" s="12">
        <f t="shared" si="6"/>
        <v>1000000</v>
      </c>
      <c r="O38" s="12">
        <f t="shared" si="7"/>
        <v>22987500</v>
      </c>
      <c r="P38" s="11">
        <f t="shared" si="8"/>
        <v>72000000</v>
      </c>
      <c r="Q38" s="12">
        <f t="shared" si="9"/>
        <v>0</v>
      </c>
      <c r="R38" s="12">
        <f t="shared" si="10"/>
        <v>0</v>
      </c>
      <c r="S38" s="12">
        <f t="shared" si="11"/>
        <v>0</v>
      </c>
      <c r="T38" s="12">
        <f t="shared" si="12"/>
        <v>2020833.3333333333</v>
      </c>
      <c r="U38" s="12">
        <f t="shared" si="13"/>
        <v>24250000</v>
      </c>
      <c r="W38" s="12">
        <f t="shared" si="1"/>
        <v>25250000</v>
      </c>
      <c r="X38" s="43">
        <f t="shared" si="2"/>
        <v>1262500</v>
      </c>
      <c r="Y38" s="12">
        <f t="shared" si="3"/>
        <v>1000000</v>
      </c>
      <c r="Z38" s="43">
        <f t="shared" si="14"/>
        <v>22987500</v>
      </c>
      <c r="AA38" s="46">
        <f t="shared" si="15"/>
        <v>72000000</v>
      </c>
      <c r="AB38" s="43">
        <f t="shared" si="16"/>
        <v>0</v>
      </c>
      <c r="AC38" s="67">
        <f t="shared" si="17"/>
        <v>0</v>
      </c>
      <c r="AD38" s="43">
        <f t="shared" si="18"/>
        <v>0</v>
      </c>
      <c r="AE38" s="62">
        <f t="shared" si="19"/>
        <v>2000000</v>
      </c>
      <c r="AF38" s="46">
        <f t="shared" si="20"/>
        <v>0</v>
      </c>
      <c r="AG38" s="46">
        <f t="shared" si="21"/>
        <v>24000000</v>
      </c>
      <c r="AH38" s="71">
        <f t="shared" si="22"/>
        <v>-250000</v>
      </c>
    </row>
    <row r="39" spans="2:35" s="100" customFormat="1" ht="14.4" x14ac:dyDescent="0.2">
      <c r="B39" s="87">
        <f>B38+1</f>
        <v>120704</v>
      </c>
      <c r="C39" s="88" t="s">
        <v>75</v>
      </c>
      <c r="D39" s="88" t="s">
        <v>76</v>
      </c>
      <c r="E39" s="89">
        <v>42327</v>
      </c>
      <c r="F39" s="89">
        <v>43098</v>
      </c>
      <c r="G39" s="87" t="s">
        <v>29</v>
      </c>
      <c r="H39" s="87" t="s">
        <v>40</v>
      </c>
      <c r="I39" s="90">
        <v>25000000</v>
      </c>
      <c r="J39" s="91">
        <v>0</v>
      </c>
      <c r="K39" s="91">
        <f t="shared" si="4"/>
        <v>250000</v>
      </c>
      <c r="L39" s="91">
        <f t="shared" si="5"/>
        <v>25250000</v>
      </c>
      <c r="M39" s="90">
        <f t="shared" si="0"/>
        <v>1262500</v>
      </c>
      <c r="N39" s="91">
        <f t="shared" si="6"/>
        <v>1000000</v>
      </c>
      <c r="O39" s="91">
        <f t="shared" si="7"/>
        <v>22987500</v>
      </c>
      <c r="P39" s="90">
        <f t="shared" si="8"/>
        <v>54000000</v>
      </c>
      <c r="Q39" s="91">
        <f t="shared" si="9"/>
        <v>0</v>
      </c>
      <c r="R39" s="91">
        <f t="shared" si="10"/>
        <v>0</v>
      </c>
      <c r="S39" s="91">
        <f t="shared" si="11"/>
        <v>0</v>
      </c>
      <c r="T39" s="91">
        <f t="shared" si="12"/>
        <v>2020833.3333333333</v>
      </c>
      <c r="U39" s="91">
        <f t="shared" si="13"/>
        <v>24250000</v>
      </c>
      <c r="V39" s="104" t="s">
        <v>133</v>
      </c>
      <c r="W39" s="97"/>
      <c r="X39" s="98"/>
      <c r="Y39" s="97"/>
      <c r="Z39" s="98"/>
      <c r="AA39" s="46"/>
      <c r="AB39" s="98"/>
      <c r="AC39" s="99"/>
      <c r="AD39" s="98"/>
      <c r="AE39" s="62"/>
      <c r="AF39" s="46"/>
      <c r="AG39" s="46"/>
      <c r="AH39" s="71"/>
    </row>
    <row r="40" spans="2:35" x14ac:dyDescent="0.2">
      <c r="B40" s="10">
        <v>120801</v>
      </c>
      <c r="C40" s="7" t="s">
        <v>77</v>
      </c>
      <c r="D40" s="7" t="s">
        <v>78</v>
      </c>
      <c r="E40" s="8">
        <v>41695</v>
      </c>
      <c r="F40" s="8" t="s">
        <v>28</v>
      </c>
      <c r="G40" s="10" t="s">
        <v>29</v>
      </c>
      <c r="H40" s="10" t="s">
        <v>40</v>
      </c>
      <c r="I40" s="11">
        <v>80000000</v>
      </c>
      <c r="J40" s="12">
        <f>75%*I40</f>
        <v>60000000</v>
      </c>
      <c r="K40" s="12">
        <f t="shared" si="4"/>
        <v>800000</v>
      </c>
      <c r="L40" s="12">
        <f t="shared" si="5"/>
        <v>140800000</v>
      </c>
      <c r="M40" s="11">
        <f t="shared" si="0"/>
        <v>7040000</v>
      </c>
      <c r="N40" s="12">
        <f t="shared" si="6"/>
        <v>3200000</v>
      </c>
      <c r="O40" s="12">
        <f t="shared" si="7"/>
        <v>130560000</v>
      </c>
      <c r="P40" s="11">
        <f t="shared" si="8"/>
        <v>54000000</v>
      </c>
      <c r="Q40" s="12">
        <f t="shared" si="9"/>
        <v>76560000</v>
      </c>
      <c r="R40" s="12">
        <f t="shared" si="10"/>
        <v>3828000</v>
      </c>
      <c r="S40" s="12">
        <f t="shared" si="11"/>
        <v>319000</v>
      </c>
      <c r="T40" s="12">
        <f t="shared" si="12"/>
        <v>11147666.666666666</v>
      </c>
      <c r="U40" s="12">
        <f t="shared" si="13"/>
        <v>133772000</v>
      </c>
      <c r="W40" s="12">
        <f t="shared" si="1"/>
        <v>140800000</v>
      </c>
      <c r="X40" s="43">
        <f t="shared" si="2"/>
        <v>6000000</v>
      </c>
      <c r="Y40" s="12">
        <f t="shared" si="3"/>
        <v>3200000</v>
      </c>
      <c r="Z40" s="43">
        <f t="shared" si="14"/>
        <v>131600000</v>
      </c>
      <c r="AA40" s="46">
        <f t="shared" si="15"/>
        <v>54000000</v>
      </c>
      <c r="AB40" s="43">
        <f t="shared" si="16"/>
        <v>77600000</v>
      </c>
      <c r="AC40" s="67">
        <f t="shared" si="17"/>
        <v>6640000</v>
      </c>
      <c r="AD40" s="43">
        <f t="shared" si="18"/>
        <v>553333.33333333337</v>
      </c>
      <c r="AE40" s="62">
        <f t="shared" si="19"/>
        <v>10846666.666666666</v>
      </c>
      <c r="AF40" s="46">
        <f t="shared" si="20"/>
        <v>2812000</v>
      </c>
      <c r="AG40" s="46">
        <f t="shared" si="21"/>
        <v>130160000</v>
      </c>
      <c r="AH40" s="71">
        <f t="shared" si="22"/>
        <v>-3612000</v>
      </c>
      <c r="AI40" s="57"/>
    </row>
    <row r="41" spans="2:35" x14ac:dyDescent="0.2">
      <c r="B41" s="10">
        <f>B40+1</f>
        <v>120802</v>
      </c>
      <c r="C41" s="7" t="s">
        <v>79</v>
      </c>
      <c r="D41" s="7" t="s">
        <v>80</v>
      </c>
      <c r="E41" s="8">
        <v>42325</v>
      </c>
      <c r="F41" s="8" t="s">
        <v>28</v>
      </c>
      <c r="G41" s="10" t="s">
        <v>29</v>
      </c>
      <c r="H41" s="10" t="s">
        <v>40</v>
      </c>
      <c r="I41" s="11">
        <v>75000000</v>
      </c>
      <c r="J41" s="12">
        <v>0</v>
      </c>
      <c r="K41" s="12">
        <f t="shared" si="4"/>
        <v>750000</v>
      </c>
      <c r="L41" s="12">
        <f t="shared" si="5"/>
        <v>75750000</v>
      </c>
      <c r="M41" s="11">
        <f t="shared" si="0"/>
        <v>3787500</v>
      </c>
      <c r="N41" s="12">
        <f t="shared" si="6"/>
        <v>3000000</v>
      </c>
      <c r="O41" s="12">
        <f t="shared" si="7"/>
        <v>68962500</v>
      </c>
      <c r="P41" s="11">
        <f t="shared" si="8"/>
        <v>54000000</v>
      </c>
      <c r="Q41" s="12">
        <f t="shared" si="9"/>
        <v>14962500</v>
      </c>
      <c r="R41" s="12">
        <f t="shared" si="10"/>
        <v>748150</v>
      </c>
      <c r="S41" s="12">
        <f t="shared" si="11"/>
        <v>62345.833333333336</v>
      </c>
      <c r="T41" s="12">
        <f t="shared" si="12"/>
        <v>6000154.166666667</v>
      </c>
      <c r="U41" s="12">
        <f t="shared" si="13"/>
        <v>72001850</v>
      </c>
      <c r="W41" s="12">
        <f t="shared" si="1"/>
        <v>75750000</v>
      </c>
      <c r="X41" s="43">
        <f t="shared" si="2"/>
        <v>3787500</v>
      </c>
      <c r="Y41" s="12">
        <f t="shared" si="3"/>
        <v>3000000</v>
      </c>
      <c r="Z41" s="43">
        <f t="shared" si="14"/>
        <v>68962500</v>
      </c>
      <c r="AA41" s="46">
        <f t="shared" si="15"/>
        <v>54000000</v>
      </c>
      <c r="AB41" s="43">
        <f t="shared" si="16"/>
        <v>14962500</v>
      </c>
      <c r="AC41" s="67">
        <f t="shared" si="17"/>
        <v>748125</v>
      </c>
      <c r="AD41" s="43">
        <f t="shared" si="18"/>
        <v>62343.75</v>
      </c>
      <c r="AE41" s="62">
        <f t="shared" si="19"/>
        <v>5937656.25</v>
      </c>
      <c r="AF41" s="46">
        <f t="shared" si="20"/>
        <v>-25</v>
      </c>
      <c r="AG41" s="46">
        <f t="shared" si="21"/>
        <v>71251875</v>
      </c>
      <c r="AH41" s="71">
        <f t="shared" si="22"/>
        <v>-749975</v>
      </c>
    </row>
    <row r="42" spans="2:35" x14ac:dyDescent="0.2">
      <c r="B42" s="10">
        <f t="shared" ref="B42:B44" si="34">B41+1</f>
        <v>120803</v>
      </c>
      <c r="C42" s="7" t="s">
        <v>81</v>
      </c>
      <c r="D42" s="7" t="s">
        <v>82</v>
      </c>
      <c r="E42" s="8">
        <v>42821</v>
      </c>
      <c r="F42" s="8" t="s">
        <v>28</v>
      </c>
      <c r="G42" s="10" t="s">
        <v>29</v>
      </c>
      <c r="H42" s="10" t="s">
        <v>40</v>
      </c>
      <c r="I42" s="11">
        <v>75000000</v>
      </c>
      <c r="J42" s="12">
        <v>0</v>
      </c>
      <c r="K42" s="12">
        <f t="shared" si="4"/>
        <v>750000</v>
      </c>
      <c r="L42" s="12">
        <f t="shared" si="5"/>
        <v>75750000</v>
      </c>
      <c r="M42" s="11">
        <f t="shared" si="0"/>
        <v>3787500</v>
      </c>
      <c r="N42" s="12">
        <f t="shared" si="6"/>
        <v>3000000</v>
      </c>
      <c r="O42" s="12">
        <f t="shared" si="7"/>
        <v>68962500</v>
      </c>
      <c r="P42" s="11">
        <f t="shared" si="8"/>
        <v>54000000</v>
      </c>
      <c r="Q42" s="12">
        <f t="shared" si="9"/>
        <v>14962500</v>
      </c>
      <c r="R42" s="12">
        <f t="shared" si="10"/>
        <v>748150</v>
      </c>
      <c r="S42" s="12">
        <f t="shared" si="11"/>
        <v>62345.833333333336</v>
      </c>
      <c r="T42" s="12">
        <f t="shared" si="12"/>
        <v>6000154.166666667</v>
      </c>
      <c r="U42" s="12">
        <f t="shared" si="13"/>
        <v>72001850</v>
      </c>
      <c r="W42" s="12">
        <f t="shared" si="1"/>
        <v>75750000</v>
      </c>
      <c r="X42" s="43">
        <f t="shared" si="2"/>
        <v>3787500</v>
      </c>
      <c r="Y42" s="12">
        <f t="shared" si="3"/>
        <v>3000000</v>
      </c>
      <c r="Z42" s="43">
        <f t="shared" si="14"/>
        <v>68962500</v>
      </c>
      <c r="AA42" s="46">
        <f t="shared" si="15"/>
        <v>54000000</v>
      </c>
      <c r="AB42" s="43">
        <f t="shared" si="16"/>
        <v>14962500</v>
      </c>
      <c r="AC42" s="67">
        <f t="shared" si="17"/>
        <v>748125</v>
      </c>
      <c r="AD42" s="43">
        <f t="shared" si="18"/>
        <v>62343.75</v>
      </c>
      <c r="AE42" s="62">
        <f t="shared" si="19"/>
        <v>5937656.25</v>
      </c>
      <c r="AF42" s="46">
        <f t="shared" si="20"/>
        <v>-25</v>
      </c>
      <c r="AG42" s="46">
        <f t="shared" si="21"/>
        <v>71251875</v>
      </c>
      <c r="AH42" s="71">
        <f t="shared" si="22"/>
        <v>-749975</v>
      </c>
    </row>
    <row r="43" spans="2:35" x14ac:dyDescent="0.2">
      <c r="B43" s="10">
        <f t="shared" si="34"/>
        <v>120804</v>
      </c>
      <c r="C43" s="7" t="s">
        <v>83</v>
      </c>
      <c r="D43" s="7" t="s">
        <v>84</v>
      </c>
      <c r="E43" s="8">
        <v>42691</v>
      </c>
      <c r="F43" s="8" t="s">
        <v>28</v>
      </c>
      <c r="G43" s="10" t="s">
        <v>29</v>
      </c>
      <c r="H43" s="10" t="s">
        <v>52</v>
      </c>
      <c r="I43" s="11">
        <v>50000000</v>
      </c>
      <c r="J43" s="12">
        <v>0</v>
      </c>
      <c r="K43" s="12">
        <f t="shared" si="4"/>
        <v>500000</v>
      </c>
      <c r="L43" s="12">
        <f t="shared" si="5"/>
        <v>50500000</v>
      </c>
      <c r="M43" s="11">
        <f t="shared" si="0"/>
        <v>2525000</v>
      </c>
      <c r="N43" s="12">
        <f t="shared" si="6"/>
        <v>2000000</v>
      </c>
      <c r="O43" s="12">
        <f t="shared" si="7"/>
        <v>45975000</v>
      </c>
      <c r="P43" s="11">
        <f t="shared" si="8"/>
        <v>63000000</v>
      </c>
      <c r="Q43" s="12">
        <f t="shared" si="9"/>
        <v>0</v>
      </c>
      <c r="R43" s="12">
        <f t="shared" si="10"/>
        <v>0</v>
      </c>
      <c r="S43" s="12">
        <f t="shared" si="11"/>
        <v>0</v>
      </c>
      <c r="T43" s="12">
        <f t="shared" si="12"/>
        <v>4041666.6666666665</v>
      </c>
      <c r="U43" s="12">
        <f t="shared" si="13"/>
        <v>48500000</v>
      </c>
      <c r="W43" s="12">
        <f t="shared" si="1"/>
        <v>50500000</v>
      </c>
      <c r="X43" s="43">
        <f t="shared" si="2"/>
        <v>2525000</v>
      </c>
      <c r="Y43" s="12">
        <f t="shared" si="3"/>
        <v>2000000</v>
      </c>
      <c r="Z43" s="43">
        <f t="shared" si="14"/>
        <v>45975000</v>
      </c>
      <c r="AA43" s="46">
        <f t="shared" si="15"/>
        <v>63000000</v>
      </c>
      <c r="AB43" s="43">
        <f t="shared" si="16"/>
        <v>0</v>
      </c>
      <c r="AC43" s="67">
        <f t="shared" si="17"/>
        <v>0</v>
      </c>
      <c r="AD43" s="43">
        <f t="shared" si="18"/>
        <v>0</v>
      </c>
      <c r="AE43" s="62">
        <f t="shared" si="19"/>
        <v>4000000</v>
      </c>
      <c r="AF43" s="46">
        <f t="shared" si="20"/>
        <v>0</v>
      </c>
      <c r="AG43" s="46">
        <f t="shared" si="21"/>
        <v>48000000</v>
      </c>
      <c r="AH43" s="71">
        <f t="shared" si="22"/>
        <v>-500000</v>
      </c>
    </row>
    <row r="44" spans="2:35" x14ac:dyDescent="0.2">
      <c r="B44" s="10">
        <f t="shared" si="34"/>
        <v>120805</v>
      </c>
      <c r="C44" s="7" t="s">
        <v>85</v>
      </c>
      <c r="D44" s="7" t="s">
        <v>86</v>
      </c>
      <c r="E44" s="8">
        <v>43058</v>
      </c>
      <c r="F44" s="8" t="s">
        <v>28</v>
      </c>
      <c r="G44" s="10" t="s">
        <v>29</v>
      </c>
      <c r="H44" s="10" t="s">
        <v>40</v>
      </c>
      <c r="I44" s="11">
        <v>50000000</v>
      </c>
      <c r="J44" s="12">
        <v>0</v>
      </c>
      <c r="K44" s="12">
        <f t="shared" si="4"/>
        <v>500000</v>
      </c>
      <c r="L44" s="12">
        <f t="shared" si="5"/>
        <v>50500000</v>
      </c>
      <c r="M44" s="11">
        <f t="shared" si="0"/>
        <v>2525000</v>
      </c>
      <c r="N44" s="12">
        <f t="shared" si="6"/>
        <v>2000000</v>
      </c>
      <c r="O44" s="12">
        <f t="shared" si="7"/>
        <v>45975000</v>
      </c>
      <c r="P44" s="11">
        <f t="shared" si="8"/>
        <v>54000000</v>
      </c>
      <c r="Q44" s="12">
        <f t="shared" si="9"/>
        <v>0</v>
      </c>
      <c r="R44" s="12">
        <f t="shared" si="10"/>
        <v>0</v>
      </c>
      <c r="S44" s="12">
        <f t="shared" si="11"/>
        <v>0</v>
      </c>
      <c r="T44" s="12">
        <f t="shared" si="12"/>
        <v>4041666.6666666665</v>
      </c>
      <c r="U44" s="12">
        <f t="shared" si="13"/>
        <v>48500000</v>
      </c>
      <c r="W44" s="12">
        <f t="shared" si="1"/>
        <v>50500000</v>
      </c>
      <c r="X44" s="43">
        <f t="shared" si="2"/>
        <v>2525000</v>
      </c>
      <c r="Y44" s="12">
        <f t="shared" si="3"/>
        <v>2000000</v>
      </c>
      <c r="Z44" s="43">
        <f t="shared" si="14"/>
        <v>45975000</v>
      </c>
      <c r="AA44" s="46">
        <f t="shared" si="15"/>
        <v>54000000</v>
      </c>
      <c r="AB44" s="43">
        <f t="shared" si="16"/>
        <v>0</v>
      </c>
      <c r="AC44" s="67">
        <f t="shared" si="17"/>
        <v>0</v>
      </c>
      <c r="AD44" s="43">
        <f t="shared" si="18"/>
        <v>0</v>
      </c>
      <c r="AE44" s="62">
        <f t="shared" si="19"/>
        <v>4000000</v>
      </c>
      <c r="AF44" s="46">
        <f t="shared" si="20"/>
        <v>0</v>
      </c>
      <c r="AG44" s="46">
        <f t="shared" si="21"/>
        <v>48000000</v>
      </c>
      <c r="AH44" s="71">
        <f t="shared" si="22"/>
        <v>-500000</v>
      </c>
    </row>
    <row r="45" spans="2:35" x14ac:dyDescent="0.2">
      <c r="B45" s="10">
        <v>120901</v>
      </c>
      <c r="C45" s="7" t="s">
        <v>87</v>
      </c>
      <c r="D45" s="7" t="s">
        <v>88</v>
      </c>
      <c r="E45" s="8">
        <v>42327</v>
      </c>
      <c r="F45" s="8" t="s">
        <v>28</v>
      </c>
      <c r="G45" s="10" t="s">
        <v>29</v>
      </c>
      <c r="H45" s="10" t="s">
        <v>40</v>
      </c>
      <c r="I45" s="11">
        <v>80000000</v>
      </c>
      <c r="J45" s="12">
        <f>75%*I45</f>
        <v>60000000</v>
      </c>
      <c r="K45" s="12">
        <f t="shared" si="4"/>
        <v>800000</v>
      </c>
      <c r="L45" s="12">
        <f t="shared" si="5"/>
        <v>140800000</v>
      </c>
      <c r="M45" s="11">
        <f t="shared" si="0"/>
        <v>7040000</v>
      </c>
      <c r="N45" s="12">
        <f t="shared" si="6"/>
        <v>3200000</v>
      </c>
      <c r="O45" s="12">
        <f t="shared" si="7"/>
        <v>130560000</v>
      </c>
      <c r="P45" s="11">
        <f t="shared" si="8"/>
        <v>54000000</v>
      </c>
      <c r="Q45" s="12">
        <f t="shared" si="9"/>
        <v>76560000</v>
      </c>
      <c r="R45" s="12">
        <f t="shared" si="10"/>
        <v>3828000</v>
      </c>
      <c r="S45" s="12">
        <f t="shared" si="11"/>
        <v>319000</v>
      </c>
      <c r="T45" s="12">
        <f t="shared" si="12"/>
        <v>11147666.666666666</v>
      </c>
      <c r="U45" s="12">
        <f t="shared" si="13"/>
        <v>133772000</v>
      </c>
      <c r="W45" s="12">
        <f t="shared" si="1"/>
        <v>140800000</v>
      </c>
      <c r="X45" s="43">
        <f t="shared" si="2"/>
        <v>6000000</v>
      </c>
      <c r="Y45" s="12">
        <f t="shared" si="3"/>
        <v>3200000</v>
      </c>
      <c r="Z45" s="43">
        <f t="shared" si="14"/>
        <v>131600000</v>
      </c>
      <c r="AA45" s="46">
        <f t="shared" si="15"/>
        <v>54000000</v>
      </c>
      <c r="AB45" s="43">
        <f t="shared" si="16"/>
        <v>77600000</v>
      </c>
      <c r="AC45" s="67">
        <f t="shared" si="17"/>
        <v>6640000</v>
      </c>
      <c r="AD45" s="43">
        <f t="shared" si="18"/>
        <v>553333.33333333337</v>
      </c>
      <c r="AE45" s="62">
        <f t="shared" si="19"/>
        <v>10846666.666666666</v>
      </c>
      <c r="AF45" s="46">
        <f t="shared" si="20"/>
        <v>2812000</v>
      </c>
      <c r="AG45" s="46">
        <f t="shared" si="21"/>
        <v>130160000</v>
      </c>
      <c r="AH45" s="71">
        <f t="shared" si="22"/>
        <v>-3612000</v>
      </c>
    </row>
    <row r="46" spans="2:35" x14ac:dyDescent="0.2">
      <c r="B46" s="10">
        <f>B45+1</f>
        <v>120902</v>
      </c>
      <c r="C46" s="7" t="s">
        <v>89</v>
      </c>
      <c r="D46" s="7" t="s">
        <v>90</v>
      </c>
      <c r="E46" s="8">
        <v>42929</v>
      </c>
      <c r="F46" s="8" t="s">
        <v>28</v>
      </c>
      <c r="G46" s="10" t="s">
        <v>29</v>
      </c>
      <c r="H46" s="10" t="s">
        <v>33</v>
      </c>
      <c r="I46" s="11">
        <v>45000000</v>
      </c>
      <c r="J46" s="12">
        <v>0</v>
      </c>
      <c r="K46" s="12">
        <f t="shared" si="4"/>
        <v>450000</v>
      </c>
      <c r="L46" s="12">
        <f t="shared" si="5"/>
        <v>45450000</v>
      </c>
      <c r="M46" s="11">
        <f t="shared" si="0"/>
        <v>2272500</v>
      </c>
      <c r="N46" s="12">
        <f t="shared" si="6"/>
        <v>1800000</v>
      </c>
      <c r="O46" s="12">
        <f t="shared" si="7"/>
        <v>41377500</v>
      </c>
      <c r="P46" s="11">
        <f t="shared" si="8"/>
        <v>72000000</v>
      </c>
      <c r="Q46" s="12">
        <f t="shared" si="9"/>
        <v>0</v>
      </c>
      <c r="R46" s="12">
        <f t="shared" si="10"/>
        <v>0</v>
      </c>
      <c r="S46" s="12">
        <f t="shared" si="11"/>
        <v>0</v>
      </c>
      <c r="T46" s="12">
        <f t="shared" si="12"/>
        <v>3637500</v>
      </c>
      <c r="U46" s="12">
        <f t="shared" si="13"/>
        <v>43650000</v>
      </c>
      <c r="W46" s="12">
        <f t="shared" si="1"/>
        <v>45450000</v>
      </c>
      <c r="X46" s="43">
        <f t="shared" si="2"/>
        <v>2272500</v>
      </c>
      <c r="Y46" s="12">
        <f t="shared" si="3"/>
        <v>1800000</v>
      </c>
      <c r="Z46" s="43">
        <f t="shared" si="14"/>
        <v>41377500</v>
      </c>
      <c r="AA46" s="46">
        <f t="shared" si="15"/>
        <v>72000000</v>
      </c>
      <c r="AB46" s="43">
        <f t="shared" si="16"/>
        <v>0</v>
      </c>
      <c r="AC46" s="67">
        <f t="shared" si="17"/>
        <v>0</v>
      </c>
      <c r="AD46" s="43">
        <f t="shared" si="18"/>
        <v>0</v>
      </c>
      <c r="AE46" s="62">
        <f t="shared" si="19"/>
        <v>3600000</v>
      </c>
      <c r="AF46" s="46">
        <f t="shared" si="20"/>
        <v>0</v>
      </c>
      <c r="AG46" s="46">
        <f t="shared" si="21"/>
        <v>43200000</v>
      </c>
      <c r="AH46" s="71">
        <f t="shared" si="22"/>
        <v>-450000</v>
      </c>
    </row>
    <row r="47" spans="2:35" x14ac:dyDescent="0.2">
      <c r="B47" s="10">
        <f t="shared" ref="B47" si="35">B46+1</f>
        <v>120903</v>
      </c>
      <c r="C47" s="7" t="s">
        <v>91</v>
      </c>
      <c r="D47" s="7" t="s">
        <v>92</v>
      </c>
      <c r="E47" s="8">
        <v>43050</v>
      </c>
      <c r="F47" s="8" t="s">
        <v>28</v>
      </c>
      <c r="G47" s="10" t="s">
        <v>29</v>
      </c>
      <c r="H47" s="10" t="s">
        <v>40</v>
      </c>
      <c r="I47" s="11">
        <v>25000000</v>
      </c>
      <c r="J47" s="12">
        <v>0</v>
      </c>
      <c r="K47" s="12">
        <f t="shared" si="4"/>
        <v>250000</v>
      </c>
      <c r="L47" s="12">
        <f t="shared" si="5"/>
        <v>25250000</v>
      </c>
      <c r="M47" s="11">
        <f t="shared" si="0"/>
        <v>1262500</v>
      </c>
      <c r="N47" s="12">
        <f t="shared" si="6"/>
        <v>1000000</v>
      </c>
      <c r="O47" s="12">
        <f t="shared" si="7"/>
        <v>22987500</v>
      </c>
      <c r="P47" s="11">
        <f t="shared" si="8"/>
        <v>54000000</v>
      </c>
      <c r="Q47" s="12">
        <f t="shared" si="9"/>
        <v>0</v>
      </c>
      <c r="R47" s="12">
        <f t="shared" si="10"/>
        <v>0</v>
      </c>
      <c r="S47" s="12">
        <f t="shared" si="11"/>
        <v>0</v>
      </c>
      <c r="T47" s="12">
        <f t="shared" si="12"/>
        <v>2020833.3333333333</v>
      </c>
      <c r="U47" s="12">
        <f t="shared" si="13"/>
        <v>24250000</v>
      </c>
      <c r="W47" s="12">
        <f t="shared" si="1"/>
        <v>25250000</v>
      </c>
      <c r="X47" s="43">
        <f t="shared" si="2"/>
        <v>1262500</v>
      </c>
      <c r="Y47" s="12">
        <f t="shared" si="3"/>
        <v>1000000</v>
      </c>
      <c r="Z47" s="43">
        <f t="shared" si="14"/>
        <v>22987500</v>
      </c>
      <c r="AA47" s="46">
        <f t="shared" si="15"/>
        <v>54000000</v>
      </c>
      <c r="AB47" s="43">
        <f t="shared" si="16"/>
        <v>0</v>
      </c>
      <c r="AC47" s="67">
        <f t="shared" si="17"/>
        <v>0</v>
      </c>
      <c r="AD47" s="43">
        <f t="shared" si="18"/>
        <v>0</v>
      </c>
      <c r="AE47" s="62">
        <f t="shared" si="19"/>
        <v>2000000</v>
      </c>
      <c r="AF47" s="46">
        <f t="shared" si="20"/>
        <v>0</v>
      </c>
      <c r="AG47" s="46">
        <f t="shared" si="21"/>
        <v>24000000</v>
      </c>
      <c r="AH47" s="71">
        <f t="shared" si="22"/>
        <v>-250000</v>
      </c>
    </row>
    <row r="48" spans="2:35" x14ac:dyDescent="0.2">
      <c r="B48" s="10">
        <v>120904</v>
      </c>
      <c r="C48" s="7" t="s">
        <v>93</v>
      </c>
      <c r="D48" s="7" t="s">
        <v>94</v>
      </c>
      <c r="E48" s="8">
        <v>42327</v>
      </c>
      <c r="F48" s="8" t="s">
        <v>28</v>
      </c>
      <c r="G48" s="10" t="s">
        <v>29</v>
      </c>
      <c r="H48" s="10" t="s">
        <v>30</v>
      </c>
      <c r="I48" s="11">
        <v>75000000</v>
      </c>
      <c r="J48" s="12">
        <v>0</v>
      </c>
      <c r="K48" s="12">
        <f t="shared" si="4"/>
        <v>750000</v>
      </c>
      <c r="L48" s="12">
        <f t="shared" si="5"/>
        <v>75750000</v>
      </c>
      <c r="M48" s="11">
        <f t="shared" si="0"/>
        <v>3787500</v>
      </c>
      <c r="N48" s="12">
        <f t="shared" si="6"/>
        <v>3000000</v>
      </c>
      <c r="O48" s="12">
        <f t="shared" si="7"/>
        <v>68962500</v>
      </c>
      <c r="P48" s="11">
        <f t="shared" si="8"/>
        <v>67500000</v>
      </c>
      <c r="Q48" s="12">
        <f t="shared" si="9"/>
        <v>1462500</v>
      </c>
      <c r="R48" s="12">
        <f t="shared" si="10"/>
        <v>73150</v>
      </c>
      <c r="S48" s="12">
        <f t="shared" si="11"/>
        <v>6095.833333333333</v>
      </c>
      <c r="T48" s="12">
        <f t="shared" si="12"/>
        <v>6056404.166666667</v>
      </c>
      <c r="U48" s="12">
        <f t="shared" si="13"/>
        <v>72676850</v>
      </c>
      <c r="W48" s="12">
        <f t="shared" si="1"/>
        <v>75750000</v>
      </c>
      <c r="X48" s="43">
        <f t="shared" si="2"/>
        <v>3787500</v>
      </c>
      <c r="Y48" s="12">
        <f t="shared" si="3"/>
        <v>3000000</v>
      </c>
      <c r="Z48" s="43">
        <f t="shared" si="14"/>
        <v>68962500</v>
      </c>
      <c r="AA48" s="46">
        <f t="shared" si="15"/>
        <v>67500000</v>
      </c>
      <c r="AB48" s="43">
        <f t="shared" si="16"/>
        <v>1462500</v>
      </c>
      <c r="AC48" s="67">
        <f t="shared" si="17"/>
        <v>73125</v>
      </c>
      <c r="AD48" s="43">
        <f t="shared" si="18"/>
        <v>6093.75</v>
      </c>
      <c r="AE48" s="62">
        <f t="shared" si="19"/>
        <v>5993906.25</v>
      </c>
      <c r="AF48" s="46">
        <f t="shared" si="20"/>
        <v>-25</v>
      </c>
      <c r="AG48" s="46">
        <f t="shared" si="21"/>
        <v>71926875</v>
      </c>
      <c r="AH48" s="71">
        <f t="shared" si="22"/>
        <v>-749975</v>
      </c>
    </row>
    <row r="49" spans="2:35" x14ac:dyDescent="0.2">
      <c r="B49" s="10">
        <v>121001</v>
      </c>
      <c r="C49" s="7" t="s">
        <v>95</v>
      </c>
      <c r="D49" s="7" t="s">
        <v>96</v>
      </c>
      <c r="E49" s="8">
        <v>39095</v>
      </c>
      <c r="F49" s="8" t="s">
        <v>28</v>
      </c>
      <c r="G49" s="10" t="s">
        <v>29</v>
      </c>
      <c r="H49" s="10" t="s">
        <v>33</v>
      </c>
      <c r="I49" s="11">
        <v>80000000</v>
      </c>
      <c r="J49" s="12">
        <f>75%*I49</f>
        <v>60000000</v>
      </c>
      <c r="K49" s="12">
        <f t="shared" si="4"/>
        <v>800000</v>
      </c>
      <c r="L49" s="12">
        <f t="shared" si="5"/>
        <v>140800000</v>
      </c>
      <c r="M49" s="11">
        <f t="shared" si="0"/>
        <v>7040000</v>
      </c>
      <c r="N49" s="12">
        <f t="shared" si="6"/>
        <v>3200000</v>
      </c>
      <c r="O49" s="12">
        <f t="shared" si="7"/>
        <v>130560000</v>
      </c>
      <c r="P49" s="11">
        <f t="shared" si="8"/>
        <v>72000000</v>
      </c>
      <c r="Q49" s="12">
        <f t="shared" si="9"/>
        <v>58560000</v>
      </c>
      <c r="R49" s="12">
        <f t="shared" si="10"/>
        <v>2928000</v>
      </c>
      <c r="S49" s="12">
        <f t="shared" si="11"/>
        <v>244000</v>
      </c>
      <c r="T49" s="12">
        <f t="shared" si="12"/>
        <v>11222666.666666666</v>
      </c>
      <c r="U49" s="12">
        <f t="shared" si="13"/>
        <v>134672000</v>
      </c>
      <c r="W49" s="12">
        <f t="shared" si="1"/>
        <v>140800000</v>
      </c>
      <c r="X49" s="43">
        <f t="shared" si="2"/>
        <v>6000000</v>
      </c>
      <c r="Y49" s="12">
        <f t="shared" si="3"/>
        <v>3200000</v>
      </c>
      <c r="Z49" s="43">
        <f t="shared" si="14"/>
        <v>131600000</v>
      </c>
      <c r="AA49" s="46">
        <f t="shared" si="15"/>
        <v>72000000</v>
      </c>
      <c r="AB49" s="43">
        <f t="shared" si="16"/>
        <v>59600000</v>
      </c>
      <c r="AC49" s="67">
        <f t="shared" si="17"/>
        <v>3940000</v>
      </c>
      <c r="AD49" s="43">
        <f t="shared" si="18"/>
        <v>328333.33333333331</v>
      </c>
      <c r="AE49" s="62">
        <f t="shared" si="19"/>
        <v>11071666.666666666</v>
      </c>
      <c r="AF49" s="46">
        <f t="shared" si="20"/>
        <v>1012000</v>
      </c>
      <c r="AG49" s="46">
        <f t="shared" si="21"/>
        <v>132860000</v>
      </c>
      <c r="AH49" s="71">
        <f t="shared" si="22"/>
        <v>-1812000</v>
      </c>
    </row>
    <row r="50" spans="2:35" x14ac:dyDescent="0.2">
      <c r="B50" s="10">
        <v>121002</v>
      </c>
      <c r="C50" s="7" t="s">
        <v>97</v>
      </c>
      <c r="D50" s="7" t="s">
        <v>98</v>
      </c>
      <c r="E50" s="8">
        <v>39960.024983506555</v>
      </c>
      <c r="F50" s="8" t="s">
        <v>28</v>
      </c>
      <c r="G50" s="10" t="s">
        <v>29</v>
      </c>
      <c r="H50" s="10" t="s">
        <v>52</v>
      </c>
      <c r="I50" s="11">
        <v>75000000</v>
      </c>
      <c r="J50" s="12">
        <v>0</v>
      </c>
      <c r="K50" s="12">
        <f t="shared" si="4"/>
        <v>750000</v>
      </c>
      <c r="L50" s="12">
        <f t="shared" ref="L50" si="36">SUM(I50:K50)</f>
        <v>75750000</v>
      </c>
      <c r="M50" s="11">
        <f t="shared" ref="M50" si="37">5%*L50</f>
        <v>3787500</v>
      </c>
      <c r="N50" s="12">
        <f t="shared" ref="N50" si="38">4%*I50</f>
        <v>3000000</v>
      </c>
      <c r="O50" s="12">
        <f t="shared" ref="O50" si="39">L50-SUM(M50:N50)</f>
        <v>68962500</v>
      </c>
      <c r="P50" s="11">
        <f t="shared" si="8"/>
        <v>63000000</v>
      </c>
      <c r="Q50" s="12">
        <f t="shared" ref="Q50" si="40">MAX(O50-P50,0)</f>
        <v>5962500</v>
      </c>
      <c r="R50" s="12">
        <f t="shared" ref="R50" si="41">ROUND(Q50,-3)*5%</f>
        <v>298150</v>
      </c>
      <c r="S50" s="12">
        <f t="shared" ref="S50" si="42">R50/12</f>
        <v>24845.833333333332</v>
      </c>
      <c r="T50" s="12">
        <f t="shared" ref="T50" si="43">(L50-N50-R50)/12</f>
        <v>6037654.166666667</v>
      </c>
      <c r="U50" s="12">
        <f t="shared" si="13"/>
        <v>72451850</v>
      </c>
      <c r="W50" s="12">
        <f t="shared" si="1"/>
        <v>75750000</v>
      </c>
      <c r="X50" s="43">
        <f t="shared" si="2"/>
        <v>3787500</v>
      </c>
      <c r="Y50" s="12">
        <f t="shared" si="3"/>
        <v>3000000</v>
      </c>
      <c r="Z50" s="43">
        <f t="shared" si="14"/>
        <v>68962500</v>
      </c>
      <c r="AA50" s="46">
        <f t="shared" si="15"/>
        <v>63000000</v>
      </c>
      <c r="AB50" s="43">
        <f t="shared" si="16"/>
        <v>5962500</v>
      </c>
      <c r="AC50" s="67">
        <f t="shared" si="17"/>
        <v>298125</v>
      </c>
      <c r="AD50" s="43">
        <f t="shared" si="18"/>
        <v>24843.75</v>
      </c>
      <c r="AE50" s="62">
        <f t="shared" si="19"/>
        <v>5975156.25</v>
      </c>
      <c r="AF50" s="46">
        <f t="shared" si="20"/>
        <v>-25</v>
      </c>
      <c r="AG50" s="46">
        <f t="shared" si="21"/>
        <v>71701875</v>
      </c>
      <c r="AH50" s="71">
        <f t="shared" si="22"/>
        <v>-749975</v>
      </c>
    </row>
    <row r="51" spans="2:35" x14ac:dyDescent="0.2">
      <c r="B51" s="10">
        <v>121003</v>
      </c>
      <c r="C51" s="7" t="s">
        <v>99</v>
      </c>
      <c r="D51" s="7" t="s">
        <v>100</v>
      </c>
      <c r="E51" s="8">
        <v>39731</v>
      </c>
      <c r="F51" s="8" t="s">
        <v>28</v>
      </c>
      <c r="G51" s="10" t="s">
        <v>29</v>
      </c>
      <c r="H51" s="10" t="s">
        <v>30</v>
      </c>
      <c r="I51" s="11">
        <v>25000000</v>
      </c>
      <c r="J51" s="12">
        <v>0</v>
      </c>
      <c r="K51" s="12">
        <f t="shared" si="4"/>
        <v>250000</v>
      </c>
      <c r="L51" s="12">
        <f t="shared" ref="L51:L52" si="44">SUM(I51:K51)</f>
        <v>25250000</v>
      </c>
      <c r="M51" s="11">
        <f t="shared" ref="M51:M52" si="45">5%*L51</f>
        <v>1262500</v>
      </c>
      <c r="N51" s="12">
        <f t="shared" ref="N51:N52" si="46">4%*I51</f>
        <v>1000000</v>
      </c>
      <c r="O51" s="12">
        <f t="shared" ref="O51:O52" si="47">L51-SUM(M51:N51)</f>
        <v>22987500</v>
      </c>
      <c r="P51" s="11">
        <f t="shared" si="8"/>
        <v>67500000</v>
      </c>
      <c r="Q51" s="12">
        <f t="shared" ref="Q51:Q52" si="48">MAX(O51-P51,0)</f>
        <v>0</v>
      </c>
      <c r="R51" s="12">
        <f t="shared" ref="R51:R52" si="49">ROUND(Q51,-3)*5%</f>
        <v>0</v>
      </c>
      <c r="S51" s="12">
        <f t="shared" ref="S51:S52" si="50">R51/12</f>
        <v>0</v>
      </c>
      <c r="T51" s="12">
        <f t="shared" ref="T51:T52" si="51">(L51-N51-R51)/12</f>
        <v>2020833.3333333333</v>
      </c>
      <c r="U51" s="12">
        <f t="shared" si="13"/>
        <v>24250000</v>
      </c>
      <c r="W51" s="12">
        <f t="shared" si="1"/>
        <v>25250000</v>
      </c>
      <c r="X51" s="43">
        <f t="shared" si="2"/>
        <v>1262500</v>
      </c>
      <c r="Y51" s="12">
        <f t="shared" si="3"/>
        <v>1000000</v>
      </c>
      <c r="Z51" s="43">
        <f t="shared" si="14"/>
        <v>22987500</v>
      </c>
      <c r="AA51" s="46">
        <f t="shared" si="15"/>
        <v>67500000</v>
      </c>
      <c r="AB51" s="43">
        <f t="shared" si="16"/>
        <v>0</v>
      </c>
      <c r="AC51" s="67">
        <f t="shared" si="17"/>
        <v>0</v>
      </c>
      <c r="AD51" s="43">
        <f t="shared" si="18"/>
        <v>0</v>
      </c>
      <c r="AE51" s="62">
        <f t="shared" si="19"/>
        <v>2000000</v>
      </c>
      <c r="AF51" s="46">
        <f t="shared" si="20"/>
        <v>0</v>
      </c>
      <c r="AG51" s="46">
        <f t="shared" si="21"/>
        <v>24000000</v>
      </c>
      <c r="AH51" s="71">
        <f t="shared" si="22"/>
        <v>-250000</v>
      </c>
    </row>
    <row r="52" spans="2:35" x14ac:dyDescent="0.2">
      <c r="B52" s="10">
        <v>121004</v>
      </c>
      <c r="C52" s="7" t="s">
        <v>101</v>
      </c>
      <c r="D52" s="7" t="s">
        <v>100</v>
      </c>
      <c r="E52" s="8">
        <v>40153</v>
      </c>
      <c r="F52" s="8" t="s">
        <v>28</v>
      </c>
      <c r="G52" s="10" t="s">
        <v>29</v>
      </c>
      <c r="H52" s="10" t="s">
        <v>52</v>
      </c>
      <c r="I52" s="11">
        <v>25000000</v>
      </c>
      <c r="J52" s="12">
        <v>0</v>
      </c>
      <c r="K52" s="12">
        <f t="shared" si="4"/>
        <v>250000</v>
      </c>
      <c r="L52" s="12">
        <f t="shared" si="44"/>
        <v>25250000</v>
      </c>
      <c r="M52" s="11">
        <f t="shared" si="45"/>
        <v>1262500</v>
      </c>
      <c r="N52" s="12">
        <f t="shared" si="46"/>
        <v>1000000</v>
      </c>
      <c r="O52" s="12">
        <f t="shared" si="47"/>
        <v>22987500</v>
      </c>
      <c r="P52" s="11">
        <f t="shared" si="8"/>
        <v>63000000</v>
      </c>
      <c r="Q52" s="12">
        <f t="shared" si="48"/>
        <v>0</v>
      </c>
      <c r="R52" s="12">
        <f t="shared" si="49"/>
        <v>0</v>
      </c>
      <c r="S52" s="12">
        <f t="shared" si="50"/>
        <v>0</v>
      </c>
      <c r="T52" s="12">
        <f t="shared" si="51"/>
        <v>2020833.3333333333</v>
      </c>
      <c r="U52" s="12">
        <f t="shared" si="13"/>
        <v>24250000</v>
      </c>
      <c r="W52" s="12">
        <f t="shared" si="1"/>
        <v>25250000</v>
      </c>
      <c r="X52" s="43">
        <f t="shared" si="2"/>
        <v>1262500</v>
      </c>
      <c r="Y52" s="12">
        <f t="shared" si="3"/>
        <v>1000000</v>
      </c>
      <c r="Z52" s="43">
        <f t="shared" si="14"/>
        <v>22987500</v>
      </c>
      <c r="AA52" s="46">
        <f t="shared" si="15"/>
        <v>63000000</v>
      </c>
      <c r="AB52" s="43">
        <f t="shared" si="16"/>
        <v>0</v>
      </c>
      <c r="AC52" s="67">
        <f t="shared" si="17"/>
        <v>0</v>
      </c>
      <c r="AD52" s="43">
        <f t="shared" si="18"/>
        <v>0</v>
      </c>
      <c r="AE52" s="62">
        <f t="shared" si="19"/>
        <v>2000000</v>
      </c>
      <c r="AF52" s="46">
        <f t="shared" si="20"/>
        <v>0</v>
      </c>
      <c r="AG52" s="46">
        <f t="shared" si="21"/>
        <v>24000000</v>
      </c>
      <c r="AH52" s="71">
        <f t="shared" si="22"/>
        <v>-250000</v>
      </c>
    </row>
    <row r="53" spans="2:35" x14ac:dyDescent="0.2">
      <c r="B53" s="13"/>
      <c r="C53" s="13"/>
      <c r="D53" s="13"/>
      <c r="E53" s="14"/>
      <c r="F53" s="14"/>
      <c r="G53" s="13"/>
      <c r="H53" s="15"/>
      <c r="I53" s="16">
        <f t="shared" ref="I53:U53" si="52">SUM(I13:I52)</f>
        <v>2385000000</v>
      </c>
      <c r="J53" s="16">
        <f t="shared" si="52"/>
        <v>1188000000</v>
      </c>
      <c r="K53" s="16">
        <f>SUM(K13:K52)</f>
        <v>23850000</v>
      </c>
      <c r="L53" s="16">
        <f>SUM(L13:L52)</f>
        <v>3596850000</v>
      </c>
      <c r="M53" s="16">
        <f t="shared" si="52"/>
        <v>179842500</v>
      </c>
      <c r="N53" s="16">
        <f t="shared" si="52"/>
        <v>95400000</v>
      </c>
      <c r="O53" s="16">
        <f t="shared" si="52"/>
        <v>3321607500</v>
      </c>
      <c r="P53" s="16">
        <f t="shared" si="52"/>
        <v>2542500000</v>
      </c>
      <c r="Q53" s="16">
        <f t="shared" si="52"/>
        <v>1127100000</v>
      </c>
      <c r="R53" s="16">
        <f t="shared" si="52"/>
        <v>56355450</v>
      </c>
      <c r="S53" s="16">
        <f t="shared" si="52"/>
        <v>4696287.5000000009</v>
      </c>
      <c r="T53" s="16">
        <f t="shared" si="52"/>
        <v>287091212.49999994</v>
      </c>
      <c r="U53" s="16">
        <f t="shared" si="52"/>
        <v>3445094550</v>
      </c>
      <c r="W53" s="42">
        <f>SUM(W13:W52)</f>
        <v>3571600000</v>
      </c>
      <c r="X53" s="42">
        <f t="shared" ref="X53:AD53" si="53">SUM(X13:X52)</f>
        <v>166580000</v>
      </c>
      <c r="Y53" s="42">
        <f>SUM(Y13:Y52)</f>
        <v>94400000</v>
      </c>
      <c r="Z53" s="42">
        <f t="shared" si="53"/>
        <v>3310620000</v>
      </c>
      <c r="AA53" s="42">
        <f>SUM(AA13:AA52)</f>
        <v>2488500000</v>
      </c>
      <c r="AB53" s="42">
        <f t="shared" si="53"/>
        <v>1139100000</v>
      </c>
      <c r="AC53" s="42">
        <f t="shared" si="53"/>
        <v>78265000</v>
      </c>
      <c r="AD53" s="42">
        <f t="shared" si="53"/>
        <v>6522083.3333333321</v>
      </c>
      <c r="AE53" s="44">
        <f t="shared" ref="AE53:AH53" si="54">SUM(AE13:AE52)</f>
        <v>281277916.66666669</v>
      </c>
      <c r="AF53" s="44">
        <f t="shared" si="54"/>
        <v>21909550</v>
      </c>
      <c r="AG53" s="44">
        <f t="shared" si="54"/>
        <v>3375335000</v>
      </c>
      <c r="AH53" s="44">
        <f t="shared" si="54"/>
        <v>-45509550</v>
      </c>
    </row>
    <row r="54" spans="2:35" s="17" customFormat="1" x14ac:dyDescent="0.2">
      <c r="B54" s="64" t="s">
        <v>102</v>
      </c>
      <c r="C54" s="7"/>
      <c r="D54" s="7"/>
      <c r="E54" s="8"/>
      <c r="F54" s="8"/>
      <c r="G54" s="7"/>
      <c r="H54" s="10"/>
      <c r="I54" s="9"/>
      <c r="J54" s="7"/>
      <c r="K54" s="7"/>
      <c r="L54" s="7"/>
      <c r="M54" s="7"/>
      <c r="N54" s="7"/>
      <c r="O54" s="7"/>
      <c r="P54" s="7"/>
      <c r="Q54" s="7"/>
      <c r="R54" s="7"/>
      <c r="S54" s="7"/>
      <c r="T54" s="7"/>
      <c r="U54" s="7"/>
      <c r="W54" s="64" t="s">
        <v>102</v>
      </c>
      <c r="X54" s="43"/>
      <c r="Y54" s="12">
        <f t="shared" si="3"/>
        <v>0</v>
      </c>
      <c r="Z54" s="43"/>
      <c r="AA54" s="46"/>
      <c r="AB54" s="43"/>
      <c r="AC54" s="46"/>
      <c r="AD54" s="43"/>
      <c r="AE54" s="47"/>
      <c r="AF54" s="46"/>
      <c r="AG54" s="46">
        <f t="shared" ref="AG54" si="55">(I54+J54-N54)-AC54</f>
        <v>0</v>
      </c>
      <c r="AH54" s="71"/>
    </row>
    <row r="55" spans="2:35" x14ac:dyDescent="0.2">
      <c r="B55" s="10">
        <v>300101</v>
      </c>
      <c r="C55" s="7" t="s">
        <v>103</v>
      </c>
      <c r="D55" s="7" t="s">
        <v>104</v>
      </c>
      <c r="E55" s="8">
        <v>40417</v>
      </c>
      <c r="F55" s="8" t="s">
        <v>28</v>
      </c>
      <c r="G55" s="10" t="s">
        <v>29</v>
      </c>
      <c r="H55" s="10" t="s">
        <v>30</v>
      </c>
      <c r="I55" s="9">
        <v>35000000</v>
      </c>
      <c r="J55" s="12">
        <f>75%*I55</f>
        <v>26250000</v>
      </c>
      <c r="K55" s="9">
        <f>1%*I55</f>
        <v>350000</v>
      </c>
      <c r="L55" s="12">
        <f>SUM(I55:K55)</f>
        <v>61600000</v>
      </c>
      <c r="M55" s="11">
        <f t="shared" ref="M55:M57" si="56">MIN(5%*L55,6000000)</f>
        <v>3080000</v>
      </c>
      <c r="N55" s="12">
        <f t="shared" ref="N55:N57" si="57">4%*I55</f>
        <v>1400000</v>
      </c>
      <c r="O55" s="12">
        <f t="shared" ref="O55:O57" si="58">L55-SUM(M55:N55)</f>
        <v>57120000</v>
      </c>
      <c r="P55" s="11">
        <f t="shared" ref="P55:P57" si="59">IF(H55="K/0",58500000,IF(H55="K/1",63000000,IF(H55="K/2",67500000,IF(H55="K/3",72000000,IF(H55="TK/0",54000000,IF(H55="TK/1",58500000,IF(H55="TK/2",63000000,IF(H55="TK/3",67500000,0))))))))</f>
        <v>67500000</v>
      </c>
      <c r="Q55" s="12">
        <f t="shared" ref="Q55:Q57" si="60">MAX(O55-P55,0)</f>
        <v>0</v>
      </c>
      <c r="R55" s="12">
        <f t="shared" ref="R55:R57" si="61">ROUND(Q55,-3)*5%</f>
        <v>0</v>
      </c>
      <c r="S55" s="12">
        <f t="shared" ref="S55:S57" si="62">R55/12</f>
        <v>0</v>
      </c>
      <c r="T55" s="12">
        <f t="shared" ref="T55:T57" si="63">(L55-N55-R55)/12</f>
        <v>5016666.666666667</v>
      </c>
      <c r="U55" s="12">
        <f>T55*12</f>
        <v>60200000</v>
      </c>
      <c r="W55" s="12">
        <f>Gaji_Pokok+Tunjangan+Asuransi</f>
        <v>61600000</v>
      </c>
      <c r="X55" s="43">
        <f>IF(Tarif_Jabatan*W55&lt;6000000,W55*Tarif_Jabatan,6000000)</f>
        <v>3080000</v>
      </c>
      <c r="Y55" s="12">
        <f t="shared" si="3"/>
        <v>1400000</v>
      </c>
      <c r="Z55" s="43">
        <f t="shared" ref="Z55" si="64">W55-X55-Y55</f>
        <v>57120000</v>
      </c>
      <c r="AA55" s="46">
        <f>VLOOKUP(H55,Tabel_Pembantu_PTKP,2,FALSE)</f>
        <v>67500000</v>
      </c>
      <c r="AB55" s="43">
        <f t="shared" ref="AB55" si="65">IF(Z55-AA55&lt;0,0,Z55-AA55)</f>
        <v>0</v>
      </c>
      <c r="AC55" s="67">
        <f t="shared" ref="AC55:AC58" si="66">IF(AND(AB55&gt;0,AB55&lt;=50000000),5%*AB55,IF(AND(AB55&gt;50000000,AB55&lt;=250000000),5%*50000000+15%*(AB55-50000000),IF(AND(AB55&gt;250000000,AB55&lt;=500000000),5%*50000000+15%*200000000+25%*(AB55-50000000-200000000),IF(AB55&gt;500000000,5%*50000000+15%*200000000+25%*250000000+30%*(AB55-50000000-200000000-250000000),0))))</f>
        <v>0</v>
      </c>
      <c r="AD55" s="43">
        <f t="shared" ref="AD55:AD58" si="67">AC55/12</f>
        <v>0</v>
      </c>
      <c r="AE55" s="62">
        <f t="shared" ref="AE55" si="68">(I55+J55-N55)/12-AD55</f>
        <v>4987500</v>
      </c>
      <c r="AF55" s="46">
        <f t="shared" ref="AF55" si="69">AC55-R55</f>
        <v>0</v>
      </c>
      <c r="AG55" s="46">
        <f t="shared" ref="AG55" si="70">AE55*12</f>
        <v>59850000</v>
      </c>
      <c r="AH55" s="71">
        <f t="shared" ref="AH55" si="71">AG55-U55</f>
        <v>-350000</v>
      </c>
    </row>
    <row r="56" spans="2:35" x14ac:dyDescent="0.2">
      <c r="B56" s="10">
        <f>B55+1</f>
        <v>300102</v>
      </c>
      <c r="C56" s="7" t="s">
        <v>105</v>
      </c>
      <c r="D56" s="7" t="s">
        <v>106</v>
      </c>
      <c r="E56" s="8">
        <v>41513</v>
      </c>
      <c r="F56" s="8" t="s">
        <v>28</v>
      </c>
      <c r="G56" s="10" t="s">
        <v>29</v>
      </c>
      <c r="H56" s="10" t="s">
        <v>33</v>
      </c>
      <c r="I56" s="9">
        <v>25000000</v>
      </c>
      <c r="J56" s="12">
        <v>0</v>
      </c>
      <c r="K56" s="9">
        <f t="shared" ref="K56:K58" si="72">1%*I56</f>
        <v>250000</v>
      </c>
      <c r="L56" s="12">
        <f>SUM(I56:K56)</f>
        <v>25250000</v>
      </c>
      <c r="M56" s="11">
        <f t="shared" si="56"/>
        <v>1262500</v>
      </c>
      <c r="N56" s="12">
        <f t="shared" si="57"/>
        <v>1000000</v>
      </c>
      <c r="O56" s="12">
        <f t="shared" si="58"/>
        <v>22987500</v>
      </c>
      <c r="P56" s="11">
        <f t="shared" si="59"/>
        <v>72000000</v>
      </c>
      <c r="Q56" s="12">
        <f t="shared" si="60"/>
        <v>0</v>
      </c>
      <c r="R56" s="12">
        <f t="shared" si="61"/>
        <v>0</v>
      </c>
      <c r="S56" s="12">
        <f t="shared" si="62"/>
        <v>0</v>
      </c>
      <c r="T56" s="12">
        <f t="shared" si="63"/>
        <v>2020833.3333333333</v>
      </c>
      <c r="U56" s="12">
        <f t="shared" ref="U56:U58" si="73">T56*12</f>
        <v>24250000</v>
      </c>
      <c r="W56" s="12">
        <f>Gaji_Pokok+Tunjangan+Asuransi</f>
        <v>25250000</v>
      </c>
      <c r="X56" s="43">
        <f>IF(Tarif_Jabatan*W56&lt;6000000,W56*Tarif_Jabatan,6000000)</f>
        <v>1262500</v>
      </c>
      <c r="Y56" s="12">
        <f t="shared" si="3"/>
        <v>1000000</v>
      </c>
      <c r="Z56" s="43">
        <f t="shared" ref="Z56:Z58" si="74">W56-X56-Y56</f>
        <v>22987500</v>
      </c>
      <c r="AA56" s="46">
        <f>VLOOKUP(H56,Tabel_Pembantu_PTKP,2,FALSE)</f>
        <v>72000000</v>
      </c>
      <c r="AB56" s="43">
        <f t="shared" ref="AB56:AB58" si="75">IF(Z56-AA56&lt;0,0,Z56-AA56)</f>
        <v>0</v>
      </c>
      <c r="AC56" s="67">
        <f t="shared" si="66"/>
        <v>0</v>
      </c>
      <c r="AD56" s="43">
        <f t="shared" si="67"/>
        <v>0</v>
      </c>
      <c r="AE56" s="62">
        <f t="shared" ref="AE56:AE58" si="76">(I56+J56-N56)/12-AD56</f>
        <v>2000000</v>
      </c>
      <c r="AF56" s="46">
        <f t="shared" ref="AF56:AF58" si="77">AC56-R56</f>
        <v>0</v>
      </c>
      <c r="AG56" s="46">
        <f t="shared" ref="AG56:AG58" si="78">AE56*12</f>
        <v>24000000</v>
      </c>
      <c r="AH56" s="71">
        <f t="shared" ref="AH56:AH58" si="79">AG56-U56</f>
        <v>-250000</v>
      </c>
    </row>
    <row r="57" spans="2:35" x14ac:dyDescent="0.2">
      <c r="B57" s="10">
        <f>B56+1</f>
        <v>300103</v>
      </c>
      <c r="C57" s="7" t="s">
        <v>107</v>
      </c>
      <c r="D57" s="7" t="s">
        <v>106</v>
      </c>
      <c r="E57" s="8">
        <v>41513</v>
      </c>
      <c r="F57" s="8" t="s">
        <v>28</v>
      </c>
      <c r="G57" s="10" t="s">
        <v>29</v>
      </c>
      <c r="H57" s="10" t="s">
        <v>108</v>
      </c>
      <c r="I57" s="9">
        <v>25000000</v>
      </c>
      <c r="J57" s="12">
        <v>0</v>
      </c>
      <c r="K57" s="9">
        <f t="shared" si="72"/>
        <v>250000</v>
      </c>
      <c r="L57" s="12">
        <f t="shared" ref="L55:L57" si="80">SUM(I57:K57)</f>
        <v>25250000</v>
      </c>
      <c r="M57" s="11">
        <f t="shared" si="56"/>
        <v>1262500</v>
      </c>
      <c r="N57" s="12">
        <f t="shared" si="57"/>
        <v>1000000</v>
      </c>
      <c r="O57" s="12">
        <f t="shared" si="58"/>
        <v>22987500</v>
      </c>
      <c r="P57" s="11">
        <f t="shared" si="59"/>
        <v>58500000</v>
      </c>
      <c r="Q57" s="12">
        <f t="shared" si="60"/>
        <v>0</v>
      </c>
      <c r="R57" s="12">
        <f t="shared" si="61"/>
        <v>0</v>
      </c>
      <c r="S57" s="12">
        <f t="shared" si="62"/>
        <v>0</v>
      </c>
      <c r="T57" s="12">
        <f t="shared" si="63"/>
        <v>2020833.3333333333</v>
      </c>
      <c r="U57" s="12">
        <f t="shared" si="73"/>
        <v>24250000</v>
      </c>
      <c r="W57" s="12">
        <f>Gaji_Pokok+Tunjangan+Asuransi</f>
        <v>25250000</v>
      </c>
      <c r="X57" s="43">
        <f>IF(Tarif_Jabatan*W57&lt;6000000,W57*Tarif_Jabatan,6000000)</f>
        <v>1262500</v>
      </c>
      <c r="Y57" s="12">
        <f t="shared" si="3"/>
        <v>1000000</v>
      </c>
      <c r="Z57" s="43">
        <f t="shared" si="74"/>
        <v>22987500</v>
      </c>
      <c r="AA57" s="46">
        <f>VLOOKUP(H57,Tabel_Pembantu_PTKP,2,FALSE)</f>
        <v>58500000</v>
      </c>
      <c r="AB57" s="43">
        <f t="shared" si="75"/>
        <v>0</v>
      </c>
      <c r="AC57" s="67">
        <f t="shared" si="66"/>
        <v>0</v>
      </c>
      <c r="AD57" s="43">
        <f t="shared" si="67"/>
        <v>0</v>
      </c>
      <c r="AE57" s="62">
        <f t="shared" si="76"/>
        <v>2000000</v>
      </c>
      <c r="AF57" s="46">
        <f t="shared" si="77"/>
        <v>0</v>
      </c>
      <c r="AG57" s="46">
        <f t="shared" si="78"/>
        <v>24000000</v>
      </c>
      <c r="AH57" s="71">
        <f t="shared" si="79"/>
        <v>-250000</v>
      </c>
    </row>
    <row r="58" spans="2:35" x14ac:dyDescent="0.2">
      <c r="B58" s="10">
        <v>300104</v>
      </c>
      <c r="C58" s="7" t="s">
        <v>109</v>
      </c>
      <c r="D58" s="7" t="s">
        <v>106</v>
      </c>
      <c r="E58" s="8">
        <v>41513</v>
      </c>
      <c r="F58" s="8" t="s">
        <v>28</v>
      </c>
      <c r="G58" s="10" t="s">
        <v>29</v>
      </c>
      <c r="H58" s="10" t="s">
        <v>52</v>
      </c>
      <c r="I58" s="9">
        <v>25000000</v>
      </c>
      <c r="J58" s="12">
        <v>0</v>
      </c>
      <c r="K58" s="9">
        <f t="shared" si="72"/>
        <v>250000</v>
      </c>
      <c r="L58" s="12">
        <f t="shared" ref="L58" si="81">SUM(I58:K58)</f>
        <v>25250000</v>
      </c>
      <c r="M58" s="11">
        <f t="shared" ref="M58" si="82">MIN(5%*L58,6000000)</f>
        <v>1262500</v>
      </c>
      <c r="N58" s="12">
        <f t="shared" ref="N58" si="83">4%*I58</f>
        <v>1000000</v>
      </c>
      <c r="O58" s="12">
        <f t="shared" ref="O58" si="84">L58-SUM(M58:N58)</f>
        <v>22987500</v>
      </c>
      <c r="P58" s="11">
        <f t="shared" ref="P58" si="85">IF(H58="K/0",58500000,IF(H58="K/1",63000000,IF(H58="K/2",67500000,IF(H58="K/3",72000000,IF(H58="TK/0",54000000,IF(H58="TK/1",58500000,IF(H58="TK/2",63000000,IF(H58="TK/3",67500000,0))))))))</f>
        <v>63000000</v>
      </c>
      <c r="Q58" s="12">
        <f t="shared" ref="Q58" si="86">MAX(O58-P58,0)</f>
        <v>0</v>
      </c>
      <c r="R58" s="12">
        <f t="shared" ref="R58" si="87">ROUND(Q58,-3)*5%</f>
        <v>0</v>
      </c>
      <c r="S58" s="12">
        <f t="shared" ref="S58" si="88">R58/12</f>
        <v>0</v>
      </c>
      <c r="T58" s="12">
        <f t="shared" ref="T58" si="89">(L58-N58-R58)/12</f>
        <v>2020833.3333333333</v>
      </c>
      <c r="U58" s="12">
        <f t="shared" si="73"/>
        <v>24250000</v>
      </c>
      <c r="W58" s="12">
        <f>Gaji_Pokok+Tunjangan+Asuransi</f>
        <v>25250000</v>
      </c>
      <c r="X58" s="43">
        <f>IF(Tarif_Jabatan*W58&lt;6000000,W58*Tarif_Jabatan,6000000)</f>
        <v>1262500</v>
      </c>
      <c r="Y58" s="12">
        <f t="shared" si="3"/>
        <v>1000000</v>
      </c>
      <c r="Z58" s="43">
        <f t="shared" si="74"/>
        <v>22987500</v>
      </c>
      <c r="AA58" s="46">
        <f>VLOOKUP(H58,Tabel_Pembantu_PTKP,2,FALSE)</f>
        <v>63000000</v>
      </c>
      <c r="AB58" s="43">
        <f t="shared" si="75"/>
        <v>0</v>
      </c>
      <c r="AC58" s="67">
        <f t="shared" si="66"/>
        <v>0</v>
      </c>
      <c r="AD58" s="43">
        <f t="shared" si="67"/>
        <v>0</v>
      </c>
      <c r="AE58" s="62">
        <f t="shared" si="76"/>
        <v>2000000</v>
      </c>
      <c r="AF58" s="46">
        <f t="shared" si="77"/>
        <v>0</v>
      </c>
      <c r="AG58" s="46">
        <f t="shared" si="78"/>
        <v>24000000</v>
      </c>
      <c r="AH58" s="71">
        <f t="shared" si="79"/>
        <v>-250000</v>
      </c>
    </row>
    <row r="59" spans="2:35" x14ac:dyDescent="0.2">
      <c r="B59" s="13"/>
      <c r="C59" s="13"/>
      <c r="D59" s="13"/>
      <c r="E59" s="14"/>
      <c r="F59" s="14"/>
      <c r="G59" s="13"/>
      <c r="H59" s="15"/>
      <c r="I59" s="16">
        <f>SUM(I55:I58)</f>
        <v>110000000</v>
      </c>
      <c r="J59" s="16">
        <f t="shared" ref="J59:U59" si="90">SUM(J55:J58)</f>
        <v>26250000</v>
      </c>
      <c r="K59" s="16">
        <f t="shared" si="90"/>
        <v>1100000</v>
      </c>
      <c r="L59" s="16">
        <f t="shared" si="90"/>
        <v>137350000</v>
      </c>
      <c r="M59" s="16">
        <f t="shared" si="90"/>
        <v>6867500</v>
      </c>
      <c r="N59" s="16">
        <f t="shared" si="90"/>
        <v>4400000</v>
      </c>
      <c r="O59" s="16">
        <f t="shared" si="90"/>
        <v>126082500</v>
      </c>
      <c r="P59" s="16">
        <f t="shared" si="90"/>
        <v>261000000</v>
      </c>
      <c r="Q59" s="16">
        <f t="shared" si="90"/>
        <v>0</v>
      </c>
      <c r="R59" s="16">
        <f t="shared" si="90"/>
        <v>0</v>
      </c>
      <c r="S59" s="16">
        <f t="shared" si="90"/>
        <v>0</v>
      </c>
      <c r="T59" s="16">
        <f t="shared" si="90"/>
        <v>11079166.666666668</v>
      </c>
      <c r="U59" s="16">
        <f t="shared" si="90"/>
        <v>132950000</v>
      </c>
      <c r="W59" s="42">
        <f t="shared" ref="W59" si="91">SUM(W55:W58)</f>
        <v>137350000</v>
      </c>
      <c r="X59" s="42">
        <f t="shared" ref="X59:AF59" si="92">SUM(X55:X58)</f>
        <v>6867500</v>
      </c>
      <c r="Y59" s="42">
        <f t="shared" si="92"/>
        <v>4400000</v>
      </c>
      <c r="Z59" s="42">
        <f t="shared" si="92"/>
        <v>126082500</v>
      </c>
      <c r="AA59" s="42">
        <f t="shared" si="92"/>
        <v>261000000</v>
      </c>
      <c r="AB59" s="42">
        <f t="shared" si="92"/>
        <v>0</v>
      </c>
      <c r="AC59" s="42">
        <f t="shared" si="92"/>
        <v>0</v>
      </c>
      <c r="AD59" s="42">
        <f t="shared" si="92"/>
        <v>0</v>
      </c>
      <c r="AE59" s="42">
        <f t="shared" si="92"/>
        <v>10987500</v>
      </c>
      <c r="AF59" s="42">
        <f t="shared" si="92"/>
        <v>0</v>
      </c>
      <c r="AG59" s="42">
        <f>SUM(AG55:AG58)</f>
        <v>131850000</v>
      </c>
      <c r="AH59" s="42">
        <f t="shared" ref="AH59" si="93">SUM(AH55:AH58)</f>
        <v>-1100000</v>
      </c>
    </row>
    <row r="60" spans="2:35" s="17" customFormat="1" ht="15" thickBot="1" x14ac:dyDescent="0.35">
      <c r="B60" s="18"/>
      <c r="C60" s="18"/>
      <c r="D60" s="18"/>
      <c r="E60" s="19"/>
      <c r="F60" s="19"/>
      <c r="G60" s="18"/>
      <c r="H60" s="20"/>
      <c r="I60" s="21">
        <f>I53+I59</f>
        <v>2495000000</v>
      </c>
      <c r="J60" s="21">
        <f t="shared" ref="J60:U60" si="94">J53+J59</f>
        <v>1214250000</v>
      </c>
      <c r="K60" s="21">
        <f t="shared" si="94"/>
        <v>24950000</v>
      </c>
      <c r="L60" s="21">
        <f t="shared" si="94"/>
        <v>3734200000</v>
      </c>
      <c r="M60" s="21">
        <f t="shared" si="94"/>
        <v>186710000</v>
      </c>
      <c r="N60" s="21">
        <f t="shared" si="94"/>
        <v>99800000</v>
      </c>
      <c r="O60" s="21">
        <f t="shared" si="94"/>
        <v>3447690000</v>
      </c>
      <c r="P60" s="21">
        <f t="shared" si="94"/>
        <v>2803500000</v>
      </c>
      <c r="Q60" s="21">
        <f t="shared" si="94"/>
        <v>1127100000</v>
      </c>
      <c r="R60" s="21">
        <f t="shared" si="94"/>
        <v>56355450</v>
      </c>
      <c r="S60" s="21">
        <f t="shared" si="94"/>
        <v>4696287.5000000009</v>
      </c>
      <c r="T60" s="21">
        <f t="shared" si="94"/>
        <v>298170379.16666663</v>
      </c>
      <c r="U60" s="21">
        <f t="shared" si="94"/>
        <v>3578044550</v>
      </c>
      <c r="W60" s="45">
        <f>W53+W59</f>
        <v>3708950000</v>
      </c>
      <c r="X60" s="45">
        <f t="shared" ref="X60:AH60" si="95">X53+X59</f>
        <v>173447500</v>
      </c>
      <c r="Y60" s="45">
        <f t="shared" si="95"/>
        <v>98800000</v>
      </c>
      <c r="Z60" s="45">
        <f t="shared" si="95"/>
        <v>3436702500</v>
      </c>
      <c r="AA60" s="45">
        <f t="shared" si="95"/>
        <v>2749500000</v>
      </c>
      <c r="AB60" s="45">
        <f t="shared" si="95"/>
        <v>1139100000</v>
      </c>
      <c r="AC60" s="45">
        <f t="shared" si="95"/>
        <v>78265000</v>
      </c>
      <c r="AD60" s="45">
        <f t="shared" si="95"/>
        <v>6522083.3333333321</v>
      </c>
      <c r="AE60" s="45">
        <f t="shared" si="95"/>
        <v>292265416.66666669</v>
      </c>
      <c r="AF60" s="45">
        <f t="shared" si="95"/>
        <v>21909550</v>
      </c>
      <c r="AG60" s="45">
        <f t="shared" si="95"/>
        <v>3507185000</v>
      </c>
      <c r="AH60" s="45">
        <f t="shared" si="95"/>
        <v>-46609550</v>
      </c>
      <c r="AI60" s="107" t="s">
        <v>136</v>
      </c>
    </row>
    <row r="61" spans="2:35" s="17" customFormat="1" ht="10.8" thickTop="1" x14ac:dyDescent="0.2">
      <c r="B61" s="1"/>
      <c r="C61" s="2"/>
      <c r="D61" s="2"/>
      <c r="E61" s="3"/>
      <c r="F61" s="4"/>
      <c r="G61" s="2"/>
      <c r="H61" s="2"/>
      <c r="I61" s="5"/>
      <c r="J61" s="2"/>
      <c r="K61" s="2"/>
      <c r="L61" s="2"/>
      <c r="M61" s="2"/>
      <c r="N61" s="2"/>
      <c r="O61" s="2"/>
      <c r="P61" s="2"/>
      <c r="Q61" s="2"/>
      <c r="R61" s="2"/>
      <c r="S61" s="2"/>
      <c r="T61" s="2"/>
      <c r="U61" s="2"/>
      <c r="W61" s="58"/>
      <c r="X61" s="58"/>
      <c r="Y61" s="2"/>
      <c r="Z61" s="2"/>
      <c r="AA61" s="2"/>
      <c r="AB61" s="2"/>
      <c r="AC61" s="2"/>
      <c r="AD61" s="48"/>
      <c r="AE61" s="2"/>
      <c r="AF61" s="2"/>
      <c r="AG61" s="2"/>
      <c r="AH61" s="69"/>
    </row>
    <row r="62" spans="2:35" x14ac:dyDescent="0.2">
      <c r="K62" s="59"/>
      <c r="W62" s="17" t="s">
        <v>162</v>
      </c>
    </row>
    <row r="63" spans="2:35" x14ac:dyDescent="0.2">
      <c r="B63" s="27" t="s">
        <v>110</v>
      </c>
      <c r="C63" s="28"/>
      <c r="W63" s="7" t="s">
        <v>40</v>
      </c>
      <c r="X63" s="65">
        <v>54000000</v>
      </c>
      <c r="Z63" s="17" t="s">
        <v>202</v>
      </c>
    </row>
    <row r="64" spans="2:35" x14ac:dyDescent="0.2">
      <c r="B64" s="29" t="s">
        <v>111</v>
      </c>
      <c r="C64" s="101">
        <f>L60</f>
        <v>3734200000</v>
      </c>
      <c r="W64" s="7" t="s">
        <v>163</v>
      </c>
      <c r="X64" s="65">
        <f>X63+4500000</f>
        <v>58500000</v>
      </c>
      <c r="Z64" s="2" t="s">
        <v>187</v>
      </c>
      <c r="AB64" s="59">
        <f>W60-C65</f>
        <v>240950000</v>
      </c>
    </row>
    <row r="65" spans="2:29" x14ac:dyDescent="0.2">
      <c r="B65" s="29" t="s">
        <v>112</v>
      </c>
      <c r="C65" s="30">
        <v>3468000000</v>
      </c>
      <c r="M65" s="60"/>
      <c r="W65" s="7" t="s">
        <v>164</v>
      </c>
      <c r="X65" s="65">
        <f>X63+4500000*2</f>
        <v>63000000</v>
      </c>
      <c r="AA65" s="2" t="s">
        <v>188</v>
      </c>
      <c r="AC65" s="59">
        <f>AB64-AC66</f>
        <v>219040450</v>
      </c>
    </row>
    <row r="66" spans="2:29" ht="14.4" x14ac:dyDescent="0.3">
      <c r="B66" s="31" t="s">
        <v>113</v>
      </c>
      <c r="C66" s="32">
        <f>ABS(C64-C65)</f>
        <v>266200000</v>
      </c>
      <c r="D66" s="105" t="s">
        <v>134</v>
      </c>
      <c r="W66" s="7" t="s">
        <v>165</v>
      </c>
      <c r="X66" s="65">
        <f>X63+4500000*3</f>
        <v>67500000</v>
      </c>
      <c r="AA66" s="2" t="s">
        <v>189</v>
      </c>
      <c r="AB66" s="48"/>
      <c r="AC66" s="48">
        <f>AC60-R60</f>
        <v>21909550</v>
      </c>
    </row>
    <row r="67" spans="2:29" x14ac:dyDescent="0.2">
      <c r="B67" s="33"/>
      <c r="C67" s="34"/>
      <c r="W67" s="7" t="s">
        <v>108</v>
      </c>
      <c r="X67" s="65">
        <f>X63+4500000</f>
        <v>58500000</v>
      </c>
      <c r="AC67" s="48"/>
    </row>
    <row r="68" spans="2:29" x14ac:dyDescent="0.2">
      <c r="W68" s="7" t="s">
        <v>52</v>
      </c>
      <c r="X68" s="65">
        <f>$X$63+4500000+4500000</f>
        <v>63000000</v>
      </c>
      <c r="Z68" s="2" t="s">
        <v>204</v>
      </c>
      <c r="AB68" s="59">
        <f>C72</f>
        <v>184355790</v>
      </c>
    </row>
    <row r="69" spans="2:29" x14ac:dyDescent="0.2">
      <c r="B69" s="27" t="s">
        <v>114</v>
      </c>
      <c r="C69" s="28"/>
      <c r="W69" s="7" t="s">
        <v>30</v>
      </c>
      <c r="X69" s="65">
        <f>$X$63+4500000+4500000*2</f>
        <v>67500000</v>
      </c>
      <c r="AA69" s="2" t="s">
        <v>203</v>
      </c>
      <c r="AC69" s="59">
        <f>AB68</f>
        <v>184355790</v>
      </c>
    </row>
    <row r="70" spans="2:29" x14ac:dyDescent="0.2">
      <c r="B70" s="29" t="s">
        <v>111</v>
      </c>
      <c r="C70" s="101">
        <f>K60</f>
        <v>24950000</v>
      </c>
      <c r="W70" s="7" t="s">
        <v>33</v>
      </c>
      <c r="X70" s="65">
        <f>$X$63+4500000+4500000*3</f>
        <v>72000000</v>
      </c>
    </row>
    <row r="71" spans="2:29" x14ac:dyDescent="0.2">
      <c r="B71" s="29" t="s">
        <v>112</v>
      </c>
      <c r="C71" s="30">
        <v>209305790</v>
      </c>
      <c r="D71" s="59"/>
    </row>
    <row r="72" spans="2:29" ht="14.4" x14ac:dyDescent="0.3">
      <c r="B72" s="31" t="s">
        <v>113</v>
      </c>
      <c r="C72" s="32">
        <f>ABS(C70-C71)</f>
        <v>184355790</v>
      </c>
      <c r="D72" s="106" t="s">
        <v>135</v>
      </c>
    </row>
    <row r="73" spans="2:29" x14ac:dyDescent="0.2">
      <c r="B73" s="33"/>
      <c r="C73" s="34"/>
    </row>
  </sheetData>
  <hyperlinks>
    <hyperlink ref="V39" location="Tickmarks!A6" display="{a}" xr:uid="{9D179703-D04B-4F86-8738-D0C3A0B12717}"/>
    <hyperlink ref="D66" location="Tickmarks!A7" display="{b}" xr:uid="{89BAE19C-6157-4E3D-ADC8-E99EB5153F95}"/>
    <hyperlink ref="D72" location="Tickmarks!A8" display="{c}" xr:uid="{F77F792F-1C4C-4496-BF02-92BFA55F9187}"/>
    <hyperlink ref="AI60" location="Tickmarks!A9" display="{d}" xr:uid="{6CF8B973-2F53-4E50-AEC4-B51DA0CF4481}"/>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35"/>
  <sheetViews>
    <sheetView showGridLines="0" topLeftCell="A11" zoomScale="120" zoomScaleNormal="120" workbookViewId="0">
      <selection activeCell="I16" sqref="I16"/>
    </sheetView>
  </sheetViews>
  <sheetFormatPr defaultColWidth="9.109375" defaultRowHeight="10.199999999999999" x14ac:dyDescent="0.2"/>
  <cols>
    <col min="1" max="1" width="3.6640625" style="2" customWidth="1"/>
    <col min="2" max="2" width="5.6640625" style="2" customWidth="1"/>
    <col min="3" max="3" width="15.6640625" style="2" hidden="1" customWidth="1"/>
    <col min="4" max="5" width="15.6640625" style="5" hidden="1" customWidth="1"/>
    <col min="6" max="6" width="16.88671875" style="5" bestFit="1" customWidth="1"/>
    <col min="7" max="8" width="15.6640625" style="5" hidden="1" customWidth="1"/>
    <col min="9" max="9" width="14.88671875" style="2" customWidth="1"/>
    <col min="10" max="10" width="14.44140625" style="2" bestFit="1" customWidth="1"/>
    <col min="11" max="11" width="12.5546875" style="2" customWidth="1"/>
    <col min="12" max="12" width="11.6640625" style="2" customWidth="1"/>
    <col min="13" max="13" width="11.44140625" style="2" bestFit="1" customWidth="1"/>
    <col min="14" max="17" width="3.6640625" style="2" customWidth="1"/>
    <col min="18" max="16384" width="9.109375" style="2"/>
  </cols>
  <sheetData>
    <row r="2" spans="2:18" x14ac:dyDescent="0.2">
      <c r="B2" s="22" t="s">
        <v>0</v>
      </c>
    </row>
    <row r="3" spans="2:18" x14ac:dyDescent="0.2">
      <c r="B3" s="22" t="s">
        <v>115</v>
      </c>
    </row>
    <row r="4" spans="2:18" x14ac:dyDescent="0.2">
      <c r="B4" s="23" t="s">
        <v>2</v>
      </c>
    </row>
    <row r="5" spans="2:18" x14ac:dyDescent="0.2">
      <c r="J5" s="102"/>
      <c r="K5" s="102"/>
      <c r="L5" s="49" t="s">
        <v>116</v>
      </c>
      <c r="M5" s="50"/>
      <c r="N5" s="50"/>
      <c r="O5" s="50"/>
      <c r="P5" s="50"/>
      <c r="Q5" s="50"/>
      <c r="R5" s="50"/>
    </row>
    <row r="6" spans="2:18" x14ac:dyDescent="0.2">
      <c r="B6" s="24" t="s">
        <v>117</v>
      </c>
      <c r="H6" s="55">
        <v>1</v>
      </c>
      <c r="J6" s="102"/>
      <c r="K6" s="102"/>
      <c r="L6" s="2" t="s">
        <v>118</v>
      </c>
    </row>
    <row r="7" spans="2:18" x14ac:dyDescent="0.2">
      <c r="B7" s="103" t="s">
        <v>205</v>
      </c>
      <c r="C7" s="36"/>
      <c r="D7" s="36"/>
      <c r="E7" s="36"/>
      <c r="F7" s="36"/>
      <c r="G7" s="36"/>
      <c r="H7" s="2">
        <v>2</v>
      </c>
      <c r="L7" s="2" t="s">
        <v>119</v>
      </c>
    </row>
    <row r="8" spans="2:18" x14ac:dyDescent="0.2">
      <c r="B8" s="103" t="s">
        <v>206</v>
      </c>
      <c r="C8" s="36"/>
      <c r="D8" s="36"/>
      <c r="E8" s="36"/>
      <c r="F8" s="36"/>
      <c r="G8" s="36"/>
      <c r="H8" s="54">
        <v>3</v>
      </c>
      <c r="L8" s="2" t="s">
        <v>120</v>
      </c>
    </row>
    <row r="9" spans="2:18" x14ac:dyDescent="0.2">
      <c r="B9" s="103" t="s">
        <v>209</v>
      </c>
      <c r="C9" s="36"/>
      <c r="D9" s="36"/>
      <c r="E9" s="36"/>
      <c r="F9" s="36"/>
      <c r="G9" s="36"/>
      <c r="H9" s="36">
        <v>4</v>
      </c>
      <c r="L9" s="2" t="s">
        <v>121</v>
      </c>
    </row>
    <row r="10" spans="2:18" x14ac:dyDescent="0.2">
      <c r="B10" s="103" t="s">
        <v>207</v>
      </c>
      <c r="C10" s="36"/>
      <c r="D10" s="36"/>
      <c r="E10" s="36"/>
      <c r="F10" s="36"/>
      <c r="G10" s="36"/>
      <c r="H10" s="36"/>
    </row>
    <row r="11" spans="2:18" x14ac:dyDescent="0.2">
      <c r="B11" s="103" t="s">
        <v>210</v>
      </c>
      <c r="C11" s="36"/>
      <c r="D11" s="36"/>
      <c r="E11" s="36"/>
      <c r="F11" s="36"/>
      <c r="G11" s="36"/>
      <c r="H11" s="36"/>
    </row>
    <row r="12" spans="2:18" x14ac:dyDescent="0.2">
      <c r="B12" s="103" t="s">
        <v>208</v>
      </c>
      <c r="C12" s="36"/>
      <c r="D12" s="36"/>
      <c r="E12" s="36"/>
      <c r="F12" s="36"/>
      <c r="G12" s="36"/>
      <c r="H12" s="36"/>
    </row>
    <row r="13" spans="2:18" x14ac:dyDescent="0.2">
      <c r="B13" s="103"/>
      <c r="C13" s="36"/>
      <c r="D13" s="36"/>
      <c r="E13" s="36"/>
      <c r="F13" s="36"/>
      <c r="G13" s="36"/>
      <c r="H13" s="36"/>
    </row>
    <row r="14" spans="2:18" x14ac:dyDescent="0.2">
      <c r="B14" s="103"/>
      <c r="C14" s="36"/>
      <c r="D14" s="36"/>
      <c r="E14" s="36"/>
      <c r="F14" s="36"/>
      <c r="G14" s="36"/>
      <c r="H14" s="36"/>
    </row>
    <row r="16" spans="2:18" x14ac:dyDescent="0.2">
      <c r="I16" s="20" t="s">
        <v>122</v>
      </c>
      <c r="J16" s="94" t="s">
        <v>123</v>
      </c>
      <c r="K16" s="94"/>
      <c r="L16" s="94"/>
      <c r="M16" s="94"/>
      <c r="N16" s="94" t="s">
        <v>124</v>
      </c>
      <c r="O16" s="94"/>
      <c r="P16" s="94"/>
      <c r="Q16" s="94"/>
      <c r="R16" s="95" t="s">
        <v>125</v>
      </c>
    </row>
    <row r="17" spans="2:18" x14ac:dyDescent="0.2">
      <c r="B17" s="51" t="s">
        <v>126</v>
      </c>
      <c r="C17" s="51" t="s">
        <v>6</v>
      </c>
      <c r="D17" s="52" t="s">
        <v>7</v>
      </c>
      <c r="E17" s="52" t="s">
        <v>8</v>
      </c>
      <c r="F17" s="52" t="s">
        <v>127</v>
      </c>
      <c r="G17" s="52" t="s">
        <v>9</v>
      </c>
      <c r="H17" s="52" t="s">
        <v>10</v>
      </c>
      <c r="I17" s="20" t="s">
        <v>128</v>
      </c>
      <c r="J17" s="20" t="s">
        <v>129</v>
      </c>
      <c r="K17" s="20" t="s">
        <v>130</v>
      </c>
      <c r="L17" s="20" t="s">
        <v>128</v>
      </c>
      <c r="M17" s="20" t="s">
        <v>131</v>
      </c>
      <c r="N17" s="20">
        <v>1</v>
      </c>
      <c r="O17" s="20">
        <v>2</v>
      </c>
      <c r="P17" s="20">
        <v>3</v>
      </c>
      <c r="Q17" s="20">
        <v>4</v>
      </c>
      <c r="R17" s="96"/>
    </row>
    <row r="18" spans="2:18" x14ac:dyDescent="0.2">
      <c r="B18" s="10">
        <v>1</v>
      </c>
      <c r="C18" s="73"/>
      <c r="D18" s="74"/>
      <c r="E18" s="74"/>
      <c r="F18" s="83" t="s">
        <v>175</v>
      </c>
      <c r="G18" s="75"/>
      <c r="H18" s="75"/>
      <c r="I18" s="76">
        <v>148159394</v>
      </c>
      <c r="J18" s="85">
        <v>43501</v>
      </c>
      <c r="K18" s="77" t="s">
        <v>190</v>
      </c>
      <c r="L18" s="76">
        <v>148159394</v>
      </c>
      <c r="M18" s="79">
        <f>I18-L18</f>
        <v>0</v>
      </c>
      <c r="N18" s="80" t="s">
        <v>29</v>
      </c>
      <c r="O18" s="80" t="s">
        <v>29</v>
      </c>
      <c r="P18" s="80" t="s">
        <v>29</v>
      </c>
      <c r="Q18" s="80" t="s">
        <v>29</v>
      </c>
      <c r="R18" s="80"/>
    </row>
    <row r="19" spans="2:18" x14ac:dyDescent="0.2">
      <c r="B19" s="10">
        <v>2</v>
      </c>
      <c r="C19" s="73"/>
      <c r="D19" s="74"/>
      <c r="E19" s="74"/>
      <c r="F19" s="83" t="s">
        <v>176</v>
      </c>
      <c r="G19" s="75"/>
      <c r="H19" s="75"/>
      <c r="I19" s="76">
        <v>148159394</v>
      </c>
      <c r="J19" s="85">
        <v>43529</v>
      </c>
      <c r="K19" s="77" t="s">
        <v>192</v>
      </c>
      <c r="L19" s="78">
        <v>148159394</v>
      </c>
      <c r="M19" s="79">
        <f t="shared" ref="M19:M29" si="0">I19-L19</f>
        <v>0</v>
      </c>
      <c r="N19" s="80" t="s">
        <v>29</v>
      </c>
      <c r="O19" s="80" t="s">
        <v>29</v>
      </c>
      <c r="P19" s="80" t="s">
        <v>29</v>
      </c>
      <c r="Q19" s="80" t="s">
        <v>29</v>
      </c>
      <c r="R19" s="80"/>
    </row>
    <row r="20" spans="2:18" x14ac:dyDescent="0.2">
      <c r="B20" s="10">
        <v>3</v>
      </c>
      <c r="C20" s="73"/>
      <c r="D20" s="74"/>
      <c r="E20" s="74"/>
      <c r="F20" s="83" t="s">
        <v>177</v>
      </c>
      <c r="G20" s="75"/>
      <c r="H20" s="75"/>
      <c r="I20" s="76">
        <v>148159394</v>
      </c>
      <c r="J20" s="85">
        <v>43560</v>
      </c>
      <c r="K20" s="77" t="s">
        <v>193</v>
      </c>
      <c r="L20" s="78">
        <v>148159394</v>
      </c>
      <c r="M20" s="79">
        <f t="shared" si="0"/>
        <v>0</v>
      </c>
      <c r="N20" s="80" t="s">
        <v>29</v>
      </c>
      <c r="O20" s="80" t="s">
        <v>29</v>
      </c>
      <c r="P20" s="80" t="s">
        <v>29</v>
      </c>
      <c r="Q20" s="80" t="s">
        <v>29</v>
      </c>
      <c r="R20" s="80"/>
    </row>
    <row r="21" spans="2:18" x14ac:dyDescent="0.2">
      <c r="B21" s="10">
        <v>4</v>
      </c>
      <c r="C21" s="73"/>
      <c r="D21" s="74"/>
      <c r="E21" s="74"/>
      <c r="F21" s="83" t="s">
        <v>178</v>
      </c>
      <c r="G21" s="75"/>
      <c r="H21" s="75"/>
      <c r="I21" s="76">
        <v>148159394</v>
      </c>
      <c r="J21" s="85">
        <v>43590</v>
      </c>
      <c r="K21" s="77" t="s">
        <v>194</v>
      </c>
      <c r="L21" s="76">
        <v>148159394</v>
      </c>
      <c r="M21" s="79">
        <f t="shared" si="0"/>
        <v>0</v>
      </c>
      <c r="N21" s="80" t="s">
        <v>29</v>
      </c>
      <c r="O21" s="80" t="s">
        <v>29</v>
      </c>
      <c r="P21" s="80" t="s">
        <v>29</v>
      </c>
      <c r="Q21" s="80" t="s">
        <v>29</v>
      </c>
      <c r="R21" s="80"/>
    </row>
    <row r="22" spans="2:18" x14ac:dyDescent="0.2">
      <c r="B22" s="10">
        <v>5</v>
      </c>
      <c r="C22" s="73"/>
      <c r="D22" s="74"/>
      <c r="E22" s="74"/>
      <c r="F22" s="83" t="s">
        <v>179</v>
      </c>
      <c r="G22" s="75"/>
      <c r="H22" s="75"/>
      <c r="I22" s="76">
        <v>148159394</v>
      </c>
      <c r="J22" s="85">
        <v>43621</v>
      </c>
      <c r="K22" s="77" t="s">
        <v>195</v>
      </c>
      <c r="L22" s="76">
        <v>148159394</v>
      </c>
      <c r="M22" s="79">
        <f t="shared" si="0"/>
        <v>0</v>
      </c>
      <c r="N22" s="80" t="s">
        <v>29</v>
      </c>
      <c r="O22" s="80" t="s">
        <v>29</v>
      </c>
      <c r="P22" s="80" t="s">
        <v>29</v>
      </c>
      <c r="Q22" s="80" t="s">
        <v>29</v>
      </c>
      <c r="R22" s="80"/>
    </row>
    <row r="23" spans="2:18" x14ac:dyDescent="0.2">
      <c r="B23" s="10">
        <v>6</v>
      </c>
      <c r="C23" s="73"/>
      <c r="D23" s="74"/>
      <c r="E23" s="74"/>
      <c r="F23" s="83" t="s">
        <v>180</v>
      </c>
      <c r="G23" s="75"/>
      <c r="H23" s="75"/>
      <c r="I23" s="76">
        <v>148159394</v>
      </c>
      <c r="J23" s="85">
        <v>43651</v>
      </c>
      <c r="K23" s="77" t="s">
        <v>196</v>
      </c>
      <c r="L23" s="76">
        <v>148159394</v>
      </c>
      <c r="M23" s="79">
        <f t="shared" si="0"/>
        <v>0</v>
      </c>
      <c r="N23" s="80" t="s">
        <v>29</v>
      </c>
      <c r="O23" s="80" t="s">
        <v>29</v>
      </c>
      <c r="P23" s="80" t="s">
        <v>29</v>
      </c>
      <c r="Q23" s="80" t="s">
        <v>29</v>
      </c>
      <c r="R23" s="80"/>
    </row>
    <row r="24" spans="2:18" x14ac:dyDescent="0.2">
      <c r="B24" s="10">
        <v>7</v>
      </c>
      <c r="C24" s="73"/>
      <c r="D24" s="74"/>
      <c r="E24" s="74"/>
      <c r="F24" s="83" t="s">
        <v>181</v>
      </c>
      <c r="G24" s="81"/>
      <c r="H24" s="81"/>
      <c r="I24" s="76">
        <v>148159394</v>
      </c>
      <c r="J24" s="85">
        <v>43682</v>
      </c>
      <c r="K24" s="77" t="s">
        <v>197</v>
      </c>
      <c r="L24" s="76">
        <v>148159394</v>
      </c>
      <c r="M24" s="79">
        <f t="shared" si="0"/>
        <v>0</v>
      </c>
      <c r="N24" s="80" t="s">
        <v>29</v>
      </c>
      <c r="O24" s="80" t="s">
        <v>29</v>
      </c>
      <c r="P24" s="80" t="s">
        <v>29</v>
      </c>
      <c r="Q24" s="80" t="s">
        <v>29</v>
      </c>
      <c r="R24" s="80"/>
    </row>
    <row r="25" spans="2:18" x14ac:dyDescent="0.2">
      <c r="B25" s="10">
        <v>8</v>
      </c>
      <c r="C25" s="73"/>
      <c r="D25" s="74"/>
      <c r="E25" s="74"/>
      <c r="F25" s="83" t="s">
        <v>182</v>
      </c>
      <c r="G25" s="81"/>
      <c r="H25" s="81"/>
      <c r="I25" s="76">
        <v>148159394</v>
      </c>
      <c r="J25" s="85">
        <v>43713</v>
      </c>
      <c r="K25" s="77" t="s">
        <v>198</v>
      </c>
      <c r="L25" s="76">
        <v>148159394</v>
      </c>
      <c r="M25" s="79">
        <f t="shared" si="0"/>
        <v>0</v>
      </c>
      <c r="N25" s="80" t="s">
        <v>29</v>
      </c>
      <c r="O25" s="80" t="s">
        <v>29</v>
      </c>
      <c r="P25" s="80" t="s">
        <v>29</v>
      </c>
      <c r="Q25" s="80" t="s">
        <v>29</v>
      </c>
      <c r="R25" s="80"/>
    </row>
    <row r="26" spans="2:18" ht="14.4" x14ac:dyDescent="0.2">
      <c r="B26" s="10">
        <v>9</v>
      </c>
      <c r="C26" s="82"/>
      <c r="D26" s="74"/>
      <c r="E26" s="74"/>
      <c r="F26" s="84" t="s">
        <v>183</v>
      </c>
      <c r="G26" s="81"/>
      <c r="H26" s="81"/>
      <c r="I26" s="76">
        <v>150000000</v>
      </c>
      <c r="J26" s="85">
        <v>43743</v>
      </c>
      <c r="K26" s="82" t="s">
        <v>199</v>
      </c>
      <c r="L26" s="76">
        <v>150000000</v>
      </c>
      <c r="M26" s="79">
        <f t="shared" si="0"/>
        <v>0</v>
      </c>
      <c r="N26" s="80" t="s">
        <v>29</v>
      </c>
      <c r="O26" s="80" t="s">
        <v>29</v>
      </c>
      <c r="P26" s="80" t="s">
        <v>29</v>
      </c>
      <c r="Q26" s="80" t="s">
        <v>29</v>
      </c>
      <c r="R26" s="108" t="s">
        <v>137</v>
      </c>
    </row>
    <row r="27" spans="2:18" x14ac:dyDescent="0.2">
      <c r="B27" s="10">
        <v>10</v>
      </c>
      <c r="C27" s="82"/>
      <c r="D27" s="74"/>
      <c r="E27" s="74"/>
      <c r="F27" s="84" t="s">
        <v>184</v>
      </c>
      <c r="G27" s="81"/>
      <c r="H27" s="81"/>
      <c r="I27" s="76">
        <v>148159394</v>
      </c>
      <c r="J27" s="85">
        <v>43774</v>
      </c>
      <c r="K27" s="82" t="s">
        <v>200</v>
      </c>
      <c r="L27" s="76">
        <v>148159394</v>
      </c>
      <c r="M27" s="79">
        <f t="shared" si="0"/>
        <v>0</v>
      </c>
      <c r="N27" s="80" t="s">
        <v>29</v>
      </c>
      <c r="O27" s="80" t="s">
        <v>29</v>
      </c>
      <c r="P27" s="80" t="s">
        <v>29</v>
      </c>
      <c r="Q27" s="80" t="s">
        <v>29</v>
      </c>
      <c r="R27" s="80"/>
    </row>
    <row r="28" spans="2:18" x14ac:dyDescent="0.2">
      <c r="B28" s="10">
        <v>11</v>
      </c>
      <c r="C28" s="82"/>
      <c r="D28" s="74"/>
      <c r="E28" s="74"/>
      <c r="F28" s="84" t="s">
        <v>185</v>
      </c>
      <c r="G28" s="81"/>
      <c r="H28" s="81"/>
      <c r="I28" s="76">
        <v>148159394</v>
      </c>
      <c r="J28" s="85">
        <v>43804</v>
      </c>
      <c r="K28" s="82" t="s">
        <v>201</v>
      </c>
      <c r="L28" s="76">
        <v>148159394</v>
      </c>
      <c r="M28" s="79">
        <f t="shared" si="0"/>
        <v>0</v>
      </c>
      <c r="N28" s="80" t="s">
        <v>29</v>
      </c>
      <c r="O28" s="80" t="s">
        <v>29</v>
      </c>
      <c r="P28" s="80" t="s">
        <v>29</v>
      </c>
      <c r="Q28" s="80" t="s">
        <v>29</v>
      </c>
      <c r="R28" s="80"/>
    </row>
    <row r="29" spans="2:18" x14ac:dyDescent="0.2">
      <c r="B29" s="10">
        <v>12</v>
      </c>
      <c r="C29" s="82"/>
      <c r="D29" s="74"/>
      <c r="E29" s="74"/>
      <c r="F29" s="84" t="s">
        <v>186</v>
      </c>
      <c r="G29" s="81"/>
      <c r="H29" s="81"/>
      <c r="I29" s="76">
        <v>148159394</v>
      </c>
      <c r="J29" s="85">
        <v>43835</v>
      </c>
      <c r="K29" s="82" t="s">
        <v>190</v>
      </c>
      <c r="L29" s="76">
        <v>148159394</v>
      </c>
      <c r="M29" s="79">
        <f t="shared" si="0"/>
        <v>0</v>
      </c>
      <c r="N29" s="80" t="s">
        <v>29</v>
      </c>
      <c r="O29" s="80" t="s">
        <v>29</v>
      </c>
      <c r="P29" s="80" t="s">
        <v>29</v>
      </c>
      <c r="Q29" s="80" t="s">
        <v>29</v>
      </c>
      <c r="R29" s="80"/>
    </row>
    <row r="32" spans="2:18" x14ac:dyDescent="0.2">
      <c r="B32" s="25"/>
    </row>
    <row r="33" spans="2:9" x14ac:dyDescent="0.2">
      <c r="I33" s="59"/>
    </row>
    <row r="35" spans="2:9" x14ac:dyDescent="0.2">
      <c r="B35" s="25"/>
    </row>
  </sheetData>
  <mergeCells count="3">
    <mergeCell ref="J16:M16"/>
    <mergeCell ref="N16:Q16"/>
    <mergeCell ref="R16:R17"/>
  </mergeCells>
  <hyperlinks>
    <hyperlink ref="R26" location="Tickmarks!A10" display="{e}" xr:uid="{F639CE65-611E-47A4-90E4-F96806DA1BD9}"/>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31"/>
  <sheetViews>
    <sheetView showGridLines="0" tabSelected="1" topLeftCell="A7" zoomScale="115" workbookViewId="0">
      <selection activeCell="B10" sqref="B10"/>
    </sheetView>
  </sheetViews>
  <sheetFormatPr defaultColWidth="9.109375" defaultRowHeight="10.199999999999999" x14ac:dyDescent="0.2"/>
  <cols>
    <col min="1" max="1" width="3.6640625" style="35" customWidth="1"/>
    <col min="2" max="2" width="80.6640625" style="2" customWidth="1"/>
    <col min="3" max="16384" width="9.109375" style="2"/>
  </cols>
  <sheetData>
    <row r="2" spans="1:3" x14ac:dyDescent="0.2">
      <c r="B2" s="22" t="s">
        <v>0</v>
      </c>
    </row>
    <row r="3" spans="1:3" x14ac:dyDescent="0.2">
      <c r="B3" s="22" t="s">
        <v>132</v>
      </c>
    </row>
    <row r="4" spans="1:3" x14ac:dyDescent="0.2">
      <c r="B4" s="23" t="s">
        <v>2</v>
      </c>
    </row>
    <row r="6" spans="1:3" s="36" customFormat="1" ht="34.200000000000003" x14ac:dyDescent="0.3">
      <c r="A6" s="38" t="s">
        <v>133</v>
      </c>
      <c r="B6" s="39" t="s">
        <v>211</v>
      </c>
    </row>
    <row r="7" spans="1:3" s="36" customFormat="1" ht="22.8" x14ac:dyDescent="0.3">
      <c r="A7" s="38" t="s">
        <v>134</v>
      </c>
      <c r="B7" s="39" t="s">
        <v>212</v>
      </c>
    </row>
    <row r="8" spans="1:3" s="36" customFormat="1" ht="22.8" x14ac:dyDescent="0.3">
      <c r="A8" s="38" t="s">
        <v>135</v>
      </c>
      <c r="B8" s="39" t="s">
        <v>213</v>
      </c>
    </row>
    <row r="9" spans="1:3" s="36" customFormat="1" ht="34.200000000000003" x14ac:dyDescent="0.3">
      <c r="A9" s="38" t="s">
        <v>136</v>
      </c>
      <c r="B9" s="39" t="s">
        <v>215</v>
      </c>
    </row>
    <row r="10" spans="1:3" s="36" customFormat="1" ht="34.200000000000003" x14ac:dyDescent="0.2">
      <c r="A10" s="38" t="s">
        <v>137</v>
      </c>
      <c r="B10" s="39" t="s">
        <v>214</v>
      </c>
      <c r="C10" s="93"/>
    </row>
    <row r="11" spans="1:3" s="36" customFormat="1" ht="11.4" x14ac:dyDescent="0.3">
      <c r="A11" s="38" t="s">
        <v>138</v>
      </c>
      <c r="B11" s="39"/>
    </row>
    <row r="12" spans="1:3" s="36" customFormat="1" ht="11.4" x14ac:dyDescent="0.3">
      <c r="A12" s="38" t="s">
        <v>139</v>
      </c>
      <c r="B12" s="39"/>
    </row>
    <row r="13" spans="1:3" s="36" customFormat="1" ht="11.4" x14ac:dyDescent="0.3">
      <c r="A13" s="38" t="s">
        <v>140</v>
      </c>
      <c r="B13" s="39"/>
    </row>
    <row r="14" spans="1:3" s="36" customFormat="1" ht="11.4" x14ac:dyDescent="0.3">
      <c r="A14" s="38" t="s">
        <v>141</v>
      </c>
      <c r="B14" s="39"/>
    </row>
    <row r="15" spans="1:3" s="36" customFormat="1" ht="11.4" x14ac:dyDescent="0.3">
      <c r="A15" s="38" t="s">
        <v>142</v>
      </c>
      <c r="B15" s="39"/>
    </row>
    <row r="16" spans="1:3" s="36" customFormat="1" ht="11.4" x14ac:dyDescent="0.3">
      <c r="A16" s="38" t="s">
        <v>143</v>
      </c>
      <c r="B16" s="39"/>
    </row>
    <row r="17" spans="1:2" s="36" customFormat="1" ht="11.4" x14ac:dyDescent="0.3">
      <c r="A17" s="38" t="s">
        <v>144</v>
      </c>
      <c r="B17" s="39"/>
    </row>
    <row r="18" spans="1:2" s="36" customFormat="1" ht="11.4" x14ac:dyDescent="0.3">
      <c r="A18" s="38" t="s">
        <v>145</v>
      </c>
      <c r="B18" s="39"/>
    </row>
    <row r="19" spans="1:2" s="36" customFormat="1" ht="11.4" x14ac:dyDescent="0.3">
      <c r="A19" s="38" t="s">
        <v>146</v>
      </c>
      <c r="B19" s="39"/>
    </row>
    <row r="20" spans="1:2" s="36" customFormat="1" ht="11.4" x14ac:dyDescent="0.3">
      <c r="A20" s="38" t="s">
        <v>147</v>
      </c>
      <c r="B20" s="39"/>
    </row>
    <row r="21" spans="1:2" s="36" customFormat="1" ht="11.4" x14ac:dyDescent="0.3">
      <c r="A21" s="38" t="s">
        <v>148</v>
      </c>
      <c r="B21" s="39"/>
    </row>
    <row r="22" spans="1:2" s="36" customFormat="1" ht="30" customHeight="1" x14ac:dyDescent="0.3">
      <c r="A22" s="38" t="s">
        <v>149</v>
      </c>
      <c r="B22" s="37"/>
    </row>
    <row r="23" spans="1:2" s="36" customFormat="1" ht="30" customHeight="1" x14ac:dyDescent="0.3">
      <c r="A23" s="38" t="s">
        <v>150</v>
      </c>
      <c r="B23" s="37"/>
    </row>
    <row r="24" spans="1:2" s="36" customFormat="1" ht="30" customHeight="1" x14ac:dyDescent="0.3">
      <c r="A24" s="38" t="s">
        <v>151</v>
      </c>
      <c r="B24" s="37"/>
    </row>
    <row r="25" spans="1:2" s="36" customFormat="1" ht="30" customHeight="1" x14ac:dyDescent="0.3">
      <c r="A25" s="38" t="s">
        <v>152</v>
      </c>
      <c r="B25" s="37"/>
    </row>
    <row r="26" spans="1:2" s="36" customFormat="1" ht="30" customHeight="1" x14ac:dyDescent="0.3">
      <c r="A26" s="38" t="s">
        <v>153</v>
      </c>
      <c r="B26" s="37"/>
    </row>
    <row r="27" spans="1:2" s="36" customFormat="1" ht="30" customHeight="1" x14ac:dyDescent="0.3">
      <c r="A27" s="38" t="s">
        <v>154</v>
      </c>
      <c r="B27" s="37"/>
    </row>
    <row r="28" spans="1:2" s="36" customFormat="1" ht="30" customHeight="1" x14ac:dyDescent="0.3">
      <c r="A28" s="38" t="s">
        <v>155</v>
      </c>
      <c r="B28" s="37"/>
    </row>
    <row r="29" spans="1:2" s="36" customFormat="1" ht="30" customHeight="1" x14ac:dyDescent="0.3">
      <c r="A29" s="38" t="s">
        <v>156</v>
      </c>
      <c r="B29" s="37"/>
    </row>
    <row r="30" spans="1:2" s="36" customFormat="1" ht="30" customHeight="1" x14ac:dyDescent="0.3">
      <c r="A30" s="38" t="s">
        <v>157</v>
      </c>
      <c r="B30" s="37"/>
    </row>
    <row r="31" spans="1:2" s="36" customFormat="1" ht="30" customHeight="1" x14ac:dyDescent="0.3">
      <c r="A31" s="38" t="s">
        <v>158</v>
      </c>
      <c r="B31"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vt:i4>
      </vt:variant>
    </vt:vector>
  </HeadingPairs>
  <TitlesOfParts>
    <vt:vector size="28" baseType="lpstr">
      <vt:lpstr>Daftar Gaji</vt:lpstr>
      <vt:lpstr>Substantif Beban Gaji</vt:lpstr>
      <vt:lpstr>Tickmarks</vt:lpstr>
      <vt:lpstr>Asuransi</vt:lpstr>
      <vt:lpstr>Biaya_Jabatan</vt:lpstr>
      <vt:lpstr>Gaji_Pokok</vt:lpstr>
      <vt:lpstr>ID_Karyawan</vt:lpstr>
      <vt:lpstr>JHT_JP__Dibayarkan_oleh_Karyawan</vt:lpstr>
      <vt:lpstr>Nama_Karyawan</vt:lpstr>
      <vt:lpstr>NPWP</vt:lpstr>
      <vt:lpstr>Penghasilan_Bruto</vt:lpstr>
      <vt:lpstr>Penghasilan_Neto</vt:lpstr>
      <vt:lpstr>PKP</vt:lpstr>
      <vt:lpstr>Posisi</vt:lpstr>
      <vt:lpstr>PPh_21</vt:lpstr>
      <vt:lpstr>PPh_21_bulan</vt:lpstr>
      <vt:lpstr>PTKP</vt:lpstr>
      <vt:lpstr>Status</vt:lpstr>
      <vt:lpstr>Tabel_BebanGaji</vt:lpstr>
      <vt:lpstr>Tabel_Pembantu_PTKP</vt:lpstr>
      <vt:lpstr>Take_Home_Pay__bulan</vt:lpstr>
      <vt:lpstr>Take_Home_Pay__tahun</vt:lpstr>
      <vt:lpstr>Tarif_Jabatan</vt:lpstr>
      <vt:lpstr>Tarif_JHP</vt:lpstr>
      <vt:lpstr>Tarif_Ps_17</vt:lpstr>
      <vt:lpstr>Tgl_Penerimaan</vt:lpstr>
      <vt:lpstr>Tgl_Resign</vt:lpstr>
      <vt:lpstr>Tunjangan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octadilaily</dc:creator>
  <cp:keywords/>
  <dc:description/>
  <cp:lastModifiedBy>shindy</cp:lastModifiedBy>
  <cp:revision/>
  <dcterms:created xsi:type="dcterms:W3CDTF">2020-04-23T03:03:21Z</dcterms:created>
  <dcterms:modified xsi:type="dcterms:W3CDTF">2022-11-20T16:15:01Z</dcterms:modified>
  <cp:category/>
  <cp:contentStatus/>
</cp:coreProperties>
</file>