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6"/>
  <workbookPr defaultThemeVersion="124226"/>
  <xr:revisionPtr revIDLastSave="0" documentId="11_B746D8CD4D523CD93D393FB4358CFDE4D732F4B5" xr6:coauthVersionLast="46" xr6:coauthVersionMax="46" xr10:uidLastSave="{00000000-0000-0000-0000-000000000000}"/>
  <bookViews>
    <workbookView xWindow="0" yWindow="0" windowWidth="16380" windowHeight="8190" tabRatio="500" firstSheet="7" activeTab="7" xr2:uid="{00000000-000D-0000-FFFF-FFFF00000000}"/>
  </bookViews>
  <sheets>
    <sheet name="General assumptions" sheetId="1" r:id="rId1"/>
    <sheet name="Spam" sheetId="2" r:id="rId2"/>
    <sheet name="Virus" sheetId="3" r:id="rId3"/>
    <sheet name="DDoS" sheetId="4" r:id="rId4"/>
    <sheet name="Data theft" sheetId="5" r:id="rId5"/>
    <sheet name="Botnet" sheetId="6" r:id="rId6"/>
    <sheet name="Comparison" sheetId="7" r:id="rId7"/>
    <sheet name="ROSI calculation" sheetId="8" r:id="rId8"/>
  </sheets>
  <definedNames>
    <definedName name="C_aver_sala">'General assumptions'!$I$11</definedName>
    <definedName name="C_IT_secu_offi">'General assumptions'!$G$8</definedName>
    <definedName name="C_lawy">'General assumptions'!$G$9</definedName>
    <definedName name="C_mana">'General assumptions'!$G$6</definedName>
    <definedName name="C_oper_empl">'General assumptions'!$G$5</definedName>
    <definedName name="C_other_cost">'General assumptions'!$G$19</definedName>
    <definedName name="C_other_pers_cost">'General assumptions'!$G$18</definedName>
    <definedName name="C_top_mana">'General assumptions'!$G$7</definedName>
    <definedName name="C_total_E">'General assumptions'!$G$10</definedName>
    <definedName name="C_total_E_and_S">'General assumptions'!$G$13</definedName>
    <definedName name="C_total_year_cost">'General assumptions'!$I$13</definedName>
    <definedName name="Days_in_year">'General assumptions'!$C$17</definedName>
    <definedName name="Days_lost">Spam!$G$7</definedName>
    <definedName name="I_aver_margin">'General assumptions'!$C$16</definedName>
    <definedName name="I_aver_sala">'General assumptions'!$E$11</definedName>
    <definedName name="I_IT_secu_offi">'General assumptions'!$C$8</definedName>
    <definedName name="I_lawy">'General assumptions'!$C$9</definedName>
    <definedName name="I_mana">'General assumptions'!$C$6</definedName>
    <definedName name="I_oper_empl">'General assumptions'!$C$5</definedName>
    <definedName name="I_oper_employees">'General assumptions'!$C$5</definedName>
    <definedName name="I_operational_employees">'General assumptions'!$C$5</definedName>
    <definedName name="I_other_cost">'General assumptions'!$C$19</definedName>
    <definedName name="I_other_pers_cost">'General assumptions'!$C$18</definedName>
    <definedName name="I_top_mana">'General assumptions'!$C$7</definedName>
    <definedName name="I_total_E">'General assumptions'!$C$10</definedName>
    <definedName name="I_year_turnover">'General assumptions'!$C$15</definedName>
    <definedName name="S_C_IT_secu_offi">'General assumptions'!$I$8</definedName>
    <definedName name="S_C_lawy">'General assumptions'!$I$9</definedName>
    <definedName name="S_C_mana">'General assumptions'!$I$6</definedName>
    <definedName name="S_C_oper_empl">'General assumptions'!$I$5</definedName>
    <definedName name="S_C_top_mana">'General assumptions'!$I$7</definedName>
    <definedName name="S_I_IT_secu_offi">'General assumptions'!$E$8</definedName>
    <definedName name="S_I_lawy">'General assumptions'!$E$9</definedName>
    <definedName name="S_I_mana">'General assumptions'!$E$6</definedName>
    <definedName name="S_I_oper_empl">'General assumptions'!$E$5</definedName>
    <definedName name="S_I_top_mana">'General assumptions'!$E$7</definedName>
    <definedName name="Students">'General assumptions'!$G$12</definedName>
    <definedName name="Tuition">'General assumptions'!$I$12</definedName>
  </definedName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0" i="6" l="1"/>
  <c r="G27" i="6"/>
  <c r="E27" i="6"/>
  <c r="G23" i="6"/>
  <c r="E23" i="6"/>
  <c r="H22" i="5"/>
  <c r="H21" i="5" s="1"/>
  <c r="F22" i="5"/>
  <c r="F21" i="5" s="1"/>
  <c r="H18" i="5"/>
  <c r="H17" i="5" s="1"/>
  <c r="F18" i="5"/>
  <c r="F17" i="5" s="1"/>
  <c r="H20" i="4"/>
  <c r="F20" i="4"/>
  <c r="H16" i="4"/>
  <c r="F16" i="4"/>
  <c r="F12" i="4"/>
  <c r="H31" i="3"/>
  <c r="F31" i="3"/>
  <c r="H27" i="3"/>
  <c r="F27" i="3"/>
  <c r="H12" i="3"/>
  <c r="F12" i="3"/>
  <c r="H11" i="3"/>
  <c r="H17" i="3" s="1"/>
  <c r="G19" i="2"/>
  <c r="E19" i="2"/>
  <c r="G15" i="2"/>
  <c r="E15" i="2"/>
  <c r="I4" i="2"/>
  <c r="C17" i="1"/>
  <c r="I10" i="1"/>
  <c r="I13" i="1" s="1"/>
  <c r="G10" i="1"/>
  <c r="G13" i="1" s="1"/>
  <c r="E10" i="1"/>
  <c r="C10" i="1"/>
  <c r="E15" i="6" s="1"/>
  <c r="E11" i="1" l="1"/>
  <c r="D47" i="6"/>
  <c r="G7" i="2"/>
  <c r="E12" i="2" s="1"/>
  <c r="F10" i="3"/>
  <c r="F13" i="3" s="1"/>
  <c r="F14" i="3" s="1"/>
  <c r="F15" i="3" s="1"/>
  <c r="F21" i="3" s="1"/>
  <c r="I11" i="1"/>
  <c r="H10" i="4" s="1"/>
  <c r="E16" i="6"/>
  <c r="E18" i="6"/>
  <c r="C45" i="6"/>
  <c r="C47" i="6"/>
  <c r="G10" i="2"/>
  <c r="H13" i="4"/>
  <c r="H12" i="5"/>
  <c r="G15" i="6"/>
  <c r="G17" i="6"/>
  <c r="D44" i="6"/>
  <c r="D46" i="6"/>
  <c r="E10" i="2"/>
  <c r="H10" i="3"/>
  <c r="H13" i="3" s="1"/>
  <c r="H14" i="3" s="1"/>
  <c r="H15" i="3" s="1"/>
  <c r="F10" i="4"/>
  <c r="F12" i="5"/>
  <c r="E17" i="6"/>
  <c r="C44" i="6"/>
  <c r="C46" i="6"/>
  <c r="G16" i="6"/>
  <c r="G18" i="6"/>
  <c r="D45" i="6"/>
  <c r="H16" i="3" l="1"/>
  <c r="H22" i="3" s="1"/>
  <c r="E14" i="6"/>
  <c r="E19" i="6" s="1"/>
  <c r="E30" i="6" s="1"/>
  <c r="G6" i="7" s="1"/>
  <c r="G10" i="7" s="1"/>
  <c r="N5" i="8" s="1"/>
  <c r="F16" i="3"/>
  <c r="F22" i="3" s="1"/>
  <c r="F20" i="3" s="1"/>
  <c r="F23" i="3" s="1"/>
  <c r="F24" i="3"/>
  <c r="H11" i="4"/>
  <c r="H23" i="4" s="1"/>
  <c r="J6" i="7" s="1"/>
  <c r="J10" i="7" s="1"/>
  <c r="L16" i="8" s="1"/>
  <c r="H13" i="5"/>
  <c r="H24" i="5" s="1"/>
  <c r="K6" i="7" s="1"/>
  <c r="K10" i="7" s="1"/>
  <c r="M16" i="8" s="1"/>
  <c r="E11" i="2"/>
  <c r="E22" i="2" s="1"/>
  <c r="C10" i="7" s="1"/>
  <c r="J5" i="8" s="1"/>
  <c r="G11" i="2"/>
  <c r="G22" i="2" s="1"/>
  <c r="H10" i="7" s="1"/>
  <c r="G14" i="6"/>
  <c r="C63" i="6"/>
  <c r="C48" i="6"/>
  <c r="H21" i="3"/>
  <c r="F13" i="5"/>
  <c r="F24" i="5" s="1"/>
  <c r="F6" i="7" s="1"/>
  <c r="F10" i="7" s="1"/>
  <c r="M5" i="8" s="1"/>
  <c r="F11" i="4"/>
  <c r="F23" i="4" s="1"/>
  <c r="E6" i="7" s="1"/>
  <c r="E10" i="7" s="1"/>
  <c r="L5" i="8" s="1"/>
  <c r="D63" i="6"/>
  <c r="D48" i="6"/>
  <c r="F34" i="3" l="1"/>
  <c r="D6" i="7" s="1"/>
  <c r="D10" i="7" s="1"/>
  <c r="K5" i="8" s="1"/>
  <c r="H20" i="3"/>
  <c r="H23" i="3" s="1"/>
  <c r="H34" i="3" s="1"/>
  <c r="I6" i="7" s="1"/>
  <c r="I10" i="7" s="1"/>
  <c r="J16" i="8"/>
  <c r="G19" i="6"/>
  <c r="G30" i="6" s="1"/>
  <c r="L6" i="7" s="1"/>
  <c r="L10" i="7" s="1"/>
  <c r="N16" i="8" s="1"/>
  <c r="E12" i="7" l="1"/>
  <c r="P5" i="8"/>
  <c r="K16" i="8"/>
  <c r="O16" i="8" s="1"/>
  <c r="P16" i="8" s="1"/>
  <c r="J12" i="7"/>
</calcChain>
</file>

<file path=xl/sharedStrings.xml><?xml version="1.0" encoding="utf-8"?>
<sst xmlns="http://schemas.openxmlformats.org/spreadsheetml/2006/main" count="517" uniqueCount="156">
  <si>
    <t>if you enter percent values, enter without % sign, i.e. if you need to enter 50%, just enter 50.</t>
  </si>
  <si>
    <t>Part of the entity affected</t>
  </si>
  <si>
    <t>Internet store</t>
  </si>
  <si>
    <t>College</t>
  </si>
  <si>
    <t>number of employees</t>
  </si>
  <si>
    <t>yearly salary</t>
  </si>
  <si>
    <t>Operational employees</t>
  </si>
  <si>
    <t>persons</t>
  </si>
  <si>
    <t>€/year</t>
  </si>
  <si>
    <t>Managers</t>
  </si>
  <si>
    <t>Top managers</t>
  </si>
  <si>
    <t>IT &amp; security officers</t>
  </si>
  <si>
    <t>Lawyers</t>
  </si>
  <si>
    <t>Total employees</t>
  </si>
  <si>
    <t>Mean average salary</t>
  </si>
  <si>
    <t>Numer of the affected students in the college</t>
  </si>
  <si>
    <t>Yearly tuition</t>
  </si>
  <si>
    <t>Total for all affected participants</t>
  </si>
  <si>
    <t>Total yearly cost</t>
  </si>
  <si>
    <t>Revenue</t>
  </si>
  <si>
    <t>€</t>
  </si>
  <si>
    <t>Average margin</t>
  </si>
  <si>
    <t>%</t>
  </si>
  <si>
    <t>Number of work-days per year (for both store and college)</t>
  </si>
  <si>
    <t>days</t>
  </si>
  <si>
    <t>52 weeks @ 5 days -11 public holidays - 26 days of vacation - 10 illness days</t>
  </si>
  <si>
    <t>Other personnel costs (above total personnel salaries)*</t>
  </si>
  <si>
    <t>Other costs (above total personnel costs)**</t>
  </si>
  <si>
    <t>*</t>
  </si>
  <si>
    <t>Other personnel costs include among others: social security, insurance premium (if paid by employer), superannuation (if paid by employer), leaves, trade-union dues (in part paid by an employer)</t>
  </si>
  <si>
    <t>**</t>
  </si>
  <si>
    <t>Other costs comprise all costs borne by the entity besides total personnel costs and Cost of Goods Sold (COGS), i.e. subcontractors' costs, rents, supplies,  amortisation&amp;depreciation, financial costs, etc</t>
  </si>
  <si>
    <t>Spam assumptions</t>
  </si>
  <si>
    <t>Common data</t>
  </si>
  <si>
    <t>number of spam mails per day per employee and student</t>
  </si>
  <si>
    <t>spam mails</t>
  </si>
  <si>
    <t>percent of spam mails that get through the filtering systems</t>
  </si>
  <si>
    <t>spams deleted manualy daily</t>
  </si>
  <si>
    <t>time to identify e-mail as a spam, delete it and return to the productive work</t>
  </si>
  <si>
    <t>seconds</t>
  </si>
  <si>
    <t>number of work-days lost yearly by each of the employee or student</t>
  </si>
  <si>
    <t>Calculation</t>
  </si>
  <si>
    <t>Loss components</t>
  </si>
  <si>
    <t>Labor loss</t>
  </si>
  <si>
    <t>Other company/college costs</t>
  </si>
  <si>
    <t>Lost income</t>
  </si>
  <si>
    <t>Recovery value of destroyed equipment and lost licenses</t>
  </si>
  <si>
    <t>Yearly amortisation of additional serves power and bandwidth to process the spam</t>
  </si>
  <si>
    <t>Loss of intangible assets</t>
  </si>
  <si>
    <t>reputation (among stakeholders, incl. customers and employees)</t>
  </si>
  <si>
    <t>know-how and trade secrets</t>
  </si>
  <si>
    <t>new R&amp;D required</t>
  </si>
  <si>
    <t>Legal responsibility</t>
  </si>
  <si>
    <t>contractual penalties</t>
  </si>
  <si>
    <t>external lawyers' fees</t>
  </si>
  <si>
    <t>TOTAL YEARLY COST</t>
  </si>
  <si>
    <t>Virus assumptions</t>
  </si>
  <si>
    <t>Percent of employees' (and students') computers affected</t>
  </si>
  <si>
    <t xml:space="preserve">Number of work-days lost by each of the employees/students affected </t>
  </si>
  <si>
    <t>day</t>
  </si>
  <si>
    <t>Time to clean up 1 computer</t>
  </si>
  <si>
    <t>minutes</t>
  </si>
  <si>
    <t>Percent of IT &amp; sec managers involved in clean-up</t>
  </si>
  <si>
    <t>Time to identify the problem and create a solution</t>
  </si>
  <si>
    <t>hours</t>
  </si>
  <si>
    <t>Additional time required to reinstall the systems</t>
  </si>
  <si>
    <t>i.e. number of employees' computers affected (to clean-up)</t>
  </si>
  <si>
    <t>computers</t>
  </si>
  <si>
    <t>i.e. number of students' computers affected</t>
  </si>
  <si>
    <t>i.e. number of IT &amp; security department employees angaged</t>
  </si>
  <si>
    <t>Time to clean all computers</t>
  </si>
  <si>
    <t>Mean amount of lost work and time to wait for the cleaned computer</t>
  </si>
  <si>
    <t>Idle time of all affected employees</t>
  </si>
  <si>
    <t>Additional work of IT dept &amp; security employees</t>
  </si>
  <si>
    <t>Lost time, idle time and reinstallment work by students</t>
  </si>
  <si>
    <t>employees and students</t>
  </si>
  <si>
    <t>IT &amp; security department</t>
  </si>
  <si>
    <t>TOTAL COST PER INCIDENT</t>
  </si>
  <si>
    <t>DDoS assumptions</t>
  </si>
  <si>
    <t>Duration of DDoS attack</t>
  </si>
  <si>
    <t>Percent of employees working at decreased efficiency</t>
  </si>
  <si>
    <t>Level of efficiency of those who have decreased their efficiency</t>
  </si>
  <si>
    <t>Percent of all students who are actively participating in the distant learning process</t>
  </si>
  <si>
    <t>Lost internet store income</t>
  </si>
  <si>
    <t>Tuition lost by students who were not able to learn in the distant learning process</t>
  </si>
  <si>
    <t>Data theft assumptions</t>
  </si>
  <si>
    <t>Number of class action participants</t>
  </si>
  <si>
    <t>Succesfully sued to pay</t>
  </si>
  <si>
    <t>each person</t>
  </si>
  <si>
    <t>The incident required:</t>
  </si>
  <si>
    <t>number of top management hours</t>
  </si>
  <si>
    <t>number of lawyers hours</t>
  </si>
  <si>
    <t>Entity had to pay external legal fees</t>
  </si>
  <si>
    <t>Percent of customers/students who during the following year decided not to buy/study due to bad press (relative to the present number of customers/students)</t>
  </si>
  <si>
    <t>contractual or legal penalties</t>
  </si>
  <si>
    <t>LEA officers entered the entity premises and seized:</t>
  </si>
  <si>
    <t>employee computers</t>
  </si>
  <si>
    <t>IT admin computers</t>
  </si>
  <si>
    <t>file server, router</t>
  </si>
  <si>
    <t>Botnet assumptions</t>
  </si>
  <si>
    <t>Percent of total number of employees working at decreased efficiency for half a day</t>
  </si>
  <si>
    <t>Efficiency of those who worked at the decreased efficiency</t>
  </si>
  <si>
    <t>IT staff work additionally (due to lost previous work and need to restore)</t>
  </si>
  <si>
    <t>work-days</t>
  </si>
  <si>
    <t>Lawyers worked on the problem for</t>
  </si>
  <si>
    <t>Top managers worked on the problem for</t>
  </si>
  <si>
    <t>operational employees lost time</t>
  </si>
  <si>
    <t>IT staff additional work</t>
  </si>
  <si>
    <t>Lawyers additional time</t>
  </si>
  <si>
    <t>Top managers additional time</t>
  </si>
  <si>
    <t xml:space="preserve">Yearly amortisation of additional serves power and bandwidth </t>
  </si>
  <si>
    <t>Number of internet store/college employees</t>
  </si>
  <si>
    <t>% efficiency for half a day</t>
  </si>
  <si>
    <t>IT admin lost</t>
  </si>
  <si>
    <t>Top manager worked on the problem for</t>
  </si>
  <si>
    <t>internet store</t>
  </si>
  <si>
    <t>college</t>
  </si>
  <si>
    <t>Admin labor lost</t>
  </si>
  <si>
    <t>Lawyers' cost</t>
  </si>
  <si>
    <t>Top manager's cost</t>
  </si>
  <si>
    <t>Other company/college cost</t>
  </si>
  <si>
    <t>Losses comparison</t>
  </si>
  <si>
    <t>Parameter</t>
  </si>
  <si>
    <t>Spam</t>
  </si>
  <si>
    <t>Virus</t>
  </si>
  <si>
    <t>DDoS</t>
  </si>
  <si>
    <t>Data theft</t>
  </si>
  <si>
    <t>Botnet</t>
  </si>
  <si>
    <t>SLE (Single Loss Expectancy)</t>
  </si>
  <si>
    <t>ARO (Annual Rate of Occurence)</t>
  </si>
  <si>
    <t>ALE (Annualized Loss Expectancy)</t>
  </si>
  <si>
    <t>TALE (= Total ALE)</t>
  </si>
  <si>
    <t>the SPAM values were calculated for a year, not for a single occurence</t>
  </si>
  <si>
    <t>Calculate Return of security investment (ROSI) for 5 security measures implemented in both institutions. Compare results and write conclusions</t>
  </si>
  <si>
    <t>Total cost</t>
  </si>
  <si>
    <t>Number of years</t>
  </si>
  <si>
    <r>
      <rPr>
        <sz val="11"/>
        <color rgb="FF000000"/>
        <rFont val="Calibri"/>
        <family val="2"/>
        <charset val="1"/>
      </rPr>
      <t>Expected reduction rate of</t>
    </r>
    <r>
      <rPr>
        <i/>
        <sz val="11"/>
        <color rgb="FF000000"/>
        <rFont val="Calibri"/>
        <family val="2"/>
        <charset val="1"/>
      </rPr>
      <t xml:space="preserve"> ARO </t>
    </r>
    <r>
      <rPr>
        <sz val="11"/>
        <color rgb="FF000000"/>
        <rFont val="Calibri"/>
        <family val="2"/>
        <charset val="1"/>
      </rPr>
      <t>and</t>
    </r>
    <r>
      <rPr>
        <i/>
        <sz val="11"/>
        <color rgb="FF000000"/>
        <rFont val="Calibri"/>
        <family val="2"/>
        <charset val="1"/>
      </rPr>
      <t xml:space="preserve"> ALE</t>
    </r>
    <r>
      <rPr>
        <sz val="11"/>
        <color rgb="FF000000"/>
        <rFont val="Calibri"/>
        <family val="2"/>
        <charset val="1"/>
      </rPr>
      <t xml:space="preserve"> (=</t>
    </r>
    <r>
      <rPr>
        <i/>
        <sz val="11"/>
        <color rgb="FF000000"/>
        <rFont val="Calibri"/>
        <family val="2"/>
        <charset val="1"/>
      </rPr>
      <t>Xi)</t>
    </r>
  </si>
  <si>
    <t>ALEi * Xi</t>
  </si>
  <si>
    <r>
      <rPr>
        <i/>
        <sz val="11"/>
        <color rgb="FF000000"/>
        <rFont val="Calibri"/>
        <family val="2"/>
        <charset val="1"/>
      </rPr>
      <t>N</t>
    </r>
    <r>
      <rPr>
        <sz val="11"/>
        <color rgb="FF000000"/>
        <rFont val="Calibri"/>
        <family val="2"/>
        <charset val="1"/>
      </rPr>
      <t xml:space="preserve"> * sum of </t>
    </r>
    <r>
      <rPr>
        <i/>
        <sz val="11"/>
        <color rgb="FF000000"/>
        <rFont val="Calibri"/>
        <family val="2"/>
        <charset val="1"/>
      </rPr>
      <t xml:space="preserve">ALEi </t>
    </r>
    <r>
      <rPr>
        <sz val="11"/>
        <color rgb="FF000000"/>
        <rFont val="Calibri"/>
        <family val="2"/>
        <charset val="1"/>
      </rPr>
      <t xml:space="preserve">* </t>
    </r>
    <r>
      <rPr>
        <i/>
        <sz val="11"/>
        <color rgb="FF000000"/>
        <rFont val="Calibri"/>
        <family val="2"/>
        <charset val="1"/>
      </rPr>
      <t>Xi</t>
    </r>
  </si>
  <si>
    <t>ROSI</t>
  </si>
  <si>
    <t>Mitigation method</t>
  </si>
  <si>
    <t>Example</t>
  </si>
  <si>
    <t>IDS/IPS</t>
  </si>
  <si>
    <t>Anti-virus</t>
  </si>
  <si>
    <t>firewall</t>
  </si>
  <si>
    <t>encryption</t>
  </si>
  <si>
    <t>vpn</t>
  </si>
  <si>
    <t>personel training</t>
  </si>
  <si>
    <t>Examples of Security Measures:</t>
  </si>
  <si>
    <t>IDS - Intrusion Detection System</t>
  </si>
  <si>
    <t>Encryption</t>
  </si>
  <si>
    <t>Personnel Training</t>
  </si>
  <si>
    <t>Firewall</t>
  </si>
  <si>
    <t>Virtual Private Network</t>
  </si>
  <si>
    <t>Antivirus</t>
  </si>
  <si>
    <t xml:space="preserve">Conclusions: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</si>
</sst>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.##0"/>
    <numFmt numFmtId="166" formatCode="#,##0.0"/>
  </numFmts>
  <fonts count="13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6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2"/>
      <color rgb="FF000000"/>
      <name val="Calibri"/>
      <family val="2"/>
      <charset val="238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238"/>
    </font>
    <font>
      <b/>
      <sz val="12"/>
      <name val="Times New Roman"/>
      <family val="1"/>
    </font>
    <font>
      <i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u/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DCE6F2"/>
      </patternFill>
    </fill>
    <fill>
      <patternFill patternType="solid">
        <fgColor rgb="FFC6D9F1"/>
        <bgColor rgb="FFB9CDE5"/>
      </patternFill>
    </fill>
    <fill>
      <patternFill patternType="solid">
        <fgColor rgb="FFFFFF00"/>
        <bgColor rgb="FFFFFF00"/>
      </patternFill>
    </fill>
    <fill>
      <patternFill patternType="solid">
        <fgColor rgb="FFDCE6F2"/>
        <bgColor rgb="FFDDD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FFCCCC"/>
      </patternFill>
    </fill>
    <fill>
      <patternFill patternType="solid">
        <fgColor rgb="FF00FF99"/>
        <bgColor rgb="FF00FFFF"/>
      </patternFill>
    </fill>
    <fill>
      <patternFill patternType="solid">
        <fgColor rgb="FFC3D69B"/>
        <bgColor rgb="FFB9CDE5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55">
    <xf numFmtId="0" fontId="0" fillId="0" borderId="0" xfId="0"/>
    <xf numFmtId="0" fontId="0" fillId="0" borderId="4" xfId="0" applyFont="1" applyBorder="1"/>
    <xf numFmtId="3" fontId="0" fillId="4" borderId="5" xfId="0" applyNumberFormat="1" applyFill="1" applyBorder="1"/>
    <xf numFmtId="0" fontId="0" fillId="0" borderId="6" xfId="0" applyFont="1" applyBorder="1"/>
    <xf numFmtId="3" fontId="0" fillId="4" borderId="7" xfId="0" applyNumberFormat="1" applyFill="1" applyBorder="1"/>
    <xf numFmtId="0" fontId="0" fillId="0" borderId="8" xfId="0" applyFont="1" applyBorder="1"/>
    <xf numFmtId="0" fontId="0" fillId="4" borderId="4" xfId="0" applyFill="1" applyBorder="1"/>
    <xf numFmtId="0" fontId="0" fillId="0" borderId="9" xfId="0" applyFont="1" applyBorder="1"/>
    <xf numFmtId="3" fontId="0" fillId="4" borderId="10" xfId="0" applyNumberFormat="1" applyFill="1" applyBorder="1"/>
    <xf numFmtId="0" fontId="0" fillId="0" borderId="11" xfId="0" applyFont="1" applyBorder="1"/>
    <xf numFmtId="0" fontId="0" fillId="4" borderId="12" xfId="0" applyFill="1" applyBorder="1"/>
    <xf numFmtId="0" fontId="0" fillId="0" borderId="13" xfId="0" applyFont="1" applyBorder="1"/>
    <xf numFmtId="3" fontId="0" fillId="4" borderId="14" xfId="0" applyNumberFormat="1" applyFill="1" applyBorder="1"/>
    <xf numFmtId="0" fontId="0" fillId="0" borderId="15" xfId="0" applyFont="1" applyBorder="1"/>
    <xf numFmtId="3" fontId="0" fillId="0" borderId="16" xfId="0" applyNumberFormat="1" applyBorder="1"/>
    <xf numFmtId="0" fontId="0" fillId="0" borderId="17" xfId="0" applyFont="1" applyBorder="1"/>
    <xf numFmtId="3" fontId="0" fillId="0" borderId="18" xfId="0" applyNumberFormat="1" applyBorder="1"/>
    <xf numFmtId="0" fontId="0" fillId="0" borderId="19" xfId="0" applyFont="1" applyBorder="1"/>
    <xf numFmtId="0" fontId="0" fillId="0" borderId="20" xfId="0" applyFont="1" applyBorder="1"/>
    <xf numFmtId="0" fontId="0" fillId="0" borderId="21" xfId="0" applyBorder="1"/>
    <xf numFmtId="3" fontId="0" fillId="0" borderId="22" xfId="0" applyNumberFormat="1" applyBorder="1"/>
    <xf numFmtId="0" fontId="0" fillId="0" borderId="23" xfId="0" applyFont="1" applyBorder="1"/>
    <xf numFmtId="0" fontId="4" fillId="0" borderId="4" xfId="0" applyFont="1" applyBorder="1" applyAlignment="1">
      <alignment horizontal="left"/>
    </xf>
    <xf numFmtId="0" fontId="0" fillId="0" borderId="0" xfId="0" applyBorder="1"/>
    <xf numFmtId="0" fontId="0" fillId="0" borderId="11" xfId="0" applyFont="1" applyBorder="1" applyAlignment="1">
      <alignment horizontal="right"/>
    </xf>
    <xf numFmtId="3" fontId="0" fillId="4" borderId="0" xfId="0" applyNumberFormat="1" applyFill="1" applyBorder="1"/>
    <xf numFmtId="0" fontId="0" fillId="0" borderId="0" xfId="0" applyFont="1" applyBorder="1" applyAlignment="1">
      <alignment horizontal="right"/>
    </xf>
    <xf numFmtId="0" fontId="0" fillId="0" borderId="24" xfId="0" applyFont="1" applyBorder="1" applyAlignment="1">
      <alignment horizontal="right"/>
    </xf>
    <xf numFmtId="3" fontId="0" fillId="0" borderId="21" xfId="0" applyNumberFormat="1" applyBorder="1"/>
    <xf numFmtId="0" fontId="0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3" fontId="0" fillId="4" borderId="4" xfId="0" applyNumberFormat="1" applyFill="1" applyBorder="1"/>
    <xf numFmtId="0" fontId="0" fillId="4" borderId="20" xfId="0" applyFill="1" applyBorder="1"/>
    <xf numFmtId="0" fontId="0" fillId="0" borderId="28" xfId="0" applyFont="1" applyBorder="1"/>
    <xf numFmtId="0" fontId="0" fillId="0" borderId="28" xfId="0" applyBorder="1"/>
    <xf numFmtId="0" fontId="0" fillId="0" borderId="29" xfId="0" applyFont="1" applyBorder="1"/>
    <xf numFmtId="0" fontId="0" fillId="0" borderId="30" xfId="0" applyBorder="1"/>
    <xf numFmtId="3" fontId="0" fillId="4" borderId="20" xfId="0" applyNumberFormat="1" applyFill="1" applyBorder="1"/>
    <xf numFmtId="0" fontId="0" fillId="0" borderId="0" xfId="0" applyFont="1" applyAlignment="1">
      <alignment horizontal="right"/>
    </xf>
    <xf numFmtId="3" fontId="0" fillId="0" borderId="0" xfId="0" applyNumberFormat="1"/>
    <xf numFmtId="0" fontId="4" fillId="3" borderId="25" xfId="0" applyFont="1" applyFill="1" applyBorder="1"/>
    <xf numFmtId="0" fontId="4" fillId="3" borderId="26" xfId="0" applyFont="1" applyFill="1" applyBorder="1"/>
    <xf numFmtId="0" fontId="0" fillId="3" borderId="26" xfId="0" applyFill="1" applyBorder="1"/>
    <xf numFmtId="0" fontId="0" fillId="0" borderId="4" xfId="0" applyBorder="1"/>
    <xf numFmtId="2" fontId="0" fillId="0" borderId="20" xfId="0" applyNumberFormat="1" applyBorder="1"/>
    <xf numFmtId="0" fontId="4" fillId="3" borderId="26" xfId="0" applyFont="1" applyFill="1" applyBorder="1" applyAlignment="1"/>
    <xf numFmtId="0" fontId="4" fillId="3" borderId="26" xfId="0" applyFont="1" applyFill="1" applyBorder="1" applyAlignment="1">
      <alignment horizontal="center"/>
    </xf>
    <xf numFmtId="0" fontId="0" fillId="0" borderId="5" xfId="0" applyBorder="1"/>
    <xf numFmtId="0" fontId="0" fillId="0" borderId="31" xfId="0" applyFont="1" applyBorder="1"/>
    <xf numFmtId="3" fontId="0" fillId="0" borderId="5" xfId="0" applyNumberFormat="1" applyBorder="1"/>
    <xf numFmtId="3" fontId="0" fillId="0" borderId="8" xfId="0" applyNumberFormat="1" applyFont="1" applyBorder="1"/>
    <xf numFmtId="0" fontId="0" fillId="0" borderId="12" xfId="0" applyBorder="1"/>
    <xf numFmtId="0" fontId="0" fillId="0" borderId="32" xfId="0" applyFont="1" applyBorder="1"/>
    <xf numFmtId="3" fontId="0" fillId="0" borderId="12" xfId="0" applyNumberFormat="1" applyBorder="1"/>
    <xf numFmtId="3" fontId="0" fillId="0" borderId="15" xfId="0" applyNumberFormat="1" applyFont="1" applyBorder="1"/>
    <xf numFmtId="0" fontId="0" fillId="0" borderId="16" xfId="0" applyBorder="1"/>
    <xf numFmtId="0" fontId="0" fillId="0" borderId="33" xfId="0" applyFont="1" applyBorder="1"/>
    <xf numFmtId="3" fontId="0" fillId="0" borderId="19" xfId="0" applyNumberFormat="1" applyFont="1" applyBorder="1"/>
    <xf numFmtId="3" fontId="0" fillId="0" borderId="33" xfId="0" applyNumberFormat="1" applyBorder="1"/>
    <xf numFmtId="3" fontId="0" fillId="0" borderId="31" xfId="0" applyNumberFormat="1" applyBorder="1"/>
    <xf numFmtId="3" fontId="0" fillId="0" borderId="32" xfId="0" applyNumberFormat="1" applyBorder="1"/>
    <xf numFmtId="3" fontId="0" fillId="0" borderId="4" xfId="0" applyNumberFormat="1" applyBorder="1"/>
    <xf numFmtId="3" fontId="0" fillId="0" borderId="11" xfId="0" applyNumberFormat="1" applyFont="1" applyBorder="1"/>
    <xf numFmtId="3" fontId="0" fillId="0" borderId="0" xfId="0" applyNumberFormat="1" applyBorder="1"/>
    <xf numFmtId="3" fontId="0" fillId="0" borderId="20" xfId="0" applyNumberFormat="1" applyBorder="1"/>
    <xf numFmtId="3" fontId="0" fillId="0" borderId="24" xfId="0" applyNumberFormat="1" applyFont="1" applyBorder="1"/>
    <xf numFmtId="0" fontId="0" fillId="3" borderId="20" xfId="0" applyFill="1" applyBorder="1"/>
    <xf numFmtId="3" fontId="4" fillId="3" borderId="20" xfId="0" applyNumberFormat="1" applyFont="1" applyFill="1" applyBorder="1"/>
    <xf numFmtId="3" fontId="4" fillId="3" borderId="24" xfId="0" applyNumberFormat="1" applyFont="1" applyFill="1" applyBorder="1"/>
    <xf numFmtId="3" fontId="4" fillId="3" borderId="21" xfId="0" applyNumberFormat="1" applyFont="1" applyFill="1" applyBorder="1"/>
    <xf numFmtId="0" fontId="0" fillId="4" borderId="0" xfId="0" applyFill="1" applyBorder="1"/>
    <xf numFmtId="164" fontId="0" fillId="4" borderId="0" xfId="0" applyNumberFormat="1" applyFill="1" applyBorder="1"/>
    <xf numFmtId="0" fontId="0" fillId="4" borderId="21" xfId="0" applyFill="1" applyBorder="1"/>
    <xf numFmtId="0" fontId="0" fillId="0" borderId="0" xfId="0" applyFont="1" applyBorder="1"/>
    <xf numFmtId="164" fontId="0" fillId="0" borderId="4" xfId="0" applyNumberFormat="1" applyBorder="1"/>
    <xf numFmtId="164" fontId="0" fillId="0" borderId="0" xfId="0" applyNumberFormat="1" applyBorder="1"/>
    <xf numFmtId="0" fontId="0" fillId="0" borderId="21" xfId="0" applyFont="1" applyBorder="1"/>
    <xf numFmtId="1" fontId="0" fillId="0" borderId="0" xfId="0" applyNumberFormat="1"/>
    <xf numFmtId="0" fontId="0" fillId="4" borderId="25" xfId="0" applyFill="1" applyBorder="1"/>
    <xf numFmtId="165" fontId="0" fillId="0" borderId="33" xfId="0" applyNumberFormat="1" applyBorder="1"/>
    <xf numFmtId="0" fontId="0" fillId="5" borderId="5" xfId="0" applyFill="1" applyBorder="1"/>
    <xf numFmtId="0" fontId="0" fillId="5" borderId="31" xfId="0" applyFont="1" applyFill="1" applyBorder="1"/>
    <xf numFmtId="3" fontId="0" fillId="5" borderId="5" xfId="0" applyNumberFormat="1" applyFill="1" applyBorder="1"/>
    <xf numFmtId="3" fontId="0" fillId="5" borderId="8" xfId="0" applyNumberFormat="1" applyFont="1" applyFill="1" applyBorder="1"/>
    <xf numFmtId="3" fontId="0" fillId="5" borderId="31" xfId="0" applyNumberFormat="1" applyFill="1" applyBorder="1"/>
    <xf numFmtId="0" fontId="0" fillId="5" borderId="8" xfId="0" applyFont="1" applyFill="1" applyBorder="1"/>
    <xf numFmtId="0" fontId="0" fillId="5" borderId="4" xfId="0" applyFill="1" applyBorder="1"/>
    <xf numFmtId="0" fontId="0" fillId="5" borderId="0" xfId="0" applyFont="1" applyFill="1" applyBorder="1"/>
    <xf numFmtId="3" fontId="0" fillId="5" borderId="4" xfId="0" applyNumberFormat="1" applyFill="1" applyBorder="1"/>
    <xf numFmtId="3" fontId="0" fillId="5" borderId="11" xfId="0" applyNumberFormat="1" applyFont="1" applyFill="1" applyBorder="1"/>
    <xf numFmtId="3" fontId="0" fillId="5" borderId="0" xfId="0" applyNumberFormat="1" applyFill="1" applyBorder="1"/>
    <xf numFmtId="0" fontId="0" fillId="5" borderId="11" xfId="0" applyFont="1" applyFill="1" applyBorder="1"/>
    <xf numFmtId="165" fontId="5" fillId="3" borderId="32" xfId="0" applyNumberFormat="1" applyFont="1" applyFill="1" applyBorder="1"/>
    <xf numFmtId="0" fontId="4" fillId="3" borderId="26" xfId="0" applyFont="1" applyFill="1" applyBorder="1" applyAlignment="1">
      <alignment vertical="center" wrapText="1"/>
    </xf>
    <xf numFmtId="0" fontId="0" fillId="0" borderId="11" xfId="0" applyBorder="1"/>
    <xf numFmtId="0" fontId="0" fillId="3" borderId="27" xfId="0" applyFill="1" applyBorder="1"/>
    <xf numFmtId="0" fontId="0" fillId="4" borderId="0" xfId="0" applyFill="1"/>
    <xf numFmtId="0" fontId="6" fillId="0" borderId="0" xfId="0" applyFont="1"/>
    <xf numFmtId="0" fontId="3" fillId="6" borderId="29" xfId="0" applyFont="1" applyFill="1" applyBorder="1" applyAlignment="1">
      <alignment horizontal="center"/>
    </xf>
    <xf numFmtId="0" fontId="3" fillId="6" borderId="28" xfId="0" applyFont="1" applyFill="1" applyBorder="1" applyAlignment="1">
      <alignment horizontal="center"/>
    </xf>
    <xf numFmtId="0" fontId="3" fillId="6" borderId="30" xfId="0" applyFont="1" applyFill="1" applyBorder="1" applyAlignment="1">
      <alignment horizontal="center"/>
    </xf>
    <xf numFmtId="0" fontId="4" fillId="0" borderId="36" xfId="0" applyFont="1" applyBorder="1"/>
    <xf numFmtId="0" fontId="0" fillId="0" borderId="4" xfId="0" applyFont="1" applyBorder="1" applyAlignment="1">
      <alignment horizontal="right"/>
    </xf>
    <xf numFmtId="0" fontId="0" fillId="4" borderId="11" xfId="0" applyFill="1" applyBorder="1"/>
    <xf numFmtId="0" fontId="4" fillId="7" borderId="37" xfId="0" applyFont="1" applyFill="1" applyBorder="1"/>
    <xf numFmtId="0" fontId="0" fillId="7" borderId="21" xfId="0" applyFill="1" applyBorder="1"/>
    <xf numFmtId="0" fontId="3" fillId="7" borderId="21" xfId="0" applyFont="1" applyFill="1" applyBorder="1"/>
    <xf numFmtId="3" fontId="3" fillId="7" borderId="21" xfId="0" applyNumberFormat="1" applyFont="1" applyFill="1" applyBorder="1"/>
    <xf numFmtId="0" fontId="3" fillId="7" borderId="20" xfId="0" applyFont="1" applyFill="1" applyBorder="1"/>
    <xf numFmtId="0" fontId="0" fillId="7" borderId="24" xfId="0" applyFill="1" applyBorder="1"/>
    <xf numFmtId="0" fontId="7" fillId="0" borderId="0" xfId="0" applyFont="1" applyAlignment="1">
      <alignment vertical="top"/>
    </xf>
    <xf numFmtId="0" fontId="5" fillId="8" borderId="18" xfId="0" applyFont="1" applyFill="1" applyBorder="1" applyAlignment="1">
      <alignment vertical="center"/>
    </xf>
    <xf numFmtId="0" fontId="0" fillId="9" borderId="18" xfId="0" applyFont="1" applyFill="1" applyBorder="1" applyAlignment="1">
      <alignment vertical="center"/>
    </xf>
    <xf numFmtId="0" fontId="0" fillId="9" borderId="14" xfId="0" applyFont="1" applyFill="1" applyBorder="1" applyAlignment="1">
      <alignment horizontal="center" vertical="center"/>
    </xf>
    <xf numFmtId="0" fontId="0" fillId="9" borderId="32" xfId="0" applyFont="1" applyFill="1" applyBorder="1" applyAlignment="1">
      <alignment horizontal="center" vertical="center"/>
    </xf>
    <xf numFmtId="0" fontId="0" fillId="9" borderId="13" xfId="0" applyFont="1" applyFill="1" applyBorder="1" applyAlignment="1">
      <alignment horizontal="center" vertical="center"/>
    </xf>
    <xf numFmtId="0" fontId="0" fillId="0" borderId="18" xfId="0" applyFont="1" applyBorder="1"/>
    <xf numFmtId="165" fontId="0" fillId="4" borderId="39" xfId="0" applyNumberFormat="1" applyFill="1" applyBorder="1"/>
    <xf numFmtId="166" fontId="0" fillId="4" borderId="14" xfId="0" applyNumberFormat="1" applyFill="1" applyBorder="1"/>
    <xf numFmtId="166" fontId="0" fillId="4" borderId="32" xfId="0" applyNumberFormat="1" applyFill="1" applyBorder="1"/>
    <xf numFmtId="166" fontId="0" fillId="4" borderId="13" xfId="0" applyNumberFormat="1" applyFill="1" applyBorder="1"/>
    <xf numFmtId="165" fontId="0" fillId="0" borderId="14" xfId="0" applyNumberFormat="1" applyBorder="1"/>
    <xf numFmtId="165" fontId="0" fillId="0" borderId="32" xfId="0" applyNumberFormat="1" applyBorder="1"/>
    <xf numFmtId="165" fontId="0" fillId="0" borderId="13" xfId="0" applyNumberFormat="1" applyBorder="1"/>
    <xf numFmtId="165" fontId="0" fillId="0" borderId="39" xfId="0" applyNumberFormat="1" applyBorder="1"/>
    <xf numFmtId="164" fontId="10" fillId="0" borderId="13" xfId="0" applyNumberFormat="1" applyFont="1" applyBorder="1" applyAlignment="1">
      <alignment horizontal="center"/>
    </xf>
    <xf numFmtId="0" fontId="0" fillId="0" borderId="7" xfId="0" applyBorder="1"/>
    <xf numFmtId="0" fontId="0" fillId="0" borderId="10" xfId="0" applyBorder="1"/>
    <xf numFmtId="0" fontId="0" fillId="0" borderId="14" xfId="0" applyBorder="1"/>
    <xf numFmtId="0" fontId="11" fillId="0" borderId="0" xfId="0" applyFont="1"/>
    <xf numFmtId="0" fontId="12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0" fillId="0" borderId="0" xfId="0" applyFont="1" applyFill="1" applyBorder="1"/>
    <xf numFmtId="0" fontId="0" fillId="0" borderId="32" xfId="0" applyBorder="1"/>
    <xf numFmtId="0" fontId="4" fillId="3" borderId="3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right"/>
    </xf>
    <xf numFmtId="0" fontId="4" fillId="3" borderId="34" xfId="0" applyFont="1" applyFill="1" applyBorder="1" applyAlignment="1">
      <alignment horizontal="center"/>
    </xf>
    <xf numFmtId="0" fontId="0" fillId="0" borderId="20" xfId="0" applyFont="1" applyBorder="1" applyAlignment="1">
      <alignment horizontal="left" wrapText="1"/>
    </xf>
    <xf numFmtId="0" fontId="4" fillId="6" borderId="1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center"/>
    </xf>
    <xf numFmtId="0" fontId="6" fillId="6" borderId="35" xfId="0" applyFont="1" applyFill="1" applyBorder="1" applyAlignment="1">
      <alignment horizontal="center"/>
    </xf>
    <xf numFmtId="0" fontId="9" fillId="9" borderId="17" xfId="0" applyFont="1" applyFill="1" applyBorder="1" applyAlignment="1">
      <alignment horizontal="center" vertical="center" wrapText="1"/>
    </xf>
    <xf numFmtId="0" fontId="0" fillId="9" borderId="38" xfId="0" applyFont="1" applyFill="1" applyBorder="1" applyAlignment="1">
      <alignment horizontal="center" vertical="center" wrapText="1"/>
    </xf>
    <xf numFmtId="0" fontId="0" fillId="8" borderId="38" xfId="0" applyFont="1" applyFill="1" applyBorder="1" applyAlignment="1">
      <alignment horizontal="center" vertical="center"/>
    </xf>
    <xf numFmtId="0" fontId="8" fillId="8" borderId="38" xfId="0" applyFont="1" applyFill="1" applyBorder="1" applyAlignment="1">
      <alignment horizontal="center" vertical="center"/>
    </xf>
    <xf numFmtId="0" fontId="8" fillId="9" borderId="38" xfId="0" applyFont="1" applyFill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99"/>
      <rgbColor rgb="FF800000"/>
      <rgbColor rgb="FF006600"/>
      <rgbColor rgb="FF000080"/>
      <rgbColor rgb="FF996600"/>
      <rgbColor rgb="FF800080"/>
      <rgbColor rgb="FF008080"/>
      <rgbColor rgb="FFB9CDE5"/>
      <rgbColor rgb="FF808080"/>
      <rgbColor rgb="FF9999FF"/>
      <rgbColor rgb="FFC0504D"/>
      <rgbColor rgb="FFFFFFCC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C3D69B"/>
      <rgbColor rgb="FFFFCCCC"/>
      <rgbColor rgb="FFB3A2C7"/>
      <rgbColor rgb="FFFAC090"/>
      <rgbColor rgb="FF558ED5"/>
      <rgbColor rgb="FF33CCCC"/>
      <rgbColor rgb="FF99CC00"/>
      <rgbColor rgb="FFFFCC00"/>
      <rgbColor rgb="FFFF9900"/>
      <rgbColor rgb="FFFF6600"/>
      <rgbColor rgb="FF4F81BD"/>
      <rgbColor rgb="FF878787"/>
      <rgbColor rgb="FF003366"/>
      <rgbColor rgb="FF948A54"/>
      <rgbColor rgb="FF003300"/>
      <rgbColor rgb="FF40404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cat>
            <c:strRef>
              <c:f>Comparison!$C$5:$L$5</c:f>
              <c:strCache>
                <c:ptCount val="10"/>
                <c:pt idx="0">
                  <c:v>Spam</c:v>
                </c:pt>
                <c:pt idx="1">
                  <c:v>Virus</c:v>
                </c:pt>
                <c:pt idx="2">
                  <c:v>DDoS</c:v>
                </c:pt>
                <c:pt idx="3">
                  <c:v>Data theft</c:v>
                </c:pt>
                <c:pt idx="4">
                  <c:v>Botnet</c:v>
                </c:pt>
                <c:pt idx="5">
                  <c:v>Spam</c:v>
                </c:pt>
                <c:pt idx="6">
                  <c:v>Virus</c:v>
                </c:pt>
                <c:pt idx="7">
                  <c:v>DDoS</c:v>
                </c:pt>
                <c:pt idx="8">
                  <c:v>Data theft</c:v>
                </c:pt>
                <c:pt idx="9">
                  <c:v>Botnet</c:v>
                </c:pt>
              </c:strCache>
            </c:strRef>
          </c:cat>
          <c:val>
            <c:numRef>
              <c:f>Comparison!$C$6:$L$6</c:f>
              <c:numCache>
                <c:formatCode>#,##0</c:formatCode>
                <c:ptCount val="10"/>
                <c:pt idx="0" formatCode="General">
                  <c:v>0</c:v>
                </c:pt>
                <c:pt idx="1">
                  <c:v>29564.113849765257</c:v>
                </c:pt>
                <c:pt idx="2">
                  <c:v>75549.59739171328</c:v>
                </c:pt>
                <c:pt idx="3">
                  <c:v>2288336.7077464792</c:v>
                </c:pt>
                <c:pt idx="4">
                  <c:v>45040.958039906109</c:v>
                </c:pt>
                <c:pt idx="5" formatCode="General">
                  <c:v>0</c:v>
                </c:pt>
                <c:pt idx="6">
                  <c:v>55187.624352060324</c:v>
                </c:pt>
                <c:pt idx="7">
                  <c:v>19939.166666666668</c:v>
                </c:pt>
                <c:pt idx="8">
                  <c:v>935650.82159624412</c:v>
                </c:pt>
                <c:pt idx="9">
                  <c:v>70143.84242957746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2-4A4B-8F17-9F3AE5ACBFCA}"/>
            </c:ext>
          </c:extLst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invertIfNegative val="0"/>
          <c:cat>
            <c:strRef>
              <c:f>Comparison!$C$5:$L$5</c:f>
              <c:strCache>
                <c:ptCount val="10"/>
                <c:pt idx="0">
                  <c:v>Spam</c:v>
                </c:pt>
                <c:pt idx="1">
                  <c:v>Virus</c:v>
                </c:pt>
                <c:pt idx="2">
                  <c:v>DDoS</c:v>
                </c:pt>
                <c:pt idx="3">
                  <c:v>Data theft</c:v>
                </c:pt>
                <c:pt idx="4">
                  <c:v>Botnet</c:v>
                </c:pt>
                <c:pt idx="5">
                  <c:v>Spam</c:v>
                </c:pt>
                <c:pt idx="6">
                  <c:v>Virus</c:v>
                </c:pt>
                <c:pt idx="7">
                  <c:v>DDoS</c:v>
                </c:pt>
                <c:pt idx="8">
                  <c:v>Data theft</c:v>
                </c:pt>
                <c:pt idx="9">
                  <c:v>Botnet</c:v>
                </c:pt>
              </c:strCache>
            </c:strRef>
          </c:cat>
          <c:val>
            <c:numRef>
              <c:f>Comparison!$C$10:$L$10</c:f>
              <c:numCache>
                <c:formatCode>#,##0</c:formatCode>
                <c:ptCount val="10"/>
                <c:pt idx="0">
                  <c:v>19528.041666666672</c:v>
                </c:pt>
                <c:pt idx="1">
                  <c:v>14782.056924882629</c:v>
                </c:pt>
                <c:pt idx="2">
                  <c:v>151099.19478342656</c:v>
                </c:pt>
                <c:pt idx="3">
                  <c:v>457667.34154929587</c:v>
                </c:pt>
                <c:pt idx="4">
                  <c:v>4504.0958039906109</c:v>
                </c:pt>
                <c:pt idx="5">
                  <c:v>30510.5</c:v>
                </c:pt>
                <c:pt idx="6">
                  <c:v>16556.287305618098</c:v>
                </c:pt>
                <c:pt idx="7">
                  <c:v>398.78333333333336</c:v>
                </c:pt>
                <c:pt idx="8">
                  <c:v>3742603.2863849765</c:v>
                </c:pt>
                <c:pt idx="9">
                  <c:v>14028.768485915492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2-4A4B-8F17-9F3AE5ACB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71584"/>
        <c:axId val="39173504"/>
      </c:barChart>
      <c:catAx>
        <c:axId val="3917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9173504"/>
        <c:crosses val="autoZero"/>
        <c:auto val="1"/>
        <c:lblAlgn val="ctr"/>
        <c:lblOffset val="100"/>
        <c:noMultiLvlLbl val="0"/>
      </c:catAx>
      <c:valAx>
        <c:axId val="391735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91715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1609560</xdr:colOff>
      <xdr:row>12</xdr:row>
      <xdr:rowOff>119160</xdr:rowOff>
    </xdr:from>
    <xdr:to>
      <xdr:col>12</xdr:col>
      <xdr:colOff>1845</xdr:colOff>
      <xdr:row>27</xdr:row>
      <xdr:rowOff>4320</xdr:rowOff>
    </xdr:to>
    <xdr:graphicFrame macro="">
      <xdr:nvGraphicFramePr>
        <xdr:cNvPr id="2" name="Wykres 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04040"/>
  </sheetPr>
  <dimension ref="A1:J22"/>
  <sheetViews>
    <sheetView zoomScaleNormal="100" workbookViewId="0">
      <selection activeCell="L16" sqref="L16"/>
    </sheetView>
  </sheetViews>
  <sheetFormatPr defaultRowHeight="15"/>
  <cols>
    <col min="1" max="1" width="3.85546875" customWidth="1"/>
    <col min="2" max="2" width="52.5703125" customWidth="1"/>
    <col min="3" max="3" width="13.7109375" customWidth="1"/>
    <col min="4" max="4" width="8.7109375" customWidth="1"/>
    <col min="5" max="5" width="12.5703125" customWidth="1"/>
    <col min="6" max="6" width="10" customWidth="1"/>
    <col min="7" max="7" width="8.5703125" customWidth="1"/>
    <col min="8" max="8" width="15.28515625" customWidth="1"/>
    <col min="9" max="9" width="10.28515625" customWidth="1"/>
    <col min="10" max="10" width="10" customWidth="1"/>
    <col min="11" max="1025" width="8.5703125" customWidth="1"/>
  </cols>
  <sheetData>
    <row r="1" spans="2:10">
      <c r="B1" t="s">
        <v>0</v>
      </c>
    </row>
    <row r="3" spans="2:10" ht="21">
      <c r="B3" s="137" t="s">
        <v>1</v>
      </c>
      <c r="C3" s="138" t="s">
        <v>2</v>
      </c>
      <c r="D3" s="138"/>
      <c r="E3" s="138"/>
      <c r="F3" s="138"/>
      <c r="G3" s="138" t="s">
        <v>3</v>
      </c>
      <c r="H3" s="138"/>
      <c r="I3" s="138"/>
      <c r="J3" s="138"/>
    </row>
    <row r="4" spans="2:10">
      <c r="B4" s="137"/>
      <c r="C4" s="139" t="s">
        <v>4</v>
      </c>
      <c r="D4" s="139"/>
      <c r="E4" s="140" t="s">
        <v>5</v>
      </c>
      <c r="F4" s="140"/>
      <c r="G4" s="139" t="s">
        <v>4</v>
      </c>
      <c r="H4" s="139"/>
      <c r="I4" s="140" t="s">
        <v>5</v>
      </c>
      <c r="J4" s="140"/>
    </row>
    <row r="5" spans="2:10">
      <c r="B5" s="1" t="s">
        <v>6</v>
      </c>
      <c r="C5" s="2">
        <v>15</v>
      </c>
      <c r="D5" s="3" t="s">
        <v>7</v>
      </c>
      <c r="E5" s="4">
        <v>35000</v>
      </c>
      <c r="F5" s="5" t="s">
        <v>8</v>
      </c>
      <c r="G5" s="2">
        <v>250</v>
      </c>
      <c r="H5" s="3" t="s">
        <v>7</v>
      </c>
      <c r="I5" s="4">
        <v>35000</v>
      </c>
      <c r="J5" s="5" t="s">
        <v>8</v>
      </c>
    </row>
    <row r="6" spans="2:10">
      <c r="B6" s="1" t="s">
        <v>9</v>
      </c>
      <c r="C6" s="6">
        <v>3</v>
      </c>
      <c r="D6" s="7" t="s">
        <v>7</v>
      </c>
      <c r="E6" s="8">
        <v>45000</v>
      </c>
      <c r="F6" s="9" t="s">
        <v>8</v>
      </c>
      <c r="G6" s="6">
        <v>10</v>
      </c>
      <c r="H6" s="7" t="s">
        <v>7</v>
      </c>
      <c r="I6" s="8">
        <v>50000</v>
      </c>
      <c r="J6" s="9" t="s">
        <v>8</v>
      </c>
    </row>
    <row r="7" spans="2:10">
      <c r="B7" s="1" t="s">
        <v>10</v>
      </c>
      <c r="C7" s="6">
        <v>1</v>
      </c>
      <c r="D7" s="7" t="s">
        <v>7</v>
      </c>
      <c r="E7" s="8">
        <v>90000</v>
      </c>
      <c r="F7" s="9" t="s">
        <v>8</v>
      </c>
      <c r="G7" s="6">
        <v>4</v>
      </c>
      <c r="H7" s="7" t="s">
        <v>7</v>
      </c>
      <c r="I7" s="8">
        <v>60000</v>
      </c>
      <c r="J7" s="9" t="s">
        <v>8</v>
      </c>
    </row>
    <row r="8" spans="2:10">
      <c r="B8" s="1" t="s">
        <v>11</v>
      </c>
      <c r="C8" s="6">
        <v>2</v>
      </c>
      <c r="D8" s="7" t="s">
        <v>7</v>
      </c>
      <c r="E8" s="8">
        <v>50000</v>
      </c>
      <c r="F8" s="9" t="s">
        <v>8</v>
      </c>
      <c r="G8" s="6">
        <v>3</v>
      </c>
      <c r="H8" s="7" t="s">
        <v>7</v>
      </c>
      <c r="I8" s="8">
        <v>70000</v>
      </c>
      <c r="J8" s="9" t="s">
        <v>8</v>
      </c>
    </row>
    <row r="9" spans="2:10">
      <c r="B9" s="1" t="s">
        <v>12</v>
      </c>
      <c r="C9" s="10">
        <v>1</v>
      </c>
      <c r="D9" s="11" t="s">
        <v>7</v>
      </c>
      <c r="E9" s="12">
        <v>60000</v>
      </c>
      <c r="F9" s="13" t="s">
        <v>8</v>
      </c>
      <c r="G9" s="10">
        <v>2</v>
      </c>
      <c r="H9" s="11" t="s">
        <v>7</v>
      </c>
      <c r="I9" s="12">
        <v>60000</v>
      </c>
      <c r="J9" s="13" t="s">
        <v>8</v>
      </c>
    </row>
    <row r="10" spans="2:10">
      <c r="B10" s="1" t="s">
        <v>13</v>
      </c>
      <c r="C10" s="14">
        <f>SUM(C5:C9)</f>
        <v>22</v>
      </c>
      <c r="D10" s="15" t="s">
        <v>7</v>
      </c>
      <c r="E10" s="16">
        <f>SUMPRODUCT(C5:C9,E5:E9)</f>
        <v>910000</v>
      </c>
      <c r="F10" s="17" t="s">
        <v>8</v>
      </c>
      <c r="G10" s="14">
        <f>SUM(G5:G9)</f>
        <v>269</v>
      </c>
      <c r="H10" s="15" t="s">
        <v>7</v>
      </c>
      <c r="I10" s="16">
        <f>SUMPRODUCT(G5:G9,I5:I9)</f>
        <v>9820000</v>
      </c>
      <c r="J10" s="17" t="s">
        <v>8</v>
      </c>
    </row>
    <row r="11" spans="2:10">
      <c r="B11" s="18" t="s">
        <v>14</v>
      </c>
      <c r="C11" s="18"/>
      <c r="D11" s="19"/>
      <c r="E11" s="20">
        <f>E10/C10</f>
        <v>41363.63636363636</v>
      </c>
      <c r="F11" s="21" t="s">
        <v>8</v>
      </c>
      <c r="G11" s="18"/>
      <c r="H11" s="19"/>
      <c r="I11" s="20">
        <f>I10/G10</f>
        <v>36505.576208178441</v>
      </c>
      <c r="J11" s="21" t="s">
        <v>8</v>
      </c>
    </row>
    <row r="12" spans="2:10" ht="15.75">
      <c r="B12" s="22" t="s">
        <v>3</v>
      </c>
      <c r="C12" s="23"/>
      <c r="D12" s="23"/>
      <c r="E12" s="23"/>
      <c r="F12" s="24" t="s">
        <v>15</v>
      </c>
      <c r="G12" s="25">
        <v>1000</v>
      </c>
      <c r="H12" s="26" t="s">
        <v>16</v>
      </c>
      <c r="I12" s="25">
        <v>5000</v>
      </c>
      <c r="J12" s="9" t="s">
        <v>8</v>
      </c>
    </row>
    <row r="13" spans="2:10">
      <c r="B13" s="18"/>
      <c r="C13" s="19"/>
      <c r="D13" s="19"/>
      <c r="E13" s="19"/>
      <c r="F13" s="27" t="s">
        <v>17</v>
      </c>
      <c r="G13" s="28">
        <f>G10+G12</f>
        <v>1269</v>
      </c>
      <c r="H13" s="19" t="s">
        <v>18</v>
      </c>
      <c r="I13" s="28">
        <f>I10+G12*I12</f>
        <v>14820000</v>
      </c>
      <c r="J13" s="29" t="s">
        <v>8</v>
      </c>
    </row>
    <row r="14" spans="2:10" ht="15.75">
      <c r="B14" s="22" t="s">
        <v>2</v>
      </c>
      <c r="C14" s="1"/>
      <c r="D14" s="23"/>
      <c r="E14" s="23"/>
      <c r="F14" s="9"/>
      <c r="G14" s="30"/>
      <c r="H14" s="31"/>
      <c r="I14" s="31"/>
      <c r="J14" s="32"/>
    </row>
    <row r="15" spans="2:10">
      <c r="B15" s="1" t="s">
        <v>19</v>
      </c>
      <c r="C15" s="33">
        <v>300000000</v>
      </c>
      <c r="D15" s="23" t="s">
        <v>20</v>
      </c>
      <c r="E15" s="23"/>
      <c r="F15" s="9"/>
      <c r="G15" s="1"/>
      <c r="H15" s="23"/>
      <c r="I15" s="23"/>
      <c r="J15" s="9"/>
    </row>
    <row r="16" spans="2:10">
      <c r="B16" s="18" t="s">
        <v>21</v>
      </c>
      <c r="C16" s="34">
        <v>7</v>
      </c>
      <c r="D16" s="19" t="s">
        <v>22</v>
      </c>
      <c r="E16" s="19"/>
      <c r="F16" s="29"/>
      <c r="G16" s="18"/>
      <c r="H16" s="19"/>
      <c r="I16" s="19"/>
      <c r="J16" s="29"/>
    </row>
    <row r="17" spans="1:10">
      <c r="B17" s="35" t="s">
        <v>23</v>
      </c>
      <c r="C17" s="36">
        <f>52*5-11-26-10</f>
        <v>213</v>
      </c>
      <c r="D17" s="37" t="s">
        <v>24</v>
      </c>
      <c r="E17" s="37" t="s">
        <v>25</v>
      </c>
      <c r="F17" s="38"/>
      <c r="G17" s="35"/>
      <c r="H17" s="37"/>
      <c r="I17" s="37"/>
      <c r="J17" s="38"/>
    </row>
    <row r="18" spans="1:10">
      <c r="B18" s="1" t="s">
        <v>26</v>
      </c>
      <c r="C18" s="6">
        <v>30</v>
      </c>
      <c r="D18" s="23" t="s">
        <v>22</v>
      </c>
      <c r="E18" s="23"/>
      <c r="F18" s="9"/>
      <c r="G18" s="6">
        <v>35</v>
      </c>
      <c r="H18" s="23" t="s">
        <v>22</v>
      </c>
      <c r="I18" s="23"/>
      <c r="J18" s="9"/>
    </row>
    <row r="19" spans="1:10">
      <c r="B19" s="18" t="s">
        <v>27</v>
      </c>
      <c r="C19" s="34">
        <v>55</v>
      </c>
      <c r="D19" s="19" t="s">
        <v>22</v>
      </c>
      <c r="E19" s="19"/>
      <c r="F19" s="29"/>
      <c r="G19" s="39">
        <v>80</v>
      </c>
      <c r="H19" s="19" t="s">
        <v>22</v>
      </c>
      <c r="I19" s="19"/>
      <c r="J19" s="29"/>
    </row>
    <row r="21" spans="1:10">
      <c r="A21" s="40" t="s">
        <v>28</v>
      </c>
      <c r="B21" t="s">
        <v>29</v>
      </c>
      <c r="C21" s="41"/>
    </row>
    <row r="22" spans="1:10">
      <c r="A22" s="40" t="s">
        <v>30</v>
      </c>
      <c r="B22" t="s">
        <v>31</v>
      </c>
    </row>
  </sheetData>
  <mergeCells count="7">
    <mergeCell ref="B3:B4"/>
    <mergeCell ref="C3:F3"/>
    <mergeCell ref="G3:J3"/>
    <mergeCell ref="C4:D4"/>
    <mergeCell ref="E4:F4"/>
    <mergeCell ref="G4:H4"/>
    <mergeCell ref="I4:J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48A54"/>
  </sheetPr>
  <dimension ref="B2:J22"/>
  <sheetViews>
    <sheetView zoomScaleNormal="100" workbookViewId="0">
      <selection activeCell="J7" sqref="J7"/>
    </sheetView>
  </sheetViews>
  <sheetFormatPr defaultRowHeight="15"/>
  <cols>
    <col min="1" max="1" width="2.28515625" customWidth="1"/>
    <col min="2" max="2" width="3.85546875" customWidth="1"/>
    <col min="3" max="3" width="7.28515625" customWidth="1"/>
    <col min="4" max="4" width="66.28515625" customWidth="1"/>
    <col min="5" max="5" width="13.140625" customWidth="1"/>
    <col min="6" max="6" width="4.140625" customWidth="1"/>
    <col min="7" max="7" width="13" customWidth="1"/>
    <col min="8" max="8" width="12.42578125" customWidth="1"/>
    <col min="9" max="1025" width="8.5703125" customWidth="1"/>
  </cols>
  <sheetData>
    <row r="2" spans="2:10" ht="15.75" customHeight="1">
      <c r="B2" s="42" t="s">
        <v>32</v>
      </c>
      <c r="C2" s="43"/>
      <c r="D2" s="44"/>
      <c r="E2" s="44"/>
      <c r="F2" s="44"/>
      <c r="G2" s="141" t="s">
        <v>33</v>
      </c>
      <c r="H2" s="141"/>
    </row>
    <row r="3" spans="2:10">
      <c r="B3" s="1"/>
      <c r="C3" s="23" t="s">
        <v>34</v>
      </c>
      <c r="D3" s="23"/>
      <c r="E3" s="23"/>
      <c r="F3" s="23"/>
      <c r="G3" s="45">
        <v>400</v>
      </c>
      <c r="H3" s="9" t="s">
        <v>35</v>
      </c>
    </row>
    <row r="4" spans="2:10">
      <c r="B4" s="1"/>
      <c r="C4" s="23" t="s">
        <v>36</v>
      </c>
      <c r="D4" s="23"/>
      <c r="E4" s="23"/>
      <c r="F4" s="23"/>
      <c r="G4" s="6">
        <v>2</v>
      </c>
      <c r="H4" s="9" t="s">
        <v>22</v>
      </c>
      <c r="I4">
        <f>G3*G4/100</f>
        <v>8</v>
      </c>
      <c r="J4" t="s">
        <v>37</v>
      </c>
    </row>
    <row r="5" spans="2:10">
      <c r="B5" s="1"/>
      <c r="C5" s="23" t="s">
        <v>38</v>
      </c>
      <c r="D5" s="23"/>
      <c r="E5" s="23"/>
      <c r="F5" s="23"/>
      <c r="G5" s="6">
        <v>3</v>
      </c>
      <c r="H5" s="9" t="s">
        <v>39</v>
      </c>
    </row>
    <row r="6" spans="2:10">
      <c r="B6" s="1"/>
      <c r="C6" s="23"/>
      <c r="D6" s="23"/>
      <c r="E6" s="23"/>
      <c r="F6" s="23"/>
      <c r="G6" s="1"/>
      <c r="H6" s="9"/>
    </row>
    <row r="7" spans="2:10">
      <c r="B7" s="18"/>
      <c r="C7" s="19" t="s">
        <v>40</v>
      </c>
      <c r="D7" s="19"/>
      <c r="E7" s="19"/>
      <c r="F7" s="19"/>
      <c r="G7" s="46">
        <f>G5*G4*G3/100*Days_in_year/480/60</f>
        <v>0.17750000000000002</v>
      </c>
      <c r="H7" s="29" t="s">
        <v>24</v>
      </c>
    </row>
    <row r="9" spans="2:10" ht="15.75">
      <c r="B9" s="42" t="s">
        <v>41</v>
      </c>
      <c r="C9" s="47"/>
      <c r="D9" s="48" t="s">
        <v>42</v>
      </c>
      <c r="E9" s="142" t="s">
        <v>2</v>
      </c>
      <c r="F9" s="142"/>
      <c r="G9" s="143" t="s">
        <v>3</v>
      </c>
      <c r="H9" s="143"/>
    </row>
    <row r="10" spans="2:10">
      <c r="B10" s="49"/>
      <c r="C10" s="50" t="s">
        <v>43</v>
      </c>
      <c r="D10" s="50"/>
      <c r="E10" s="51">
        <f>Days_lost/Days_in_year*I_total_E*I_aver_sala*(1+I_other_pers_cost/100)</f>
        <v>985.83333333333326</v>
      </c>
      <c r="F10" s="52" t="s">
        <v>20</v>
      </c>
      <c r="G10" s="51">
        <f>Days_lost/Days_in_year*C_total_year_cost*(1+C_other_pers_cost/100)</f>
        <v>16672.5</v>
      </c>
      <c r="H10" s="5" t="s">
        <v>20</v>
      </c>
    </row>
    <row r="11" spans="2:10">
      <c r="B11" s="53"/>
      <c r="C11" s="54" t="s">
        <v>44</v>
      </c>
      <c r="D11" s="54"/>
      <c r="E11" s="55">
        <f>E10*I_other_cost/100</f>
        <v>542.20833333333326</v>
      </c>
      <c r="F11" s="56" t="s">
        <v>20</v>
      </c>
      <c r="G11" s="55">
        <f>G10*C_other_cost/100</f>
        <v>13338</v>
      </c>
      <c r="H11" s="13" t="s">
        <v>20</v>
      </c>
    </row>
    <row r="12" spans="2:10">
      <c r="B12" s="57"/>
      <c r="C12" s="58" t="s">
        <v>45</v>
      </c>
      <c r="D12" s="58"/>
      <c r="E12" s="14">
        <f>I_year_turnover*I_aver_margin/100*Days_lost/Days_in_year</f>
        <v>17500.000000000004</v>
      </c>
      <c r="F12" s="59" t="s">
        <v>20</v>
      </c>
      <c r="G12" s="60">
        <v>0</v>
      </c>
      <c r="H12" s="17" t="s">
        <v>20</v>
      </c>
    </row>
    <row r="13" spans="2:10">
      <c r="B13" s="49"/>
      <c r="C13" s="50" t="s">
        <v>46</v>
      </c>
      <c r="D13" s="50"/>
      <c r="E13" s="51">
        <v>0</v>
      </c>
      <c r="F13" s="52" t="s">
        <v>20</v>
      </c>
      <c r="G13" s="61">
        <v>0</v>
      </c>
      <c r="H13" s="5" t="s">
        <v>20</v>
      </c>
    </row>
    <row r="14" spans="2:10">
      <c r="B14" s="53"/>
      <c r="C14" s="54" t="s">
        <v>47</v>
      </c>
      <c r="D14" s="54"/>
      <c r="E14" s="55">
        <v>500</v>
      </c>
      <c r="F14" s="56" t="s">
        <v>20</v>
      </c>
      <c r="G14" s="62">
        <v>500</v>
      </c>
      <c r="H14" s="13" t="s">
        <v>20</v>
      </c>
    </row>
    <row r="15" spans="2:10">
      <c r="B15" s="49"/>
      <c r="C15" s="50" t="s">
        <v>48</v>
      </c>
      <c r="D15" s="50"/>
      <c r="E15" s="51">
        <f>SUM(E16:E18)</f>
        <v>0</v>
      </c>
      <c r="F15" s="52" t="s">
        <v>20</v>
      </c>
      <c r="G15" s="61">
        <f>SUM(G16:G18)</f>
        <v>0</v>
      </c>
      <c r="H15" s="5" t="s">
        <v>20</v>
      </c>
    </row>
    <row r="16" spans="2:10">
      <c r="B16" s="1"/>
      <c r="C16" s="23"/>
      <c r="D16" s="23" t="s">
        <v>49</v>
      </c>
      <c r="E16" s="63">
        <v>0</v>
      </c>
      <c r="F16" s="64" t="s">
        <v>20</v>
      </c>
      <c r="G16" s="65">
        <v>0</v>
      </c>
      <c r="H16" s="9" t="s">
        <v>20</v>
      </c>
    </row>
    <row r="17" spans="2:8">
      <c r="B17" s="1"/>
      <c r="C17" s="23"/>
      <c r="D17" s="23" t="s">
        <v>50</v>
      </c>
      <c r="E17" s="63">
        <v>0</v>
      </c>
      <c r="F17" s="64" t="s">
        <v>20</v>
      </c>
      <c r="G17" s="65">
        <v>0</v>
      </c>
      <c r="H17" s="9" t="s">
        <v>20</v>
      </c>
    </row>
    <row r="18" spans="2:8">
      <c r="B18" s="53"/>
      <c r="C18" s="54"/>
      <c r="D18" s="54" t="s">
        <v>51</v>
      </c>
      <c r="E18" s="55">
        <v>0</v>
      </c>
      <c r="F18" s="56" t="s">
        <v>20</v>
      </c>
      <c r="G18" s="62">
        <v>0</v>
      </c>
      <c r="H18" s="13" t="s">
        <v>20</v>
      </c>
    </row>
    <row r="19" spans="2:8">
      <c r="B19" s="1"/>
      <c r="C19" s="23" t="s">
        <v>52</v>
      </c>
      <c r="D19" s="23"/>
      <c r="E19" s="63">
        <f>SUM(E20:E21)</f>
        <v>0</v>
      </c>
      <c r="F19" s="64" t="s">
        <v>20</v>
      </c>
      <c r="G19" s="65">
        <f>SUM(G20:G21)</f>
        <v>0</v>
      </c>
      <c r="H19" s="9" t="s">
        <v>20</v>
      </c>
    </row>
    <row r="20" spans="2:8">
      <c r="B20" s="1"/>
      <c r="C20" s="23"/>
      <c r="D20" s="23" t="s">
        <v>53</v>
      </c>
      <c r="E20" s="63">
        <v>0</v>
      </c>
      <c r="F20" s="64" t="s">
        <v>20</v>
      </c>
      <c r="G20" s="65">
        <v>0</v>
      </c>
      <c r="H20" s="9" t="s">
        <v>20</v>
      </c>
    </row>
    <row r="21" spans="2:8">
      <c r="B21" s="18"/>
      <c r="C21" s="19"/>
      <c r="D21" s="19" t="s">
        <v>54</v>
      </c>
      <c r="E21" s="66">
        <v>0</v>
      </c>
      <c r="F21" s="67" t="s">
        <v>20</v>
      </c>
      <c r="G21" s="28">
        <v>0</v>
      </c>
      <c r="H21" s="29" t="s">
        <v>20</v>
      </c>
    </row>
    <row r="22" spans="2:8" ht="15.75">
      <c r="B22" s="68"/>
      <c r="C22" s="144" t="s">
        <v>55</v>
      </c>
      <c r="D22" s="144"/>
      <c r="E22" s="69">
        <f>E10+E11+E12+E13+E14+E15+E19</f>
        <v>19528.041666666672</v>
      </c>
      <c r="F22" s="70" t="s">
        <v>20</v>
      </c>
      <c r="G22" s="71">
        <f>G10+G11+G12+G13+G14+G15+G19</f>
        <v>30510.5</v>
      </c>
      <c r="H22" s="70" t="s">
        <v>20</v>
      </c>
    </row>
  </sheetData>
  <mergeCells count="4">
    <mergeCell ref="G2:H2"/>
    <mergeCell ref="E9:F9"/>
    <mergeCell ref="G9:H9"/>
    <mergeCell ref="C22:D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58ED5"/>
  </sheetPr>
  <dimension ref="B1:K34"/>
  <sheetViews>
    <sheetView zoomScaleNormal="100" workbookViewId="0">
      <selection activeCell="K7" sqref="K7"/>
    </sheetView>
  </sheetViews>
  <sheetFormatPr defaultRowHeight="15"/>
  <cols>
    <col min="1" max="1" width="3" customWidth="1"/>
    <col min="2" max="3" width="6" customWidth="1"/>
    <col min="4" max="4" width="5.140625" customWidth="1"/>
    <col min="5" max="5" width="63.28515625" customWidth="1"/>
    <col min="6" max="8" width="8.5703125" customWidth="1"/>
    <col min="9" max="9" width="9.85546875" customWidth="1"/>
    <col min="10" max="10" width="8.5703125" customWidth="1"/>
    <col min="11" max="11" width="9.85546875" customWidth="1"/>
    <col min="12" max="1025" width="8.5703125" customWidth="1"/>
  </cols>
  <sheetData>
    <row r="1" spans="2:11" ht="9.75" customHeight="1"/>
    <row r="2" spans="2:11" ht="15.75" customHeight="1">
      <c r="B2" s="42" t="s">
        <v>56</v>
      </c>
      <c r="C2" s="43"/>
      <c r="D2" s="43"/>
      <c r="E2" s="44"/>
      <c r="F2" s="141" t="s">
        <v>33</v>
      </c>
      <c r="G2" s="141"/>
      <c r="H2" s="141"/>
      <c r="I2" s="141"/>
    </row>
    <row r="3" spans="2:11">
      <c r="B3" s="1"/>
      <c r="C3" s="23" t="s">
        <v>57</v>
      </c>
      <c r="D3" s="23"/>
      <c r="E3" s="23"/>
      <c r="F3" s="1"/>
      <c r="G3" s="72">
        <v>20</v>
      </c>
      <c r="H3" s="23" t="s">
        <v>22</v>
      </c>
      <c r="I3" s="9"/>
    </row>
    <row r="4" spans="2:11">
      <c r="B4" s="1"/>
      <c r="C4" s="23" t="s">
        <v>58</v>
      </c>
      <c r="D4" s="23"/>
      <c r="E4" s="23"/>
      <c r="F4" s="1"/>
      <c r="G4" s="72">
        <v>1</v>
      </c>
      <c r="H4" s="23" t="s">
        <v>59</v>
      </c>
      <c r="I4" s="9"/>
    </row>
    <row r="5" spans="2:11">
      <c r="B5" s="1"/>
      <c r="C5" s="23" t="s">
        <v>60</v>
      </c>
      <c r="D5" s="23"/>
      <c r="E5" s="23"/>
      <c r="F5" s="1"/>
      <c r="G5" s="72">
        <v>45</v>
      </c>
      <c r="H5" s="23" t="s">
        <v>61</v>
      </c>
      <c r="I5" s="9"/>
    </row>
    <row r="6" spans="2:11">
      <c r="B6" s="1"/>
      <c r="C6" s="23" t="s">
        <v>62</v>
      </c>
      <c r="D6" s="23"/>
      <c r="E6" s="23"/>
      <c r="F6" s="1"/>
      <c r="G6" s="72">
        <v>50</v>
      </c>
      <c r="H6" s="23" t="s">
        <v>22</v>
      </c>
      <c r="I6" s="9"/>
    </row>
    <row r="7" spans="2:11">
      <c r="B7" s="1"/>
      <c r="C7" s="23" t="s">
        <v>63</v>
      </c>
      <c r="D7" s="23"/>
      <c r="E7" s="23"/>
      <c r="F7" s="1"/>
      <c r="G7" s="73">
        <v>1.5</v>
      </c>
      <c r="H7" s="23" t="s">
        <v>64</v>
      </c>
      <c r="I7" s="9"/>
    </row>
    <row r="8" spans="2:11">
      <c r="B8" s="18"/>
      <c r="C8" s="19" t="s">
        <v>65</v>
      </c>
      <c r="D8" s="19"/>
      <c r="E8" s="19"/>
      <c r="F8" s="18"/>
      <c r="G8" s="74">
        <v>5</v>
      </c>
      <c r="H8" s="19" t="s">
        <v>24</v>
      </c>
      <c r="I8" s="29"/>
      <c r="K8" s="41"/>
    </row>
    <row r="9" spans="2:11" ht="16.5" customHeight="1">
      <c r="B9" s="42" t="s">
        <v>41</v>
      </c>
      <c r="C9" s="47"/>
      <c r="D9" s="145"/>
      <c r="E9" s="145"/>
      <c r="F9" s="142" t="s">
        <v>2</v>
      </c>
      <c r="G9" s="142"/>
      <c r="H9" s="143" t="s">
        <v>3</v>
      </c>
      <c r="I9" s="143"/>
      <c r="K9" s="41"/>
    </row>
    <row r="10" spans="2:11">
      <c r="B10" s="30"/>
      <c r="C10" s="31" t="s">
        <v>66</v>
      </c>
      <c r="D10" s="31"/>
      <c r="E10" s="31"/>
      <c r="F10" s="30">
        <f>ROUND(G3/100*I_total_E,0)</f>
        <v>4</v>
      </c>
      <c r="G10" s="32" t="s">
        <v>67</v>
      </c>
      <c r="H10" s="31">
        <f>ROUND(G3/100*C_total_E,0)</f>
        <v>54</v>
      </c>
      <c r="I10" s="32" t="s">
        <v>67</v>
      </c>
    </row>
    <row r="11" spans="2:11">
      <c r="B11" s="1"/>
      <c r="C11" s="75" t="s">
        <v>68</v>
      </c>
      <c r="D11" s="23"/>
      <c r="E11" s="23"/>
      <c r="F11" s="1"/>
      <c r="G11" s="9"/>
      <c r="H11" s="23">
        <f>ROUND(G3/100*Students,0)</f>
        <v>200</v>
      </c>
      <c r="I11" s="9" t="s">
        <v>67</v>
      </c>
    </row>
    <row r="12" spans="2:11">
      <c r="B12" s="1"/>
      <c r="C12" s="23" t="s">
        <v>69</v>
      </c>
      <c r="D12" s="23"/>
      <c r="E12" s="23"/>
      <c r="F12" s="1">
        <f>ROUND(G6/100*I_IT_secu_offi,0)</f>
        <v>1</v>
      </c>
      <c r="G12" s="9" t="s">
        <v>7</v>
      </c>
      <c r="H12" s="23">
        <f>ROUND(G6/100*C_IT_secu_offi,0)</f>
        <v>2</v>
      </c>
      <c r="I12" s="9" t="s">
        <v>7</v>
      </c>
    </row>
    <row r="13" spans="2:11">
      <c r="B13" s="1"/>
      <c r="C13" s="23" t="s">
        <v>70</v>
      </c>
      <c r="D13" s="23"/>
      <c r="E13" s="23"/>
      <c r="F13" s="1">
        <f>F10*G5/F12/60</f>
        <v>3</v>
      </c>
      <c r="G13" s="9" t="s">
        <v>64</v>
      </c>
      <c r="H13" s="23">
        <f>H10*G5/H12/60</f>
        <v>20.25</v>
      </c>
      <c r="I13" s="9" t="s">
        <v>64</v>
      </c>
    </row>
    <row r="14" spans="2:11">
      <c r="B14" s="1"/>
      <c r="C14" s="23" t="s">
        <v>71</v>
      </c>
      <c r="D14" s="23"/>
      <c r="E14" s="23"/>
      <c r="F14" s="76">
        <f>G4*8+G7+F13/2</f>
        <v>11</v>
      </c>
      <c r="G14" s="9" t="s">
        <v>64</v>
      </c>
      <c r="H14" s="77">
        <f>G4*8+G7+H13/2</f>
        <v>19.625</v>
      </c>
      <c r="I14" s="9" t="s">
        <v>64</v>
      </c>
    </row>
    <row r="15" spans="2:11">
      <c r="B15" s="1"/>
      <c r="C15" s="23" t="s">
        <v>72</v>
      </c>
      <c r="D15" s="23"/>
      <c r="E15" s="23"/>
      <c r="F15" s="1">
        <f>F14*F10</f>
        <v>44</v>
      </c>
      <c r="G15" s="9" t="s">
        <v>64</v>
      </c>
      <c r="H15" s="65">
        <f>H14*H10</f>
        <v>1059.75</v>
      </c>
      <c r="I15" s="9" t="s">
        <v>64</v>
      </c>
      <c r="K15" s="41"/>
    </row>
    <row r="16" spans="2:11">
      <c r="B16" s="1"/>
      <c r="C16" s="23" t="s">
        <v>73</v>
      </c>
      <c r="D16" s="23"/>
      <c r="E16" s="23"/>
      <c r="F16" s="76">
        <f>F12*(G7+F14)</f>
        <v>12.5</v>
      </c>
      <c r="G16" s="9" t="s">
        <v>64</v>
      </c>
      <c r="H16" s="23">
        <f>H12*(G7+H14)</f>
        <v>42.25</v>
      </c>
      <c r="I16" s="9" t="s">
        <v>64</v>
      </c>
      <c r="K16" s="41"/>
    </row>
    <row r="17" spans="2:11">
      <c r="B17" s="18"/>
      <c r="C17" s="78" t="s">
        <v>74</v>
      </c>
      <c r="D17" s="19"/>
      <c r="E17" s="19"/>
      <c r="F17" s="18"/>
      <c r="G17" s="29"/>
      <c r="H17" s="28">
        <f>H11*(G4*8+G7+G5/60)</f>
        <v>2050</v>
      </c>
      <c r="I17" s="29" t="s">
        <v>64</v>
      </c>
      <c r="K17" s="79"/>
    </row>
    <row r="18" spans="2:11" ht="9.75" customHeight="1"/>
    <row r="19" spans="2:11" ht="15.75">
      <c r="B19" s="42" t="s">
        <v>41</v>
      </c>
      <c r="C19" s="47"/>
      <c r="D19" s="145" t="s">
        <v>42</v>
      </c>
      <c r="E19" s="145"/>
      <c r="F19" s="142" t="s">
        <v>2</v>
      </c>
      <c r="G19" s="142"/>
      <c r="H19" s="143" t="s">
        <v>3</v>
      </c>
      <c r="I19" s="143"/>
    </row>
    <row r="20" spans="2:11">
      <c r="B20" s="49"/>
      <c r="C20" s="50" t="s">
        <v>43</v>
      </c>
      <c r="D20" s="50"/>
      <c r="E20" s="50"/>
      <c r="F20" s="51">
        <f>SUM(F21:F22)</f>
        <v>1581.5727699530516</v>
      </c>
      <c r="G20" s="52" t="s">
        <v>20</v>
      </c>
      <c r="H20" s="51">
        <f>SUM(H21:H22)</f>
        <v>30659.791306700179</v>
      </c>
      <c r="I20" s="5" t="s">
        <v>20</v>
      </c>
    </row>
    <row r="21" spans="2:11">
      <c r="B21" s="1"/>
      <c r="C21" s="23"/>
      <c r="D21" s="23" t="s">
        <v>75</v>
      </c>
      <c r="E21" s="23"/>
      <c r="F21" s="63">
        <f>F15/8/Days_in_year*I_aver_sala</f>
        <v>1068.075117370892</v>
      </c>
      <c r="G21" s="64" t="s">
        <v>20</v>
      </c>
      <c r="H21" s="63">
        <f>(H15/8/Days_in_year*C_aver_sala+H17/8/Days_in_year*Tuition)</f>
        <v>28718.770179939616</v>
      </c>
      <c r="I21" s="9" t="s">
        <v>20</v>
      </c>
    </row>
    <row r="22" spans="2:11">
      <c r="B22" s="1"/>
      <c r="C22" s="23"/>
      <c r="D22" s="23" t="s">
        <v>76</v>
      </c>
      <c r="E22" s="23"/>
      <c r="F22" s="63">
        <f>(G8+F16)/8/Days_in_year*S_I_IT_secu_offi</f>
        <v>513.49765258215962</v>
      </c>
      <c r="G22" s="64" t="s">
        <v>20</v>
      </c>
      <c r="H22" s="63">
        <f>(G8+H16)/8/Days_in_year*S_C_IT_secu_offi</f>
        <v>1941.0211267605634</v>
      </c>
      <c r="I22" s="9" t="s">
        <v>20</v>
      </c>
    </row>
    <row r="23" spans="2:11">
      <c r="B23" s="53"/>
      <c r="C23" s="54" t="s">
        <v>44</v>
      </c>
      <c r="D23" s="54"/>
      <c r="E23" s="54"/>
      <c r="F23" s="55">
        <f>F20*I_other_cost/100</f>
        <v>869.86502347417843</v>
      </c>
      <c r="G23" s="56" t="s">
        <v>20</v>
      </c>
      <c r="H23" s="55">
        <f>H20*C_other_cost/100</f>
        <v>24527.833045360145</v>
      </c>
      <c r="I23" s="13" t="s">
        <v>20</v>
      </c>
    </row>
    <row r="24" spans="2:11">
      <c r="B24" s="57"/>
      <c r="C24" s="58" t="s">
        <v>45</v>
      </c>
      <c r="D24" s="58"/>
      <c r="E24" s="58"/>
      <c r="F24" s="14">
        <f>I_year_turnover*I_aver_margin/100*G3/100/Days_in_year*F14/8</f>
        <v>27112.676056338027</v>
      </c>
      <c r="G24" s="59" t="s">
        <v>20</v>
      </c>
      <c r="H24" s="60">
        <v>0</v>
      </c>
      <c r="I24" s="17" t="s">
        <v>20</v>
      </c>
    </row>
    <row r="25" spans="2:11">
      <c r="B25" s="49"/>
      <c r="C25" s="50" t="s">
        <v>46</v>
      </c>
      <c r="D25" s="50"/>
      <c r="E25" s="50"/>
      <c r="F25" s="51">
        <v>0</v>
      </c>
      <c r="G25" s="52" t="s">
        <v>20</v>
      </c>
      <c r="H25" s="61">
        <v>0</v>
      </c>
      <c r="I25" s="5" t="s">
        <v>20</v>
      </c>
    </row>
    <row r="26" spans="2:11">
      <c r="B26" s="53"/>
      <c r="C26" s="54" t="s">
        <v>47</v>
      </c>
      <c r="D26" s="54"/>
      <c r="E26" s="54"/>
      <c r="F26" s="55">
        <v>0</v>
      </c>
      <c r="G26" s="56" t="s">
        <v>20</v>
      </c>
      <c r="H26" s="62">
        <v>0</v>
      </c>
      <c r="I26" s="13" t="s">
        <v>20</v>
      </c>
    </row>
    <row r="27" spans="2:11">
      <c r="B27" s="49"/>
      <c r="C27" s="50" t="s">
        <v>48</v>
      </c>
      <c r="D27" s="50"/>
      <c r="E27" s="50"/>
      <c r="F27" s="51">
        <f>SUM(F28:F30)</f>
        <v>0</v>
      </c>
      <c r="G27" s="52" t="s">
        <v>20</v>
      </c>
      <c r="H27" s="61">
        <f>SUM(H28:H30)</f>
        <v>0</v>
      </c>
      <c r="I27" s="5" t="s">
        <v>20</v>
      </c>
    </row>
    <row r="28" spans="2:11">
      <c r="B28" s="1"/>
      <c r="C28" s="23"/>
      <c r="D28" s="23"/>
      <c r="E28" s="23" t="s">
        <v>49</v>
      </c>
      <c r="F28" s="63">
        <v>0</v>
      </c>
      <c r="G28" s="64" t="s">
        <v>20</v>
      </c>
      <c r="H28" s="65">
        <v>0</v>
      </c>
      <c r="I28" s="9" t="s">
        <v>20</v>
      </c>
    </row>
    <row r="29" spans="2:11">
      <c r="B29" s="1"/>
      <c r="C29" s="23"/>
      <c r="D29" s="23"/>
      <c r="E29" s="23" t="s">
        <v>50</v>
      </c>
      <c r="F29" s="63">
        <v>0</v>
      </c>
      <c r="G29" s="64" t="s">
        <v>20</v>
      </c>
      <c r="H29" s="65">
        <v>0</v>
      </c>
      <c r="I29" s="9" t="s">
        <v>20</v>
      </c>
    </row>
    <row r="30" spans="2:11">
      <c r="B30" s="53"/>
      <c r="C30" s="54"/>
      <c r="D30" s="54"/>
      <c r="E30" s="54" t="s">
        <v>51</v>
      </c>
      <c r="F30" s="55">
        <v>0</v>
      </c>
      <c r="G30" s="56" t="s">
        <v>20</v>
      </c>
      <c r="H30" s="62">
        <v>0</v>
      </c>
      <c r="I30" s="13" t="s">
        <v>20</v>
      </c>
    </row>
    <row r="31" spans="2:11">
      <c r="B31" s="1"/>
      <c r="C31" s="23" t="s">
        <v>52</v>
      </c>
      <c r="D31" s="23"/>
      <c r="E31" s="23"/>
      <c r="F31" s="63">
        <f>SUM(F32:F33)</f>
        <v>0</v>
      </c>
      <c r="G31" s="64" t="s">
        <v>20</v>
      </c>
      <c r="H31" s="65">
        <f>SUM(H32:H33)</f>
        <v>0</v>
      </c>
      <c r="I31" s="9" t="s">
        <v>20</v>
      </c>
    </row>
    <row r="32" spans="2:11">
      <c r="B32" s="1"/>
      <c r="C32" s="23"/>
      <c r="D32" s="23"/>
      <c r="E32" s="23" t="s">
        <v>53</v>
      </c>
      <c r="F32" s="63">
        <v>0</v>
      </c>
      <c r="G32" s="64" t="s">
        <v>20</v>
      </c>
      <c r="H32" s="65">
        <v>0</v>
      </c>
      <c r="I32" s="9" t="s">
        <v>20</v>
      </c>
    </row>
    <row r="33" spans="2:9">
      <c r="B33" s="18"/>
      <c r="C33" s="19"/>
      <c r="D33" s="19"/>
      <c r="E33" s="19" t="s">
        <v>54</v>
      </c>
      <c r="F33" s="66">
        <v>0</v>
      </c>
      <c r="G33" s="67" t="s">
        <v>20</v>
      </c>
      <c r="H33" s="28">
        <v>0</v>
      </c>
      <c r="I33" s="29" t="s">
        <v>20</v>
      </c>
    </row>
    <row r="34" spans="2:9" ht="15.75">
      <c r="B34" s="68"/>
      <c r="C34" s="144" t="s">
        <v>77</v>
      </c>
      <c r="D34" s="144"/>
      <c r="E34" s="144"/>
      <c r="F34" s="69">
        <f>F20+F23+F24+F25+F26+F27+F31</f>
        <v>29564.113849765257</v>
      </c>
      <c r="G34" s="70" t="s">
        <v>20</v>
      </c>
      <c r="H34" s="71">
        <f>H20+H23+H24+H25+H26+H27+H31</f>
        <v>55187.624352060324</v>
      </c>
      <c r="I34" s="70" t="s">
        <v>20</v>
      </c>
    </row>
  </sheetData>
  <mergeCells count="8">
    <mergeCell ref="C34:E34"/>
    <mergeCell ref="F2:I2"/>
    <mergeCell ref="D9:E9"/>
    <mergeCell ref="F9:G9"/>
    <mergeCell ref="H9:I9"/>
    <mergeCell ref="D19:E19"/>
    <mergeCell ref="F19:G19"/>
    <mergeCell ref="H19:I1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99694"/>
  </sheetPr>
  <dimension ref="B2:I23"/>
  <sheetViews>
    <sheetView zoomScaleNormal="100" workbookViewId="0">
      <selection activeCell="J9" sqref="J9"/>
    </sheetView>
  </sheetViews>
  <sheetFormatPr defaultRowHeight="15"/>
  <cols>
    <col min="1" max="1" width="3.5703125" customWidth="1"/>
    <col min="2" max="2" width="6.5703125" customWidth="1"/>
    <col min="3" max="3" width="12.28515625" customWidth="1"/>
    <col min="4" max="4" width="10.7109375" customWidth="1"/>
    <col min="5" max="5" width="51.7109375" customWidth="1"/>
    <col min="6" max="1025" width="8.5703125" customWidth="1"/>
  </cols>
  <sheetData>
    <row r="2" spans="2:9" ht="15.75" customHeight="1">
      <c r="B2" s="42" t="s">
        <v>78</v>
      </c>
      <c r="C2" s="43"/>
      <c r="D2" s="43"/>
      <c r="E2" s="44"/>
      <c r="F2" s="141" t="s">
        <v>33</v>
      </c>
      <c r="G2" s="141"/>
      <c r="H2" s="141"/>
      <c r="I2" s="141"/>
    </row>
    <row r="3" spans="2:9">
      <c r="B3" s="1"/>
      <c r="C3" s="23" t="s">
        <v>79</v>
      </c>
      <c r="D3" s="23"/>
      <c r="E3" s="23"/>
      <c r="F3" s="1"/>
      <c r="G3" s="72">
        <v>30</v>
      </c>
      <c r="H3" s="23" t="s">
        <v>64</v>
      </c>
      <c r="I3" s="9"/>
    </row>
    <row r="4" spans="2:9" ht="15.75">
      <c r="B4" s="1"/>
      <c r="C4" s="23"/>
      <c r="D4" s="23"/>
      <c r="E4" s="23"/>
      <c r="F4" s="142" t="s">
        <v>2</v>
      </c>
      <c r="G4" s="142"/>
      <c r="H4" s="143" t="s">
        <v>3</v>
      </c>
      <c r="I4" s="143"/>
    </row>
    <row r="5" spans="2:9">
      <c r="B5" s="1"/>
      <c r="C5" s="23" t="s">
        <v>80</v>
      </c>
      <c r="D5" s="23"/>
      <c r="E5" s="23"/>
      <c r="F5" s="80">
        <v>45</v>
      </c>
      <c r="G5" s="32" t="s">
        <v>22</v>
      </c>
      <c r="H5" s="80">
        <v>15</v>
      </c>
      <c r="I5" s="32" t="s">
        <v>22</v>
      </c>
    </row>
    <row r="6" spans="2:9">
      <c r="B6" s="1"/>
      <c r="C6" s="23" t="s">
        <v>81</v>
      </c>
      <c r="D6" s="23"/>
      <c r="E6" s="23"/>
      <c r="F6" s="34">
        <v>25</v>
      </c>
      <c r="G6" s="29" t="s">
        <v>22</v>
      </c>
      <c r="H6" s="6">
        <v>40</v>
      </c>
      <c r="I6" s="9" t="s">
        <v>22</v>
      </c>
    </row>
    <row r="7" spans="2:9">
      <c r="B7" s="18"/>
      <c r="C7" s="19" t="s">
        <v>82</v>
      </c>
      <c r="D7" s="19"/>
      <c r="E7" s="19"/>
      <c r="F7" s="78"/>
      <c r="G7" s="19"/>
      <c r="H7" s="34">
        <v>25</v>
      </c>
      <c r="I7" s="29" t="s">
        <v>22</v>
      </c>
    </row>
    <row r="9" spans="2:9" ht="15.75">
      <c r="B9" s="42" t="s">
        <v>41</v>
      </c>
      <c r="C9" s="47"/>
      <c r="D9" s="145" t="s">
        <v>42</v>
      </c>
      <c r="E9" s="145"/>
      <c r="F9" s="142" t="s">
        <v>2</v>
      </c>
      <c r="G9" s="142"/>
      <c r="H9" s="143" t="s">
        <v>3</v>
      </c>
      <c r="I9" s="143"/>
    </row>
    <row r="10" spans="2:9">
      <c r="B10" s="49"/>
      <c r="C10" s="50" t="s">
        <v>43</v>
      </c>
      <c r="D10" s="50"/>
      <c r="E10" s="50"/>
      <c r="F10" s="51">
        <f>G3/24*F5/100*I_total_E*(1-DDoS!F6/100)/Days_in_year*I_aver_sala*(1+I_other_pers_cost/100)</f>
        <v>2343.089788732394</v>
      </c>
      <c r="G10" s="52" t="s">
        <v>20</v>
      </c>
      <c r="H10" s="51">
        <f>G3/24*H5/100*C_total_E*(1-DDoS!H6/100)/Days_in_year*C_aver_sala*(1+C_other_pers_cost/100)</f>
        <v>7001.9366197183108</v>
      </c>
      <c r="I10" s="5" t="s">
        <v>20</v>
      </c>
    </row>
    <row r="11" spans="2:9">
      <c r="B11" s="53"/>
      <c r="C11" s="54" t="s">
        <v>44</v>
      </c>
      <c r="D11" s="54"/>
      <c r="E11" s="54"/>
      <c r="F11" s="55">
        <f>F10*I_other_cost/100</f>
        <v>1288.6993838028168</v>
      </c>
      <c r="G11" s="56" t="s">
        <v>20</v>
      </c>
      <c r="H11" s="55">
        <f>H10*C_other_cost/100</f>
        <v>5601.5492957746483</v>
      </c>
      <c r="I11" s="13" t="s">
        <v>20</v>
      </c>
    </row>
    <row r="12" spans="2:9">
      <c r="B12" s="57"/>
      <c r="C12" s="58" t="s">
        <v>83</v>
      </c>
      <c r="D12" s="58"/>
      <c r="E12" s="58"/>
      <c r="F12" s="14">
        <f>G3/24/365*I_year_turnover*I_aver_margin/100</f>
        <v>71917.80821917807</v>
      </c>
      <c r="G12" s="59" t="s">
        <v>20</v>
      </c>
      <c r="H12" s="60">
        <v>0</v>
      </c>
      <c r="I12" s="17" t="s">
        <v>20</v>
      </c>
    </row>
    <row r="13" spans="2:9">
      <c r="B13" s="49"/>
      <c r="C13" s="58" t="s">
        <v>84</v>
      </c>
      <c r="D13" s="50"/>
      <c r="E13" s="50"/>
      <c r="F13" s="51"/>
      <c r="G13" s="52"/>
      <c r="H13" s="81">
        <f>H7/100*Students*G3/24/Days_in_year*Tuition</f>
        <v>7335.6807511737088</v>
      </c>
      <c r="I13" s="5" t="s">
        <v>20</v>
      </c>
    </row>
    <row r="14" spans="2:9">
      <c r="B14" s="49"/>
      <c r="C14" s="50" t="s">
        <v>46</v>
      </c>
      <c r="D14" s="50"/>
      <c r="E14" s="50"/>
      <c r="F14" s="51">
        <v>0</v>
      </c>
      <c r="G14" s="52" t="s">
        <v>20</v>
      </c>
      <c r="H14" s="61">
        <v>0</v>
      </c>
      <c r="I14" s="5" t="s">
        <v>20</v>
      </c>
    </row>
    <row r="15" spans="2:9">
      <c r="B15" s="53"/>
      <c r="C15" s="54" t="s">
        <v>47</v>
      </c>
      <c r="D15" s="54"/>
      <c r="E15" s="54"/>
      <c r="F15" s="55">
        <v>0</v>
      </c>
      <c r="G15" s="56" t="s">
        <v>20</v>
      </c>
      <c r="H15" s="62">
        <v>0</v>
      </c>
      <c r="I15" s="13" t="s">
        <v>20</v>
      </c>
    </row>
    <row r="16" spans="2:9">
      <c r="B16" s="82"/>
      <c r="C16" s="83" t="s">
        <v>48</v>
      </c>
      <c r="D16" s="83"/>
      <c r="E16" s="83"/>
      <c r="F16" s="84">
        <f>SUM(F17:F19)</f>
        <v>0</v>
      </c>
      <c r="G16" s="85" t="s">
        <v>20</v>
      </c>
      <c r="H16" s="86">
        <f>SUM(H17:H19)</f>
        <v>0</v>
      </c>
      <c r="I16" s="87" t="s">
        <v>20</v>
      </c>
    </row>
    <row r="17" spans="2:9">
      <c r="B17" s="1"/>
      <c r="C17" s="23"/>
      <c r="D17" s="23"/>
      <c r="E17" s="23" t="s">
        <v>49</v>
      </c>
      <c r="F17" s="63">
        <v>0</v>
      </c>
      <c r="G17" s="64" t="s">
        <v>20</v>
      </c>
      <c r="H17" s="65">
        <v>0</v>
      </c>
      <c r="I17" s="9" t="s">
        <v>20</v>
      </c>
    </row>
    <row r="18" spans="2:9">
      <c r="B18" s="1"/>
      <c r="C18" s="23"/>
      <c r="D18" s="23"/>
      <c r="E18" s="23" t="s">
        <v>50</v>
      </c>
      <c r="F18" s="63">
        <v>0</v>
      </c>
      <c r="G18" s="64" t="s">
        <v>20</v>
      </c>
      <c r="H18" s="65">
        <v>0</v>
      </c>
      <c r="I18" s="9" t="s">
        <v>20</v>
      </c>
    </row>
    <row r="19" spans="2:9">
      <c r="B19" s="53"/>
      <c r="C19" s="54"/>
      <c r="D19" s="54"/>
      <c r="E19" s="54" t="s">
        <v>51</v>
      </c>
      <c r="F19" s="55">
        <v>0</v>
      </c>
      <c r="G19" s="56" t="s">
        <v>20</v>
      </c>
      <c r="H19" s="62">
        <v>0</v>
      </c>
      <c r="I19" s="13" t="s">
        <v>20</v>
      </c>
    </row>
    <row r="20" spans="2:9">
      <c r="B20" s="88"/>
      <c r="C20" s="89" t="s">
        <v>52</v>
      </c>
      <c r="D20" s="89"/>
      <c r="E20" s="89"/>
      <c r="F20" s="90">
        <f>SUM(F21:F22)</f>
        <v>0</v>
      </c>
      <c r="G20" s="91" t="s">
        <v>20</v>
      </c>
      <c r="H20" s="92">
        <f>SUM(H21:H22)</f>
        <v>0</v>
      </c>
      <c r="I20" s="93" t="s">
        <v>20</v>
      </c>
    </row>
    <row r="21" spans="2:9">
      <c r="B21" s="1"/>
      <c r="C21" s="23"/>
      <c r="D21" s="23"/>
      <c r="E21" s="23" t="s">
        <v>53</v>
      </c>
      <c r="F21" s="63">
        <v>0</v>
      </c>
      <c r="G21" s="64" t="s">
        <v>20</v>
      </c>
      <c r="H21" s="65">
        <v>0</v>
      </c>
      <c r="I21" s="9" t="s">
        <v>20</v>
      </c>
    </row>
    <row r="22" spans="2:9">
      <c r="B22" s="18"/>
      <c r="C22" s="19"/>
      <c r="D22" s="19"/>
      <c r="E22" s="19" t="s">
        <v>54</v>
      </c>
      <c r="F22" s="66">
        <v>0</v>
      </c>
      <c r="G22" s="67" t="s">
        <v>20</v>
      </c>
      <c r="H22" s="28">
        <v>0</v>
      </c>
      <c r="I22" s="29" t="s">
        <v>20</v>
      </c>
    </row>
    <row r="23" spans="2:9" ht="15.75">
      <c r="B23" s="68"/>
      <c r="C23" s="144" t="s">
        <v>77</v>
      </c>
      <c r="D23" s="144"/>
      <c r="E23" s="144"/>
      <c r="F23" s="69">
        <f>F10+F11+F12+F14+F15+F16+F20</f>
        <v>75549.59739171328</v>
      </c>
      <c r="G23" s="70" t="s">
        <v>20</v>
      </c>
      <c r="H23" s="94">
        <f>H10+H11+H12+H13+H14+H15+H16+H20</f>
        <v>19939.166666666668</v>
      </c>
      <c r="I23" s="70" t="s">
        <v>20</v>
      </c>
    </row>
  </sheetData>
  <mergeCells count="7">
    <mergeCell ref="C23:E23"/>
    <mergeCell ref="F2:I2"/>
    <mergeCell ref="F4:G4"/>
    <mergeCell ref="H4:I4"/>
    <mergeCell ref="D9:E9"/>
    <mergeCell ref="F9:G9"/>
    <mergeCell ref="H9:I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3D69B"/>
  </sheetPr>
  <dimension ref="B2:I24"/>
  <sheetViews>
    <sheetView zoomScaleNormal="100" workbookViewId="0">
      <selection activeCell="L9" sqref="L9"/>
    </sheetView>
  </sheetViews>
  <sheetFormatPr defaultRowHeight="15"/>
  <cols>
    <col min="1" max="1" width="3.7109375" customWidth="1"/>
    <col min="2" max="2" width="4.7109375" customWidth="1"/>
    <col min="3" max="3" width="6.85546875" customWidth="1"/>
    <col min="4" max="4" width="62.140625" customWidth="1"/>
    <col min="5" max="5" width="8.5703125" customWidth="1"/>
    <col min="6" max="6" width="11.140625" customWidth="1"/>
    <col min="7" max="7" width="7.42578125" customWidth="1"/>
    <col min="8" max="8" width="11.140625" customWidth="1"/>
    <col min="9" max="9" width="7" customWidth="1"/>
    <col min="10" max="1025" width="8.5703125" customWidth="1"/>
  </cols>
  <sheetData>
    <row r="2" spans="2:9" ht="15.75" customHeight="1">
      <c r="B2" s="42" t="s">
        <v>85</v>
      </c>
      <c r="C2" s="43"/>
      <c r="D2" s="43"/>
      <c r="E2" s="44"/>
      <c r="F2" s="95"/>
      <c r="G2" s="141" t="s">
        <v>33</v>
      </c>
      <c r="H2" s="141"/>
      <c r="I2" s="141"/>
    </row>
    <row r="3" spans="2:9">
      <c r="B3" s="1"/>
      <c r="C3" s="23" t="s">
        <v>86</v>
      </c>
      <c r="D3" s="23"/>
      <c r="E3" s="23"/>
      <c r="F3" s="23"/>
      <c r="G3" s="6">
        <v>900</v>
      </c>
      <c r="H3" s="23" t="s">
        <v>7</v>
      </c>
      <c r="I3" s="9"/>
    </row>
    <row r="4" spans="2:9">
      <c r="B4" s="1"/>
      <c r="C4" s="23" t="s">
        <v>87</v>
      </c>
      <c r="D4" s="23"/>
      <c r="E4" s="23"/>
      <c r="F4" s="23"/>
      <c r="G4" s="6">
        <v>900</v>
      </c>
      <c r="H4" s="23" t="s">
        <v>88</v>
      </c>
      <c r="I4" s="9"/>
    </row>
    <row r="5" spans="2:9">
      <c r="B5" s="1" t="s">
        <v>89</v>
      </c>
      <c r="C5" s="23"/>
      <c r="D5" s="23"/>
      <c r="E5" s="23"/>
      <c r="F5" s="75"/>
      <c r="G5" s="45"/>
      <c r="H5" s="75"/>
      <c r="I5" s="96"/>
    </row>
    <row r="6" spans="2:9">
      <c r="B6" s="1"/>
      <c r="C6" s="75" t="s">
        <v>90</v>
      </c>
      <c r="D6" s="23"/>
      <c r="E6" s="23"/>
      <c r="F6" s="23"/>
      <c r="G6" s="6">
        <v>25</v>
      </c>
      <c r="H6" s="75" t="s">
        <v>64</v>
      </c>
      <c r="I6" s="9"/>
    </row>
    <row r="7" spans="2:9">
      <c r="B7" s="1"/>
      <c r="C7" s="75" t="s">
        <v>91</v>
      </c>
      <c r="D7" s="23"/>
      <c r="E7" s="23"/>
      <c r="F7" s="23"/>
      <c r="G7" s="6">
        <v>80</v>
      </c>
      <c r="H7" s="75" t="s">
        <v>64</v>
      </c>
      <c r="I7" s="9"/>
    </row>
    <row r="8" spans="2:9">
      <c r="B8" s="1" t="s">
        <v>92</v>
      </c>
      <c r="C8" s="23"/>
      <c r="D8" s="23"/>
      <c r="E8" s="23"/>
      <c r="F8" s="23"/>
      <c r="G8" s="33">
        <v>11000</v>
      </c>
      <c r="H8" s="75" t="s">
        <v>20</v>
      </c>
      <c r="I8" s="9"/>
    </row>
    <row r="9" spans="2:9" ht="30" customHeight="1">
      <c r="B9" s="146" t="s">
        <v>93</v>
      </c>
      <c r="C9" s="146"/>
      <c r="D9" s="146"/>
      <c r="E9" s="146"/>
      <c r="F9" s="146"/>
      <c r="G9" s="34">
        <v>7</v>
      </c>
      <c r="H9" s="19" t="s">
        <v>22</v>
      </c>
      <c r="I9" s="29"/>
    </row>
    <row r="10" spans="2:9">
      <c r="B10" s="23"/>
      <c r="C10" s="23"/>
      <c r="D10" s="23"/>
      <c r="E10" s="23"/>
      <c r="F10" s="23"/>
      <c r="G10" s="23"/>
      <c r="H10" s="23"/>
      <c r="I10" s="23"/>
    </row>
    <row r="11" spans="2:9" ht="15.75">
      <c r="B11" s="42" t="s">
        <v>41</v>
      </c>
      <c r="C11" s="47"/>
      <c r="D11" s="145" t="s">
        <v>42</v>
      </c>
      <c r="E11" s="145"/>
      <c r="F11" s="142" t="s">
        <v>2</v>
      </c>
      <c r="G11" s="142"/>
      <c r="H11" s="143" t="s">
        <v>3</v>
      </c>
      <c r="I11" s="143"/>
    </row>
    <row r="12" spans="2:9">
      <c r="B12" s="49"/>
      <c r="C12" s="50" t="s">
        <v>43</v>
      </c>
      <c r="D12" s="50"/>
      <c r="E12" s="50"/>
      <c r="F12" s="51">
        <f>(G6/8*S_I_top_mana+G7/8*S_I_lawy)/Days_in_year*(1+I_other_pers_cost/100)</f>
        <v>5378.5211267605628</v>
      </c>
      <c r="G12" s="52" t="s">
        <v>20</v>
      </c>
      <c r="H12" s="51">
        <f>(G6/8*S_C_top_mana+G7/8*S_C_lawy)/Days_in_year*(1+C_other_pers_cost/100)</f>
        <v>4991.1971830985922</v>
      </c>
      <c r="I12" s="5" t="s">
        <v>20</v>
      </c>
    </row>
    <row r="13" spans="2:9">
      <c r="B13" s="53"/>
      <c r="C13" s="54" t="s">
        <v>44</v>
      </c>
      <c r="D13" s="54"/>
      <c r="E13" s="54"/>
      <c r="F13" s="55">
        <f>F12*I_other_cost/100</f>
        <v>2958.1866197183094</v>
      </c>
      <c r="G13" s="56" t="s">
        <v>20</v>
      </c>
      <c r="H13" s="55">
        <f>H12*C_other_cost/100</f>
        <v>3992.957746478874</v>
      </c>
      <c r="I13" s="13" t="s">
        <v>20</v>
      </c>
    </row>
    <row r="14" spans="2:9">
      <c r="B14" s="57"/>
      <c r="C14" s="58" t="s">
        <v>45</v>
      </c>
      <c r="D14" s="58"/>
      <c r="E14" s="58"/>
      <c r="F14" s="14">
        <v>0</v>
      </c>
      <c r="G14" s="59" t="s">
        <v>20</v>
      </c>
      <c r="H14" s="60">
        <v>0</v>
      </c>
      <c r="I14" s="17" t="s">
        <v>20</v>
      </c>
    </row>
    <row r="15" spans="2:9">
      <c r="B15" s="49"/>
      <c r="C15" s="50" t="s">
        <v>46</v>
      </c>
      <c r="D15" s="50"/>
      <c r="E15" s="50"/>
      <c r="F15" s="51">
        <v>0</v>
      </c>
      <c r="G15" s="52" t="s">
        <v>20</v>
      </c>
      <c r="H15" s="61">
        <v>0</v>
      </c>
      <c r="I15" s="5" t="s">
        <v>20</v>
      </c>
    </row>
    <row r="16" spans="2:9">
      <c r="B16" s="53"/>
      <c r="C16" s="54" t="s">
        <v>47</v>
      </c>
      <c r="D16" s="54"/>
      <c r="E16" s="54"/>
      <c r="F16" s="55">
        <v>0</v>
      </c>
      <c r="G16" s="56" t="s">
        <v>20</v>
      </c>
      <c r="H16" s="62">
        <v>0</v>
      </c>
      <c r="I16" s="13" t="s">
        <v>20</v>
      </c>
    </row>
    <row r="17" spans="2:9">
      <c r="B17" s="82"/>
      <c r="C17" s="83" t="s">
        <v>48</v>
      </c>
      <c r="D17" s="83"/>
      <c r="E17" s="83"/>
      <c r="F17" s="84">
        <f>SUM(F18:F20)</f>
        <v>1470000.0000000002</v>
      </c>
      <c r="G17" s="85" t="s">
        <v>20</v>
      </c>
      <c r="H17" s="86">
        <f>SUM(H18:H20)</f>
        <v>116666.66666666666</v>
      </c>
      <c r="I17" s="87" t="s">
        <v>20</v>
      </c>
    </row>
    <row r="18" spans="2:9">
      <c r="B18" s="1"/>
      <c r="C18" s="23"/>
      <c r="D18" s="23" t="s">
        <v>49</v>
      </c>
      <c r="E18" s="23"/>
      <c r="F18" s="63">
        <f>G9/100*I_year_turnover*I_aver_margin/100</f>
        <v>1470000.0000000002</v>
      </c>
      <c r="G18" s="64" t="s">
        <v>20</v>
      </c>
      <c r="H18" s="65">
        <f>G9/100*Students/3*Tuition</f>
        <v>116666.66666666666</v>
      </c>
      <c r="I18" s="9" t="s">
        <v>20</v>
      </c>
    </row>
    <row r="19" spans="2:9">
      <c r="B19" s="1"/>
      <c r="C19" s="23"/>
      <c r="D19" s="23" t="s">
        <v>50</v>
      </c>
      <c r="E19" s="23"/>
      <c r="F19" s="63">
        <v>0</v>
      </c>
      <c r="G19" s="64" t="s">
        <v>20</v>
      </c>
      <c r="H19" s="65">
        <v>0</v>
      </c>
      <c r="I19" s="9" t="s">
        <v>20</v>
      </c>
    </row>
    <row r="20" spans="2:9">
      <c r="B20" s="53"/>
      <c r="C20" s="54"/>
      <c r="D20" s="54" t="s">
        <v>51</v>
      </c>
      <c r="E20" s="54"/>
      <c r="F20" s="55">
        <v>0</v>
      </c>
      <c r="G20" s="56" t="s">
        <v>20</v>
      </c>
      <c r="H20" s="62">
        <v>0</v>
      </c>
      <c r="I20" s="13" t="s">
        <v>20</v>
      </c>
    </row>
    <row r="21" spans="2:9">
      <c r="B21" s="88"/>
      <c r="C21" s="89" t="s">
        <v>52</v>
      </c>
      <c r="D21" s="89"/>
      <c r="E21" s="89"/>
      <c r="F21" s="90">
        <f>SUM(F22:F23)</f>
        <v>810000</v>
      </c>
      <c r="G21" s="91" t="s">
        <v>20</v>
      </c>
      <c r="H21" s="92">
        <f>SUM(H22:H23)</f>
        <v>810000</v>
      </c>
      <c r="I21" s="93" t="s">
        <v>20</v>
      </c>
    </row>
    <row r="22" spans="2:9">
      <c r="B22" s="1"/>
      <c r="C22" s="23"/>
      <c r="D22" s="23" t="s">
        <v>94</v>
      </c>
      <c r="F22" s="63">
        <f>G3*G4</f>
        <v>810000</v>
      </c>
      <c r="G22" s="64" t="s">
        <v>20</v>
      </c>
      <c r="H22" s="65">
        <f>G3*G4</f>
        <v>810000</v>
      </c>
      <c r="I22" s="9" t="s">
        <v>20</v>
      </c>
    </row>
    <row r="23" spans="2:9">
      <c r="B23" s="18"/>
      <c r="C23" s="19"/>
      <c r="D23" s="19" t="s">
        <v>54</v>
      </c>
      <c r="F23" s="66">
        <v>0</v>
      </c>
      <c r="G23" s="67" t="s">
        <v>20</v>
      </c>
      <c r="H23" s="28">
        <v>0</v>
      </c>
      <c r="I23" s="29" t="s">
        <v>20</v>
      </c>
    </row>
    <row r="24" spans="2:9" ht="15.75">
      <c r="B24" s="68"/>
      <c r="C24" s="144" t="s">
        <v>77</v>
      </c>
      <c r="D24" s="144"/>
      <c r="E24" s="144"/>
      <c r="F24" s="69">
        <f>F12+F13+F14+F15+F16+F17+F21</f>
        <v>2288336.7077464792</v>
      </c>
      <c r="G24" s="70" t="s">
        <v>20</v>
      </c>
      <c r="H24" s="71">
        <f>H12+H13+H14+H15+H16+H17+H21</f>
        <v>935650.82159624412</v>
      </c>
      <c r="I24" s="70" t="s">
        <v>20</v>
      </c>
    </row>
  </sheetData>
  <mergeCells count="6">
    <mergeCell ref="C24:E24"/>
    <mergeCell ref="G2:I2"/>
    <mergeCell ref="B9:F9"/>
    <mergeCell ref="D11:E11"/>
    <mergeCell ref="F11:G11"/>
    <mergeCell ref="H11:I1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3A2C7"/>
  </sheetPr>
  <dimension ref="A1:H63"/>
  <sheetViews>
    <sheetView topLeftCell="A39" zoomScaleNormal="100" workbookViewId="0">
      <selection activeCell="P38" sqref="P38"/>
    </sheetView>
  </sheetViews>
  <sheetFormatPr defaultRowHeight="15"/>
  <cols>
    <col min="1" max="1" width="3.140625" customWidth="1"/>
    <col min="2" max="2" width="4.7109375" customWidth="1"/>
    <col min="3" max="3" width="5.42578125" customWidth="1"/>
    <col min="4" max="4" width="70.140625" customWidth="1"/>
    <col min="5" max="1025" width="8.5703125" customWidth="1"/>
  </cols>
  <sheetData>
    <row r="1" spans="2:8">
      <c r="B1" t="s">
        <v>95</v>
      </c>
    </row>
    <row r="2" spans="2:8">
      <c r="B2">
        <v>3</v>
      </c>
      <c r="C2" t="s">
        <v>96</v>
      </c>
    </row>
    <row r="3" spans="2:8">
      <c r="B3">
        <v>1</v>
      </c>
      <c r="C3" t="s">
        <v>97</v>
      </c>
    </row>
    <row r="4" spans="2:8">
      <c r="B4">
        <v>1</v>
      </c>
      <c r="C4" t="s">
        <v>98</v>
      </c>
    </row>
    <row r="5" spans="2:8" ht="14.25" customHeight="1"/>
    <row r="6" spans="2:8" ht="15.75" customHeight="1">
      <c r="B6" s="42" t="s">
        <v>99</v>
      </c>
      <c r="C6" s="43"/>
      <c r="D6" s="97"/>
      <c r="E6" s="141" t="s">
        <v>33</v>
      </c>
      <c r="F6" s="141"/>
      <c r="G6" s="141"/>
      <c r="H6" s="141"/>
    </row>
    <row r="7" spans="2:8">
      <c r="B7" s="1"/>
      <c r="C7" s="23" t="s">
        <v>100</v>
      </c>
      <c r="D7" s="9"/>
      <c r="E7" s="23"/>
      <c r="F7" s="72">
        <v>45</v>
      </c>
      <c r="G7" s="23" t="s">
        <v>22</v>
      </c>
      <c r="H7" s="9"/>
    </row>
    <row r="8" spans="2:8">
      <c r="B8" s="1"/>
      <c r="C8" s="75" t="s">
        <v>101</v>
      </c>
      <c r="D8" s="9"/>
      <c r="E8" s="23"/>
      <c r="F8" s="72">
        <v>25</v>
      </c>
      <c r="G8" s="23" t="s">
        <v>22</v>
      </c>
      <c r="H8" s="9"/>
    </row>
    <row r="9" spans="2:8">
      <c r="B9" s="1"/>
      <c r="C9" s="75" t="s">
        <v>102</v>
      </c>
      <c r="D9" s="9"/>
      <c r="E9" s="23"/>
      <c r="F9" s="72">
        <v>25</v>
      </c>
      <c r="G9" s="23" t="s">
        <v>103</v>
      </c>
      <c r="H9" s="9"/>
    </row>
    <row r="10" spans="2:8">
      <c r="B10" s="1"/>
      <c r="C10" s="75" t="s">
        <v>104</v>
      </c>
      <c r="D10" s="9"/>
      <c r="E10" s="23"/>
      <c r="F10" s="72">
        <v>2</v>
      </c>
      <c r="G10" s="75" t="s">
        <v>103</v>
      </c>
      <c r="H10" s="9"/>
    </row>
    <row r="11" spans="2:8">
      <c r="B11" s="18"/>
      <c r="C11" s="78" t="s">
        <v>105</v>
      </c>
      <c r="D11" s="29"/>
      <c r="E11" s="19"/>
      <c r="F11" s="74">
        <v>1</v>
      </c>
      <c r="G11" s="78" t="s">
        <v>103</v>
      </c>
      <c r="H11" s="29"/>
    </row>
    <row r="12" spans="2:8" ht="11.25" customHeight="1"/>
    <row r="13" spans="2:8" ht="15.75">
      <c r="B13" s="42" t="s">
        <v>41</v>
      </c>
      <c r="C13" s="47"/>
      <c r="D13" s="136"/>
      <c r="E13" s="142" t="s">
        <v>2</v>
      </c>
      <c r="F13" s="142"/>
      <c r="G13" s="143" t="s">
        <v>3</v>
      </c>
      <c r="H13" s="143"/>
    </row>
    <row r="14" spans="2:8">
      <c r="B14" s="49"/>
      <c r="C14" s="50" t="s">
        <v>43</v>
      </c>
      <c r="D14" s="50"/>
      <c r="E14" s="51">
        <f>SUM(E15:E18)</f>
        <v>9703.8438967136153</v>
      </c>
      <c r="F14" s="52" t="s">
        <v>20</v>
      </c>
      <c r="G14" s="51">
        <f>SUM(G15:G18)</f>
        <v>22302.134683098586</v>
      </c>
      <c r="H14" s="5" t="s">
        <v>20</v>
      </c>
    </row>
    <row r="15" spans="2:8">
      <c r="B15" s="1"/>
      <c r="C15" s="23"/>
      <c r="D15" s="23" t="s">
        <v>106</v>
      </c>
      <c r="E15" s="63">
        <f>F7/100*I_total_E*(1-F8/100)*0.5/Days_in_year*S_I_oper_empl*(1+I_other_pers_cost/100)</f>
        <v>793.04577464788736</v>
      </c>
      <c r="F15" s="64" t="s">
        <v>20</v>
      </c>
      <c r="G15" s="63">
        <f>F7/100*C_total_E*(1-F8/100)*0.5/Days_in_year*S_C_oper_empl*(1+C_other_pers_cost/100)</f>
        <v>10069.740316901407</v>
      </c>
      <c r="H15" s="64" t="s">
        <v>20</v>
      </c>
    </row>
    <row r="16" spans="2:8">
      <c r="B16" s="1"/>
      <c r="C16" s="23"/>
      <c r="D16" s="23" t="s">
        <v>107</v>
      </c>
      <c r="E16" s="63">
        <f>F9/Days_in_year*S_I_IT_secu_offi*(1+I_other_pers_cost/100)</f>
        <v>7629.1079812206572</v>
      </c>
      <c r="F16" s="64" t="s">
        <v>20</v>
      </c>
      <c r="G16" s="63">
        <f>F9/Days_in_year*S_C_IT_secu_offi*(1+C_other_pers_cost/100)</f>
        <v>11091.549295774648</v>
      </c>
      <c r="H16" s="64" t="s">
        <v>20</v>
      </c>
    </row>
    <row r="17" spans="2:8">
      <c r="B17" s="1"/>
      <c r="C17" s="23"/>
      <c r="D17" s="23" t="s">
        <v>108</v>
      </c>
      <c r="E17" s="63">
        <f>F10/Days_in_year*S_I_lawy*(1+I_other_pers_cost/100)</f>
        <v>732.3943661971831</v>
      </c>
      <c r="F17" s="64" t="s">
        <v>20</v>
      </c>
      <c r="G17" s="63">
        <f>F10/Days_in_year*S_C_lawy*(1+C_other_pers_cost/100)</f>
        <v>760.56338028169012</v>
      </c>
      <c r="H17" s="64" t="s">
        <v>20</v>
      </c>
    </row>
    <row r="18" spans="2:8">
      <c r="B18" s="1"/>
      <c r="C18" s="23"/>
      <c r="D18" s="75" t="s">
        <v>109</v>
      </c>
      <c r="E18" s="63">
        <f>F11/Days_in_year*S_I_top_mana*(1+I_other_pers_cost/100)</f>
        <v>549.29577464788736</v>
      </c>
      <c r="F18" s="64" t="s">
        <v>20</v>
      </c>
      <c r="G18" s="63">
        <f>F11/Days_in_year*S_C_top_mana*(1+C_other_pers_cost/100)</f>
        <v>380.28169014084506</v>
      </c>
      <c r="H18" s="64" t="s">
        <v>20</v>
      </c>
    </row>
    <row r="19" spans="2:8">
      <c r="B19" s="53"/>
      <c r="C19" s="54" t="s">
        <v>44</v>
      </c>
      <c r="D19" s="54"/>
      <c r="E19" s="55">
        <f>E14*I_other_cost/100</f>
        <v>5337.1141431924889</v>
      </c>
      <c r="F19" s="56" t="s">
        <v>20</v>
      </c>
      <c r="G19" s="55">
        <f>G14*C_other_cost/100</f>
        <v>17841.707746478867</v>
      </c>
      <c r="H19" s="13" t="s">
        <v>20</v>
      </c>
    </row>
    <row r="20" spans="2:8">
      <c r="B20" s="57"/>
      <c r="C20" s="58" t="s">
        <v>45</v>
      </c>
      <c r="D20" s="58"/>
      <c r="E20" s="14">
        <v>0</v>
      </c>
      <c r="F20" s="59" t="s">
        <v>20</v>
      </c>
      <c r="G20" s="60">
        <v>0</v>
      </c>
      <c r="H20" s="17" t="s">
        <v>20</v>
      </c>
    </row>
    <row r="21" spans="2:8">
      <c r="B21" s="49"/>
      <c r="C21" s="50" t="s">
        <v>46</v>
      </c>
      <c r="D21" s="50"/>
      <c r="E21" s="51">
        <v>30000</v>
      </c>
      <c r="F21" s="52" t="s">
        <v>20</v>
      </c>
      <c r="G21" s="61">
        <v>30000</v>
      </c>
      <c r="H21" s="5" t="s">
        <v>20</v>
      </c>
    </row>
    <row r="22" spans="2:8">
      <c r="B22" s="53"/>
      <c r="C22" s="54" t="s">
        <v>110</v>
      </c>
      <c r="D22" s="54"/>
      <c r="E22" s="55">
        <v>0</v>
      </c>
      <c r="F22" s="56" t="s">
        <v>20</v>
      </c>
      <c r="G22" s="62">
        <v>0</v>
      </c>
      <c r="H22" s="13" t="s">
        <v>20</v>
      </c>
    </row>
    <row r="23" spans="2:8">
      <c r="B23" s="82"/>
      <c r="C23" s="83" t="s">
        <v>48</v>
      </c>
      <c r="D23" s="83"/>
      <c r="E23" s="84">
        <f>SUM(E24:E26)</f>
        <v>0</v>
      </c>
      <c r="F23" s="85" t="s">
        <v>20</v>
      </c>
      <c r="G23" s="86">
        <f>SUM(G24:G26)</f>
        <v>0</v>
      </c>
      <c r="H23" s="87" t="s">
        <v>20</v>
      </c>
    </row>
    <row r="24" spans="2:8">
      <c r="B24" s="1"/>
      <c r="C24" s="23"/>
      <c r="D24" s="23" t="s">
        <v>49</v>
      </c>
      <c r="E24" s="63">
        <v>0</v>
      </c>
      <c r="F24" s="64" t="s">
        <v>20</v>
      </c>
      <c r="G24" s="65">
        <v>0</v>
      </c>
      <c r="H24" s="9" t="s">
        <v>20</v>
      </c>
    </row>
    <row r="25" spans="2:8">
      <c r="B25" s="1"/>
      <c r="C25" s="23"/>
      <c r="D25" s="23" t="s">
        <v>50</v>
      </c>
      <c r="E25" s="63">
        <v>0</v>
      </c>
      <c r="F25" s="64" t="s">
        <v>20</v>
      </c>
      <c r="G25" s="65">
        <v>0</v>
      </c>
      <c r="H25" s="9" t="s">
        <v>20</v>
      </c>
    </row>
    <row r="26" spans="2:8">
      <c r="B26" s="53"/>
      <c r="C26" s="54"/>
      <c r="D26" s="54" t="s">
        <v>51</v>
      </c>
      <c r="E26" s="55">
        <v>0</v>
      </c>
      <c r="F26" s="56" t="s">
        <v>20</v>
      </c>
      <c r="G26" s="62">
        <v>0</v>
      </c>
      <c r="H26" s="13" t="s">
        <v>20</v>
      </c>
    </row>
    <row r="27" spans="2:8">
      <c r="B27" s="88"/>
      <c r="C27" s="89" t="s">
        <v>52</v>
      </c>
      <c r="D27" s="89"/>
      <c r="E27" s="90">
        <f>SUM(E28:E29)</f>
        <v>0</v>
      </c>
      <c r="F27" s="91" t="s">
        <v>20</v>
      </c>
      <c r="G27" s="92">
        <f>SUM(G28:G29)</f>
        <v>0</v>
      </c>
      <c r="H27" s="93" t="s">
        <v>20</v>
      </c>
    </row>
    <row r="28" spans="2:8">
      <c r="B28" s="1"/>
      <c r="C28" s="23"/>
      <c r="D28" s="23" t="s">
        <v>53</v>
      </c>
      <c r="E28" s="63">
        <v>0</v>
      </c>
      <c r="F28" s="64" t="s">
        <v>20</v>
      </c>
      <c r="G28" s="65">
        <v>0</v>
      </c>
      <c r="H28" s="9" t="s">
        <v>20</v>
      </c>
    </row>
    <row r="29" spans="2:8">
      <c r="B29" s="18"/>
      <c r="C29" s="19"/>
      <c r="D29" s="19" t="s">
        <v>54</v>
      </c>
      <c r="E29" s="66">
        <v>0</v>
      </c>
      <c r="F29" s="67" t="s">
        <v>20</v>
      </c>
      <c r="G29" s="28">
        <v>0</v>
      </c>
      <c r="H29" s="29" t="s">
        <v>20</v>
      </c>
    </row>
    <row r="30" spans="2:8" ht="15.75">
      <c r="B30" s="68"/>
      <c r="C30" s="144" t="s">
        <v>77</v>
      </c>
      <c r="D30" s="144"/>
      <c r="E30" s="69">
        <f>E14+E19+E20+E21+E22+E23+E27</f>
        <v>45040.958039906109</v>
      </c>
      <c r="F30" s="70" t="s">
        <v>20</v>
      </c>
      <c r="G30" s="71">
        <f>G14+G19+G20+G21+G22+G23+G27</f>
        <v>70143.84242957746</v>
      </c>
      <c r="H30" s="70" t="s">
        <v>20</v>
      </c>
    </row>
    <row r="34" spans="2:5">
      <c r="B34" t="s">
        <v>95</v>
      </c>
    </row>
    <row r="35" spans="2:5">
      <c r="B35">
        <v>3</v>
      </c>
      <c r="C35" t="s">
        <v>96</v>
      </c>
    </row>
    <row r="36" spans="2:5">
      <c r="B36">
        <v>1</v>
      </c>
      <c r="C36" t="s">
        <v>97</v>
      </c>
    </row>
    <row r="37" spans="2:5">
      <c r="B37">
        <v>1</v>
      </c>
      <c r="C37" t="s">
        <v>98</v>
      </c>
    </row>
    <row r="38" spans="2:5">
      <c r="B38" t="s">
        <v>111</v>
      </c>
      <c r="C38" s="98">
        <v>45</v>
      </c>
      <c r="D38" s="98">
        <v>25</v>
      </c>
      <c r="E38" t="s">
        <v>112</v>
      </c>
    </row>
    <row r="39" spans="2:5">
      <c r="B39" t="s">
        <v>113</v>
      </c>
      <c r="C39" s="98">
        <v>25</v>
      </c>
    </row>
    <row r="40" spans="2:5">
      <c r="B40" t="s">
        <v>104</v>
      </c>
      <c r="C40" s="98">
        <v>1</v>
      </c>
    </row>
    <row r="41" spans="2:5">
      <c r="B41" t="s">
        <v>114</v>
      </c>
      <c r="C41" s="98">
        <v>0.5</v>
      </c>
    </row>
    <row r="42" spans="2:5">
      <c r="C42" t="s">
        <v>115</v>
      </c>
      <c r="D42" t="s">
        <v>116</v>
      </c>
    </row>
    <row r="44" spans="2:5">
      <c r="B44" t="s">
        <v>43</v>
      </c>
      <c r="C44" s="41" t="e">
        <f>C38*1/2*(1-D38/100)/'General assumptions'!C17*'General assumptions'!#REF!*(1+'General assumptions'!C18/100)</f>
        <v>#REF!</v>
      </c>
      <c r="D44" s="41" t="e">
        <f>C38*1/2*(1-D38/100)/'General assumptions'!C17*'General assumptions'!#REF!*(1+'General assumptions'!C18/100)</f>
        <v>#REF!</v>
      </c>
      <c r="E44" t="s">
        <v>20</v>
      </c>
    </row>
    <row r="45" spans="2:5">
      <c r="B45" t="s">
        <v>117</v>
      </c>
      <c r="C45" s="41">
        <f>C39/'General assumptions'!C17*'General assumptions'!E8*(1+'General assumptions'!C18/100)</f>
        <v>7629.1079812206572</v>
      </c>
      <c r="D45" s="41">
        <f>C39/'General assumptions'!C17*'General assumptions'!E8*(1+'General assumptions'!C18/100)</f>
        <v>7629.1079812206572</v>
      </c>
      <c r="E45" t="s">
        <v>20</v>
      </c>
    </row>
    <row r="46" spans="2:5">
      <c r="B46" t="s">
        <v>118</v>
      </c>
      <c r="C46" s="41">
        <f>C40/'General assumptions'!C17*'General assumptions'!E9*(1+'General assumptions'!C19/100)</f>
        <v>436.61971830985914</v>
      </c>
      <c r="D46" s="41">
        <f>C40/'General assumptions'!C17*'General assumptions'!E9*(1+'General assumptions'!C19/100)</f>
        <v>436.61971830985914</v>
      </c>
    </row>
    <row r="47" spans="2:5">
      <c r="B47" t="s">
        <v>119</v>
      </c>
      <c r="C47" s="41">
        <f>C41/'General assumptions'!C17*'General assumptions'!E9*(1+'General assumptions'!C19/100)</f>
        <v>218.30985915492957</v>
      </c>
      <c r="D47" s="41">
        <f>C41/'General assumptions'!C17*'General assumptions'!E9*(1+'General assumptions'!C19/100)</f>
        <v>218.30985915492957</v>
      </c>
    </row>
    <row r="48" spans="2:5">
      <c r="B48" t="s">
        <v>120</v>
      </c>
      <c r="C48" s="41" t="e">
        <f>(C44+C45+C46+C47)*'General assumptions'!C19/100</f>
        <v>#REF!</v>
      </c>
      <c r="D48" s="41" t="e">
        <f>(D44+C45+D46+D47)*'General assumptions'!G19/100</f>
        <v>#REF!</v>
      </c>
      <c r="E48" t="s">
        <v>20</v>
      </c>
    </row>
    <row r="50" spans="1:5">
      <c r="B50" t="s">
        <v>45</v>
      </c>
      <c r="C50" s="41">
        <f>E36/8/'General assumptions'!C8/'General assumptions'!G12*'General assumptions'!C18*'General assumptions'!C19/100</f>
        <v>0</v>
      </c>
      <c r="D50">
        <v>0</v>
      </c>
      <c r="E50" t="s">
        <v>20</v>
      </c>
    </row>
    <row r="51" spans="1:5">
      <c r="C51" s="41"/>
    </row>
    <row r="52" spans="1:5">
      <c r="A52" t="s">
        <v>46</v>
      </c>
      <c r="C52" s="41">
        <v>30000</v>
      </c>
      <c r="D52" s="41">
        <v>30000</v>
      </c>
      <c r="E52" t="s">
        <v>20</v>
      </c>
    </row>
    <row r="54" spans="1:5">
      <c r="A54" t="s">
        <v>48</v>
      </c>
      <c r="C54">
        <v>0</v>
      </c>
      <c r="D54">
        <v>0</v>
      </c>
      <c r="E54" t="s">
        <v>20</v>
      </c>
    </row>
    <row r="55" spans="1:5">
      <c r="B55" t="s">
        <v>49</v>
      </c>
      <c r="E55" t="s">
        <v>20</v>
      </c>
    </row>
    <row r="56" spans="1:5">
      <c r="B56" t="s">
        <v>50</v>
      </c>
      <c r="E56" t="s">
        <v>20</v>
      </c>
    </row>
    <row r="57" spans="1:5">
      <c r="B57" t="s">
        <v>51</v>
      </c>
      <c r="E57" t="s">
        <v>20</v>
      </c>
    </row>
    <row r="59" spans="1:5">
      <c r="A59" t="s">
        <v>52</v>
      </c>
      <c r="C59">
        <v>0</v>
      </c>
      <c r="D59">
        <v>0</v>
      </c>
      <c r="E59" t="s">
        <v>20</v>
      </c>
    </row>
    <row r="60" spans="1:5">
      <c r="B60" t="s">
        <v>53</v>
      </c>
      <c r="E60" t="s">
        <v>20</v>
      </c>
    </row>
    <row r="61" spans="1:5">
      <c r="B61" t="s">
        <v>54</v>
      </c>
      <c r="E61" t="s">
        <v>20</v>
      </c>
    </row>
    <row r="63" spans="1:5">
      <c r="B63" t="s">
        <v>77</v>
      </c>
      <c r="C63" s="41" t="e">
        <f>SUM(C44:C61)</f>
        <v>#REF!</v>
      </c>
      <c r="D63" s="41" t="e">
        <f>SUM(D44:D61)</f>
        <v>#REF!</v>
      </c>
      <c r="E63" t="s">
        <v>20</v>
      </c>
    </row>
  </sheetData>
  <mergeCells count="4">
    <mergeCell ref="E6:H6"/>
    <mergeCell ref="E13:F13"/>
    <mergeCell ref="G13:H13"/>
    <mergeCell ref="C30:D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AC090"/>
  </sheetPr>
  <dimension ref="A2:N29"/>
  <sheetViews>
    <sheetView zoomScaleNormal="100" workbookViewId="0">
      <selection activeCell="D10" sqref="D10"/>
    </sheetView>
  </sheetViews>
  <sheetFormatPr defaultRowHeight="15"/>
  <cols>
    <col min="1" max="1" width="4.7109375" customWidth="1"/>
    <col min="2" max="2" width="33.5703125" customWidth="1"/>
    <col min="3" max="6" width="8.5703125" customWidth="1"/>
    <col min="7" max="7" width="8.42578125" customWidth="1"/>
    <col min="8" max="1025" width="8.5703125" customWidth="1"/>
  </cols>
  <sheetData>
    <row r="2" spans="2:14" ht="18.75">
      <c r="B2" s="99" t="s">
        <v>121</v>
      </c>
    </row>
    <row r="4" spans="2:14" ht="18.75">
      <c r="B4" s="147" t="s">
        <v>122</v>
      </c>
      <c r="C4" s="148" t="s">
        <v>2</v>
      </c>
      <c r="D4" s="148"/>
      <c r="E4" s="148"/>
      <c r="F4" s="148"/>
      <c r="G4" s="148"/>
      <c r="H4" s="149" t="s">
        <v>3</v>
      </c>
      <c r="I4" s="149"/>
      <c r="J4" s="149"/>
      <c r="K4" s="149"/>
      <c r="L4" s="149"/>
    </row>
    <row r="5" spans="2:14">
      <c r="B5" s="147"/>
      <c r="C5" s="100" t="s">
        <v>123</v>
      </c>
      <c r="D5" s="100" t="s">
        <v>124</v>
      </c>
      <c r="E5" s="100" t="s">
        <v>125</v>
      </c>
      <c r="F5" s="100" t="s">
        <v>126</v>
      </c>
      <c r="G5" s="100" t="s">
        <v>127</v>
      </c>
      <c r="H5" s="101" t="s">
        <v>123</v>
      </c>
      <c r="I5" s="100" t="s">
        <v>124</v>
      </c>
      <c r="J5" s="100" t="s">
        <v>125</v>
      </c>
      <c r="K5" s="100" t="s">
        <v>126</v>
      </c>
      <c r="L5" s="102" t="s">
        <v>127</v>
      </c>
    </row>
    <row r="6" spans="2:14" ht="15.75">
      <c r="B6" s="103" t="s">
        <v>128</v>
      </c>
      <c r="C6" s="26" t="s">
        <v>28</v>
      </c>
      <c r="D6" s="65">
        <f>Virus!F34</f>
        <v>29564.113849765257</v>
      </c>
      <c r="E6" s="65">
        <f>DDoS!F23</f>
        <v>75549.59739171328</v>
      </c>
      <c r="F6" s="65">
        <f>'Data theft'!F24</f>
        <v>2288336.7077464792</v>
      </c>
      <c r="G6" s="65">
        <f>Botnet!E30</f>
        <v>45040.958039906109</v>
      </c>
      <c r="H6" s="104" t="s">
        <v>28</v>
      </c>
      <c r="I6" s="65">
        <f>Virus!H34</f>
        <v>55187.624352060324</v>
      </c>
      <c r="J6" s="65">
        <f>DDoS!H23</f>
        <v>19939.166666666668</v>
      </c>
      <c r="K6" s="65">
        <f>'Data theft'!H24</f>
        <v>935650.82159624412</v>
      </c>
      <c r="L6" s="64">
        <f>Botnet!G30</f>
        <v>70143.84242957746</v>
      </c>
    </row>
    <row r="7" spans="2:14" ht="15.75">
      <c r="B7" s="103"/>
      <c r="D7" s="23"/>
      <c r="E7" s="23"/>
      <c r="F7" s="23"/>
      <c r="G7" s="23"/>
      <c r="H7" s="1"/>
      <c r="I7" s="23"/>
      <c r="J7" s="23"/>
      <c r="K7" s="23"/>
      <c r="L7" s="9"/>
    </row>
    <row r="8" spans="2:14" ht="15.75">
      <c r="B8" s="103" t="s">
        <v>129</v>
      </c>
      <c r="C8" s="26" t="s">
        <v>28</v>
      </c>
      <c r="D8" s="72">
        <v>0.5</v>
      </c>
      <c r="E8" s="72">
        <v>2</v>
      </c>
      <c r="F8" s="72">
        <v>0.2</v>
      </c>
      <c r="G8" s="72">
        <v>0.1</v>
      </c>
      <c r="H8" s="104" t="s">
        <v>28</v>
      </c>
      <c r="I8" s="72">
        <v>0.3</v>
      </c>
      <c r="J8" s="72">
        <v>0.02</v>
      </c>
      <c r="K8" s="72">
        <v>4</v>
      </c>
      <c r="L8" s="105">
        <v>0.2</v>
      </c>
    </row>
    <row r="9" spans="2:14" ht="15.75">
      <c r="B9" s="103"/>
      <c r="C9" s="26"/>
      <c r="D9" s="23"/>
      <c r="E9" s="23"/>
      <c r="F9" s="23"/>
      <c r="G9" s="23"/>
      <c r="H9" s="104"/>
      <c r="I9" s="23"/>
      <c r="J9" s="23"/>
      <c r="K9" s="23"/>
      <c r="L9" s="9"/>
    </row>
    <row r="10" spans="2:14" ht="15.75">
      <c r="B10" s="103" t="s">
        <v>130</v>
      </c>
      <c r="C10" s="65">
        <f>Spam!E22</f>
        <v>19528.041666666672</v>
      </c>
      <c r="D10" s="65">
        <f>D6*D8</f>
        <v>14782.056924882629</v>
      </c>
      <c r="E10" s="65">
        <f>E6*E8</f>
        <v>151099.19478342656</v>
      </c>
      <c r="F10" s="65">
        <f>F6*F8</f>
        <v>457667.34154929587</v>
      </c>
      <c r="G10" s="65">
        <f>G6*G8</f>
        <v>4504.0958039906109</v>
      </c>
      <c r="H10" s="63">
        <f>Spam!G22</f>
        <v>30510.5</v>
      </c>
      <c r="I10" s="65">
        <f>I6*I8</f>
        <v>16556.287305618098</v>
      </c>
      <c r="J10" s="65">
        <f>J6*J8</f>
        <v>398.78333333333336</v>
      </c>
      <c r="K10" s="65">
        <f>K6*K8</f>
        <v>3742603.2863849765</v>
      </c>
      <c r="L10" s="64">
        <f>L6*L8</f>
        <v>14028.768485915492</v>
      </c>
      <c r="N10" s="65"/>
    </row>
    <row r="11" spans="2:14" ht="15.75">
      <c r="B11" s="103"/>
      <c r="C11" s="23"/>
      <c r="D11" s="23"/>
      <c r="E11" s="23"/>
      <c r="F11" s="23"/>
      <c r="G11" s="23"/>
      <c r="H11" s="1"/>
      <c r="I11" s="23"/>
      <c r="J11" s="23"/>
      <c r="K11" s="23"/>
      <c r="L11" s="9"/>
    </row>
    <row r="12" spans="2:14" ht="15.75">
      <c r="B12" s="106" t="s">
        <v>131</v>
      </c>
      <c r="C12" s="107"/>
      <c r="D12" s="108"/>
      <c r="E12" s="109">
        <f>SUM(C10:G10)</f>
        <v>647580.73072826234</v>
      </c>
      <c r="F12" s="108"/>
      <c r="G12" s="108"/>
      <c r="H12" s="110"/>
      <c r="I12" s="108"/>
      <c r="J12" s="109">
        <f>SUM(H10:L10)</f>
        <v>3804097.6255098432</v>
      </c>
      <c r="K12" s="107"/>
      <c r="L12" s="111"/>
    </row>
    <row r="29" spans="1:2">
      <c r="A29" s="40" t="s">
        <v>28</v>
      </c>
      <c r="B29" t="s">
        <v>132</v>
      </c>
    </row>
  </sheetData>
  <mergeCells count="3">
    <mergeCell ref="B4:B5"/>
    <mergeCell ref="C4:G4"/>
    <mergeCell ref="H4:L4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2"/>
  <sheetViews>
    <sheetView tabSelected="1" zoomScaleNormal="100" workbookViewId="0">
      <selection activeCell="R21" sqref="R21"/>
    </sheetView>
  </sheetViews>
  <sheetFormatPr defaultRowHeight="15"/>
  <cols>
    <col min="1" max="1" width="12.28515625" customWidth="1"/>
    <col min="2" max="2" width="19" customWidth="1"/>
    <col min="3" max="3" width="7.42578125" customWidth="1"/>
    <col min="4" max="4" width="8.7109375" customWidth="1"/>
    <col min="5" max="9" width="10.42578125" customWidth="1"/>
    <col min="10" max="12" width="9.140625" customWidth="1"/>
    <col min="13" max="13" width="9.7109375" customWidth="1"/>
    <col min="14" max="1025" width="9.140625" customWidth="1"/>
  </cols>
  <sheetData>
    <row r="1" spans="1:16" ht="19.899999999999999" customHeight="1">
      <c r="B1" s="112" t="s">
        <v>133</v>
      </c>
    </row>
    <row r="3" spans="1:16" ht="15.75" customHeight="1">
      <c r="B3" s="113" t="s">
        <v>2</v>
      </c>
      <c r="C3" s="151" t="s">
        <v>134</v>
      </c>
      <c r="D3" s="151" t="s">
        <v>135</v>
      </c>
      <c r="E3" s="152" t="s">
        <v>136</v>
      </c>
      <c r="F3" s="152"/>
      <c r="G3" s="152"/>
      <c r="H3" s="152"/>
      <c r="I3" s="152"/>
      <c r="J3" s="153" t="s">
        <v>137</v>
      </c>
      <c r="K3" s="153"/>
      <c r="L3" s="153"/>
      <c r="M3" s="153"/>
      <c r="N3" s="153"/>
      <c r="O3" s="154" t="s">
        <v>138</v>
      </c>
      <c r="P3" s="150" t="s">
        <v>139</v>
      </c>
    </row>
    <row r="4" spans="1:16">
      <c r="B4" s="114" t="s">
        <v>140</v>
      </c>
      <c r="C4" s="151"/>
      <c r="D4" s="151"/>
      <c r="E4" s="115" t="s">
        <v>123</v>
      </c>
      <c r="F4" s="116" t="s">
        <v>124</v>
      </c>
      <c r="G4" s="116" t="s">
        <v>125</v>
      </c>
      <c r="H4" s="116" t="s">
        <v>126</v>
      </c>
      <c r="I4" s="117" t="s">
        <v>127</v>
      </c>
      <c r="J4" s="115" t="s">
        <v>123</v>
      </c>
      <c r="K4" s="116" t="s">
        <v>124</v>
      </c>
      <c r="L4" s="116" t="s">
        <v>125</v>
      </c>
      <c r="M4" s="116" t="s">
        <v>126</v>
      </c>
      <c r="N4" s="117" t="s">
        <v>127</v>
      </c>
      <c r="O4" s="154"/>
      <c r="P4" s="150"/>
    </row>
    <row r="5" spans="1:16" ht="18.75">
      <c r="A5" t="s">
        <v>141</v>
      </c>
      <c r="B5" s="118" t="s">
        <v>142</v>
      </c>
      <c r="C5" s="119">
        <v>20000</v>
      </c>
      <c r="D5" s="119">
        <v>2</v>
      </c>
      <c r="E5" s="120">
        <v>0.1</v>
      </c>
      <c r="F5" s="121">
        <v>0.5</v>
      </c>
      <c r="G5" s="121">
        <v>0.2</v>
      </c>
      <c r="H5" s="121">
        <v>0.1</v>
      </c>
      <c r="I5" s="122">
        <v>0.5</v>
      </c>
      <c r="J5" s="123">
        <f>Comparison!C10*E5</f>
        <v>1952.8041666666672</v>
      </c>
      <c r="K5" s="124">
        <f>Comparison!D10*F5</f>
        <v>7391.0284624413143</v>
      </c>
      <c r="L5" s="124">
        <f>Comparison!E10*G5</f>
        <v>30219.838956685315</v>
      </c>
      <c r="M5" s="124">
        <f>Comparison!F10*H5</f>
        <v>45766.734154929589</v>
      </c>
      <c r="N5" s="125">
        <f>Comparison!G10*I5</f>
        <v>2252.0479019953054</v>
      </c>
      <c r="O5" s="126">
        <v>137452.79999999999</v>
      </c>
      <c r="P5" s="127">
        <f>(O5-C5)/C5</f>
        <v>5.8726399999999996</v>
      </c>
    </row>
    <row r="6" spans="1:16" ht="15" customHeight="1">
      <c r="A6">
        <v>1</v>
      </c>
      <c r="B6" s="128" t="s">
        <v>143</v>
      </c>
      <c r="C6" s="50">
        <v>50</v>
      </c>
      <c r="D6" s="50">
        <v>2</v>
      </c>
      <c r="E6" s="50">
        <v>0.2</v>
      </c>
      <c r="F6" s="50">
        <v>0.8</v>
      </c>
      <c r="G6" s="50">
        <v>0.5</v>
      </c>
      <c r="H6" s="50">
        <v>0.1</v>
      </c>
      <c r="I6" s="50">
        <v>0.1</v>
      </c>
      <c r="J6" s="50">
        <v>3905.6</v>
      </c>
      <c r="K6" s="50">
        <v>11825.6</v>
      </c>
      <c r="L6" s="50">
        <v>75504.5</v>
      </c>
      <c r="M6" s="50">
        <v>45766.7</v>
      </c>
      <c r="N6" s="50">
        <v>450.4</v>
      </c>
      <c r="O6" s="50">
        <v>137452.79999999999</v>
      </c>
      <c r="P6" s="3">
        <v>2748</v>
      </c>
    </row>
    <row r="7" spans="1:16" ht="15" customHeight="1">
      <c r="A7">
        <v>2</v>
      </c>
      <c r="B7" s="128" t="s">
        <v>144</v>
      </c>
      <c r="C7" s="50">
        <v>9000</v>
      </c>
      <c r="D7" s="50">
        <v>3</v>
      </c>
      <c r="E7" s="50">
        <v>0.1</v>
      </c>
      <c r="F7" s="50">
        <v>0.1</v>
      </c>
      <c r="G7" s="50">
        <v>0.1</v>
      </c>
      <c r="H7" s="50">
        <v>0.2</v>
      </c>
      <c r="I7" s="50">
        <v>0.4</v>
      </c>
      <c r="J7" s="123">
        <v>1952.8040000000001</v>
      </c>
      <c r="K7" s="50">
        <v>1478.2</v>
      </c>
      <c r="L7" s="50">
        <v>15100.9</v>
      </c>
      <c r="M7" s="50">
        <v>183066.8</v>
      </c>
      <c r="N7" s="50">
        <v>1801.6</v>
      </c>
      <c r="O7" s="50">
        <v>216800.304</v>
      </c>
      <c r="P7" s="3">
        <v>23</v>
      </c>
    </row>
    <row r="8" spans="1:16" ht="15" customHeight="1">
      <c r="A8">
        <v>3</v>
      </c>
      <c r="B8" s="129" t="s">
        <v>145</v>
      </c>
      <c r="C8" s="134">
        <v>90</v>
      </c>
      <c r="D8" s="134">
        <v>3</v>
      </c>
      <c r="E8" s="134">
        <v>0.3</v>
      </c>
      <c r="F8" s="134">
        <v>0.1</v>
      </c>
      <c r="G8" s="134">
        <v>0.2</v>
      </c>
      <c r="H8" s="134">
        <v>0.8</v>
      </c>
      <c r="I8" s="134">
        <v>0.1</v>
      </c>
      <c r="J8" s="134">
        <v>5858.4</v>
      </c>
      <c r="K8" s="50">
        <v>1478.2</v>
      </c>
      <c r="L8" s="134">
        <v>30201.8</v>
      </c>
      <c r="M8" s="50">
        <v>45766.7</v>
      </c>
      <c r="N8" s="50">
        <v>450.4</v>
      </c>
      <c r="O8" s="134">
        <v>83755.5</v>
      </c>
      <c r="P8" s="7">
        <v>929.6</v>
      </c>
    </row>
    <row r="9" spans="1:16" ht="15" customHeight="1">
      <c r="A9">
        <v>4</v>
      </c>
      <c r="B9" s="129" t="s">
        <v>146</v>
      </c>
      <c r="C9" s="134">
        <v>100</v>
      </c>
      <c r="D9" s="134">
        <v>2</v>
      </c>
      <c r="E9" s="134">
        <v>0.3</v>
      </c>
      <c r="F9" s="134">
        <v>0.2</v>
      </c>
      <c r="G9" s="134">
        <v>0.4</v>
      </c>
      <c r="H9" s="134">
        <v>0.4</v>
      </c>
      <c r="I9" s="134">
        <v>0.2</v>
      </c>
      <c r="J9" s="134">
        <v>5858.4</v>
      </c>
      <c r="K9" s="134">
        <v>2956.4</v>
      </c>
      <c r="L9" s="134">
        <v>60403.6</v>
      </c>
      <c r="M9" s="134">
        <v>91533.4</v>
      </c>
      <c r="N9" s="134">
        <v>900.8</v>
      </c>
      <c r="O9" s="134">
        <v>161652.6</v>
      </c>
      <c r="P9" s="7">
        <v>1615.5</v>
      </c>
    </row>
    <row r="10" spans="1:16" ht="15" customHeight="1">
      <c r="A10">
        <v>5</v>
      </c>
      <c r="B10" s="130" t="s">
        <v>147</v>
      </c>
      <c r="C10" s="135">
        <v>2400</v>
      </c>
      <c r="D10" s="54">
        <v>3</v>
      </c>
      <c r="E10" s="54">
        <v>0.4</v>
      </c>
      <c r="F10" s="54">
        <v>0.1</v>
      </c>
      <c r="G10" s="54">
        <v>0.2</v>
      </c>
      <c r="H10" s="54">
        <v>0.3</v>
      </c>
      <c r="I10" s="54">
        <v>0.1</v>
      </c>
      <c r="J10" s="54">
        <v>7811.2</v>
      </c>
      <c r="K10" s="50">
        <v>1478.2</v>
      </c>
      <c r="L10" s="134">
        <v>30201.8</v>
      </c>
      <c r="M10" s="50">
        <v>45766.7</v>
      </c>
      <c r="N10" s="50">
        <v>450.4</v>
      </c>
      <c r="O10" s="54">
        <v>85708.3</v>
      </c>
      <c r="P10" s="11">
        <v>34.700000000000003</v>
      </c>
    </row>
    <row r="14" spans="1:16" ht="15.75" customHeight="1">
      <c r="B14" s="113" t="s">
        <v>3</v>
      </c>
      <c r="C14" s="151" t="s">
        <v>134</v>
      </c>
      <c r="D14" s="151" t="s">
        <v>135</v>
      </c>
      <c r="E14" s="152" t="s">
        <v>136</v>
      </c>
      <c r="F14" s="152"/>
      <c r="G14" s="152"/>
      <c r="H14" s="152"/>
      <c r="I14" s="152"/>
      <c r="J14" s="153" t="s">
        <v>137</v>
      </c>
      <c r="K14" s="153"/>
      <c r="L14" s="153"/>
      <c r="M14" s="153"/>
      <c r="N14" s="153"/>
      <c r="O14" s="154" t="s">
        <v>138</v>
      </c>
      <c r="P14" s="150" t="s">
        <v>139</v>
      </c>
    </row>
    <row r="15" spans="1:16">
      <c r="B15" s="114" t="s">
        <v>140</v>
      </c>
      <c r="C15" s="151"/>
      <c r="D15" s="151"/>
      <c r="E15" s="115" t="s">
        <v>123</v>
      </c>
      <c r="F15" s="116" t="s">
        <v>124</v>
      </c>
      <c r="G15" s="116" t="s">
        <v>125</v>
      </c>
      <c r="H15" s="116" t="s">
        <v>126</v>
      </c>
      <c r="I15" s="117" t="s">
        <v>127</v>
      </c>
      <c r="J15" s="115" t="s">
        <v>123</v>
      </c>
      <c r="K15" s="116" t="s">
        <v>124</v>
      </c>
      <c r="L15" s="116" t="s">
        <v>125</v>
      </c>
      <c r="M15" s="116" t="s">
        <v>126</v>
      </c>
      <c r="N15" s="117" t="s">
        <v>127</v>
      </c>
      <c r="O15" s="154"/>
      <c r="P15" s="150"/>
    </row>
    <row r="16" spans="1:16" ht="18.75">
      <c r="A16" t="s">
        <v>141</v>
      </c>
      <c r="B16" s="118" t="s">
        <v>142</v>
      </c>
      <c r="C16" s="119">
        <v>18000</v>
      </c>
      <c r="D16" s="119">
        <v>3</v>
      </c>
      <c r="E16" s="120">
        <v>0.1</v>
      </c>
      <c r="F16" s="121">
        <v>0.5</v>
      </c>
      <c r="G16" s="121">
        <v>0.1</v>
      </c>
      <c r="H16" s="121">
        <v>0.4</v>
      </c>
      <c r="I16" s="122">
        <v>0.5</v>
      </c>
      <c r="J16" s="123">
        <f>Comparison!H10*E16</f>
        <v>3051.05</v>
      </c>
      <c r="K16" s="124">
        <f>Comparison!I10*F16</f>
        <v>8278.1436528090489</v>
      </c>
      <c r="L16" s="124">
        <f>Comparison!J10*G16</f>
        <v>39.878333333333337</v>
      </c>
      <c r="M16" s="124">
        <f>Comparison!K10*H16</f>
        <v>1497041.3145539907</v>
      </c>
      <c r="N16" s="125">
        <f>Comparison!L10*I16</f>
        <v>7014.3842429577462</v>
      </c>
      <c r="O16" s="126">
        <f>D16*(J16+K16+L16+M16+N16)</f>
        <v>4546274.312349272</v>
      </c>
      <c r="P16" s="127">
        <f>(O16-C16)/C16</f>
        <v>251.57079513051511</v>
      </c>
    </row>
    <row r="17" spans="1:16" ht="15" customHeight="1">
      <c r="A17">
        <v>1</v>
      </c>
      <c r="B17" s="128" t="s">
        <v>143</v>
      </c>
      <c r="C17" s="50">
        <v>60</v>
      </c>
      <c r="D17" s="50">
        <v>2</v>
      </c>
      <c r="E17" s="50">
        <v>0.3</v>
      </c>
      <c r="F17" s="50">
        <v>0.9</v>
      </c>
      <c r="G17" s="50">
        <v>0.6</v>
      </c>
      <c r="H17" s="50">
        <v>0.2</v>
      </c>
      <c r="I17" s="50">
        <v>0.1</v>
      </c>
      <c r="J17" s="134">
        <v>9153.2999999999993</v>
      </c>
      <c r="K17" s="50">
        <v>14900.4</v>
      </c>
      <c r="L17" s="50">
        <v>239.4</v>
      </c>
      <c r="M17" s="50">
        <v>45766.7</v>
      </c>
      <c r="N17" s="50">
        <v>1402.9</v>
      </c>
      <c r="O17" s="50">
        <v>71462.7</v>
      </c>
      <c r="P17" s="3">
        <v>1190</v>
      </c>
    </row>
    <row r="18" spans="1:16" ht="15" customHeight="1">
      <c r="A18">
        <v>2</v>
      </c>
      <c r="B18" s="128" t="s">
        <v>144</v>
      </c>
      <c r="C18">
        <v>8000</v>
      </c>
      <c r="D18">
        <v>3</v>
      </c>
      <c r="E18">
        <v>0.1</v>
      </c>
      <c r="F18">
        <v>0.1</v>
      </c>
      <c r="G18">
        <v>0.2</v>
      </c>
      <c r="H18">
        <v>0.2</v>
      </c>
      <c r="I18">
        <v>0.5</v>
      </c>
      <c r="J18" s="123">
        <v>3051.05</v>
      </c>
      <c r="K18" s="50">
        <v>1655.6</v>
      </c>
      <c r="L18" s="134">
        <v>79.8</v>
      </c>
      <c r="M18" s="134">
        <v>228833.5</v>
      </c>
      <c r="N18" s="134">
        <v>7014.5</v>
      </c>
      <c r="O18" s="134">
        <v>240634.45</v>
      </c>
      <c r="P18" s="7">
        <v>29</v>
      </c>
    </row>
    <row r="19" spans="1:16" ht="15" customHeight="1">
      <c r="A19">
        <v>3</v>
      </c>
      <c r="B19" s="129" t="s">
        <v>145</v>
      </c>
      <c r="C19">
        <v>80</v>
      </c>
      <c r="D19">
        <v>3</v>
      </c>
      <c r="E19">
        <v>0.4</v>
      </c>
      <c r="F19">
        <v>0.1</v>
      </c>
      <c r="G19">
        <v>0.3</v>
      </c>
      <c r="H19">
        <v>0.9</v>
      </c>
      <c r="I19">
        <v>0.1</v>
      </c>
      <c r="J19" s="54">
        <v>12204.4</v>
      </c>
      <c r="K19" s="50">
        <v>1655.6</v>
      </c>
      <c r="L19" s="134">
        <v>119.7</v>
      </c>
      <c r="M19" s="50">
        <v>45766.7</v>
      </c>
      <c r="N19" s="50">
        <v>1402.9</v>
      </c>
      <c r="O19" s="134">
        <v>61149.3</v>
      </c>
      <c r="P19" s="7">
        <v>763.3</v>
      </c>
    </row>
    <row r="20" spans="1:16" ht="15" customHeight="1">
      <c r="A20">
        <v>4</v>
      </c>
      <c r="B20" s="129" t="s">
        <v>146</v>
      </c>
      <c r="C20">
        <v>90</v>
      </c>
      <c r="D20">
        <v>2</v>
      </c>
      <c r="E20">
        <v>0.4</v>
      </c>
      <c r="F20">
        <v>0.3</v>
      </c>
      <c r="G20">
        <v>0.5</v>
      </c>
      <c r="H20">
        <v>0.5</v>
      </c>
      <c r="I20">
        <v>0.2</v>
      </c>
      <c r="J20" s="54">
        <v>12204.4</v>
      </c>
      <c r="K20" s="134">
        <v>4966.8</v>
      </c>
      <c r="L20" s="50">
        <v>199.5</v>
      </c>
      <c r="M20" s="134">
        <v>91533.4</v>
      </c>
      <c r="N20" s="134">
        <v>2805.8</v>
      </c>
      <c r="O20" s="134">
        <v>111709.9</v>
      </c>
      <c r="P20" s="7">
        <v>1240.2</v>
      </c>
    </row>
    <row r="21" spans="1:16" ht="15" customHeight="1">
      <c r="A21">
        <v>5</v>
      </c>
      <c r="B21" s="130" t="s">
        <v>147</v>
      </c>
      <c r="C21" s="54">
        <v>5000</v>
      </c>
      <c r="D21" s="54">
        <v>3</v>
      </c>
      <c r="E21" s="54">
        <v>0.5</v>
      </c>
      <c r="F21" s="54">
        <v>0.2</v>
      </c>
      <c r="G21" s="54">
        <v>0.3</v>
      </c>
      <c r="H21" s="54">
        <v>0.4</v>
      </c>
      <c r="I21" s="54">
        <v>0.1</v>
      </c>
      <c r="J21" s="54">
        <v>15255.5</v>
      </c>
      <c r="K21" s="134">
        <v>3311.2</v>
      </c>
      <c r="L21" s="134">
        <v>79.8</v>
      </c>
      <c r="M21" s="50">
        <v>45766.7</v>
      </c>
      <c r="N21" s="50">
        <v>1402.9</v>
      </c>
      <c r="O21" s="54">
        <v>65816.100000000006</v>
      </c>
      <c r="P21" s="11">
        <v>12.16</v>
      </c>
    </row>
    <row r="24" spans="1:16">
      <c r="B24" s="131" t="s">
        <v>148</v>
      </c>
    </row>
    <row r="25" spans="1:16" ht="15.75">
      <c r="B25" s="132" t="s">
        <v>149</v>
      </c>
    </row>
    <row r="26" spans="1:16" ht="15.75">
      <c r="B26" s="132" t="s">
        <v>150</v>
      </c>
    </row>
    <row r="27" spans="1:16" ht="15.75">
      <c r="B27" s="132" t="s">
        <v>151</v>
      </c>
    </row>
    <row r="28" spans="1:16" ht="15.75">
      <c r="B28" s="132" t="s">
        <v>152</v>
      </c>
    </row>
    <row r="29" spans="1:16" ht="15.75">
      <c r="B29" s="132" t="s">
        <v>153</v>
      </c>
    </row>
    <row r="30" spans="1:16" ht="15.75">
      <c r="B30" s="132" t="s">
        <v>154</v>
      </c>
    </row>
    <row r="32" spans="1:16" ht="113.45" customHeight="1">
      <c r="B32" s="133" t="s">
        <v>155</v>
      </c>
    </row>
  </sheetData>
  <mergeCells count="12">
    <mergeCell ref="P3:P4"/>
    <mergeCell ref="C14:C15"/>
    <mergeCell ref="D14:D15"/>
    <mergeCell ref="E14:I14"/>
    <mergeCell ref="J14:N14"/>
    <mergeCell ref="O14:O15"/>
    <mergeCell ref="P14:P15"/>
    <mergeCell ref="C3:C4"/>
    <mergeCell ref="D3:D4"/>
    <mergeCell ref="E3:I3"/>
    <mergeCell ref="J3:N3"/>
    <mergeCell ref="O3:O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1C6E0EBD1D147B15722AD4D13B01A" ma:contentTypeVersion="11" ma:contentTypeDescription="Create a new document." ma:contentTypeScope="" ma:versionID="b1db78778a3efbd57f00f341bfdb2478">
  <xsd:schema xmlns:xsd="http://www.w3.org/2001/XMLSchema" xmlns:xs="http://www.w3.org/2001/XMLSchema" xmlns:p="http://schemas.microsoft.com/office/2006/metadata/properties" xmlns:ns2="112e90af-c593-4db4-84b9-7ec86b2f2110" targetNamespace="http://schemas.microsoft.com/office/2006/metadata/properties" ma:root="true" ma:fieldsID="5750bc083fa71ade5fa888ba703af105" ns2:_="">
    <xsd:import namespace="112e90af-c593-4db4-84b9-7ec86b2f2110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e90af-c593-4db4-84b9-7ec86b2f2110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12e90af-c593-4db4-84b9-7ec86b2f2110" xsi:nil="true"/>
  </documentManagement>
</p:properties>
</file>

<file path=customXml/itemProps1.xml><?xml version="1.0" encoding="utf-8"?>
<ds:datastoreItem xmlns:ds="http://schemas.openxmlformats.org/officeDocument/2006/customXml" ds:itemID="{D442F752-7C4A-4B36-8CFC-EDA7090E2514}"/>
</file>

<file path=customXml/itemProps2.xml><?xml version="1.0" encoding="utf-8"?>
<ds:datastoreItem xmlns:ds="http://schemas.openxmlformats.org/officeDocument/2006/customXml" ds:itemID="{2728D807-7DDE-4A2F-B7AE-C7F50355FECE}"/>
</file>

<file path=customXml/itemProps3.xml><?xml version="1.0" encoding="utf-8"?>
<ds:datastoreItem xmlns:ds="http://schemas.openxmlformats.org/officeDocument/2006/customXml" ds:itemID="{61C7BF2C-BDB4-4EEE-9AC7-EB7C33FA39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Nauczyciel</dc:creator>
  <cp:keywords/>
  <dc:description/>
  <cp:lastModifiedBy>Ruslana Prus</cp:lastModifiedBy>
  <cp:revision>2</cp:revision>
  <dcterms:created xsi:type="dcterms:W3CDTF">2006-09-16T00:00:00Z</dcterms:created>
  <dcterms:modified xsi:type="dcterms:W3CDTF">2021-01-25T18:49:42Z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0x0101003601C6E0EBD1D147B15722AD4D13B01A</vt:lpwstr>
  </property>
</Properties>
</file>