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4.xml" ContentType="application/vnd.openxmlformats-officedocument.spreadsheetml.table+xml"/>
  <Override PartName="/xl/drawings/drawing7.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ables/table5.xml" ContentType="application/vnd.openxmlformats-officedocument.spreadsheetml.table+xml"/>
  <Override PartName="/xl/drawings/drawing8.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pivotTables/pivotTable6.xml" ContentType="application/vnd.openxmlformats-officedocument.spreadsheetml.pivot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24226"/>
  <mc:AlternateContent xmlns:mc="http://schemas.openxmlformats.org/markup-compatibility/2006">
    <mc:Choice Requires="x15">
      <x15ac:absPath xmlns:x15ac="http://schemas.microsoft.com/office/spreadsheetml/2010/11/ac" url="C:\Users\user\Desktop\excel project\"/>
    </mc:Choice>
  </mc:AlternateContent>
  <xr:revisionPtr revIDLastSave="0" documentId="8_{57A68F8C-B089-4C55-84EB-405E21FDBE53}" xr6:coauthVersionLast="47" xr6:coauthVersionMax="47" xr10:uidLastSave="{00000000-0000-0000-0000-000000000000}"/>
  <bookViews>
    <workbookView xWindow="-120" yWindow="-120" windowWidth="20730" windowHeight="11160" tabRatio="969" firstSheet="34" activeTab="34" xr2:uid="{00000000-000D-0000-FFFF-FFFF00000000}"/>
  </bookViews>
  <sheets>
    <sheet name="pivot table" sheetId="2" r:id="rId1"/>
    <sheet name="Sheet1" sheetId="1" r:id="rId2"/>
    <sheet name="use timeine" sheetId="3" r:id="rId3"/>
    <sheet name="index plus match" sheetId="4" r:id="rId4"/>
    <sheet name="use lookup" sheetId="5" r:id="rId5"/>
    <sheet name="use vlookup" sheetId="6" r:id="rId6"/>
    <sheet name="use hlookup" sheetId="7" r:id="rId7"/>
    <sheet name="sumif" sheetId="8" r:id="rId8"/>
    <sheet name="sumifs&amp;countif" sheetId="9" r:id="rId9"/>
    <sheet name="avergaeif&amp;ifs" sheetId="10" r:id="rId10"/>
    <sheet name="sumproduct" sheetId="11" r:id="rId11"/>
    <sheet name="US OF IF,AND,OR" sheetId="12" r:id="rId12"/>
    <sheet name="SUBSITUTE" sheetId="15" r:id="rId13"/>
    <sheet name="USE OF LEFT,RIGHT," sheetId="13" r:id="rId14"/>
    <sheet name="REPT FORMULA" sheetId="14" r:id="rId15"/>
    <sheet name="MAYPENT FORMULA" sheetId="16" r:id="rId16"/>
    <sheet name="PV,FV" sheetId="17" r:id="rId17"/>
    <sheet name="VLOOKUP" sheetId="18" r:id="rId18"/>
    <sheet name="RANGE,LOOKUP" sheetId="19" r:id="rId19"/>
    <sheet name="IFERROE INVLOOKUP" sheetId="20" r:id="rId20"/>
    <sheet name="NESTED VLOOKPU" sheetId="21" r:id="rId21"/>
    <sheet name="double lookup" sheetId="22" r:id="rId22"/>
    <sheet name="multivlookup" sheetId="23" r:id="rId23"/>
    <sheet name="AVG,PER" sheetId="25" r:id="rId24"/>
    <sheet name="Sheet16" sheetId="26" r:id="rId25"/>
    <sheet name="mis report chart" sheetId="27" r:id="rId26"/>
    <sheet name="chart2" sheetId="29" r:id="rId27"/>
    <sheet name="chart1" sheetId="28" r:id="rId28"/>
    <sheet name="mis report" sheetId="30" r:id="rId29"/>
    <sheet name="pivot deshaboard" sheetId="32" r:id="rId30"/>
    <sheet name="pivot cchart" sheetId="38" r:id="rId31"/>
    <sheet name="Sheet9" sheetId="43" r:id="rId32"/>
    <sheet name="created one row" sheetId="31" r:id="rId33"/>
    <sheet name="Sheet4" sheetId="36" r:id="rId34"/>
    <sheet name="line chart" sheetId="37" r:id="rId35"/>
    <sheet name="date_data" sheetId="39" r:id="rId36"/>
    <sheet name="pivot" sheetId="40" r:id="rId37"/>
    <sheet name="MIS dashboard" sheetId="41" r:id="rId38"/>
    <sheet name="Sheet13" sheetId="47" r:id="rId39"/>
    <sheet name="custmomer satisfection" sheetId="49" r:id="rId40"/>
    <sheet name="NET SALARY2" sheetId="50" r:id="rId41"/>
    <sheet name="ADD COST" sheetId="51" r:id="rId42"/>
    <sheet name="EMP_SAL_SHEET" sheetId="54" r:id="rId43"/>
    <sheet name="SAL+SLIP" sheetId="55" r:id="rId44"/>
    <sheet name="infor about farmers" sheetId="58" r:id="rId45"/>
    <sheet name="farmers" sheetId="57" r:id="rId46"/>
    <sheet name="PRACTICE" sheetId="59" r:id="rId47"/>
    <sheet name="Sheet11" sheetId="63" r:id="rId48"/>
    <sheet name="sortby formula" sheetId="64" r:id="rId49"/>
    <sheet name="Shit10" sheetId="62" r:id="rId50"/>
  </sheets>
  <definedNames>
    <definedName name="_xlnm._FilterDatabase" localSheetId="9" hidden="1">'avergaeif&amp;ifs'!$A$1:$D$25</definedName>
    <definedName name="_xlnm._FilterDatabase" localSheetId="23" hidden="1">'AVG,PER'!$A$1:$C$6</definedName>
    <definedName name="_xlnm._FilterDatabase" localSheetId="35" hidden="1">date_data!$A$1:$H$11</definedName>
    <definedName name="_xlnm._FilterDatabase" localSheetId="45" hidden="1">farmers!$A$1:$J$1</definedName>
    <definedName name="_xlnm._FilterDatabase" localSheetId="46" hidden="1">PRACTICE!$A$2:$A$6</definedName>
    <definedName name="_xlnm._FilterDatabase" localSheetId="38" hidden="1">Sheet13!$A$1:$L$70</definedName>
    <definedName name="_xlnm._FilterDatabase" localSheetId="33" hidden="1">Sheet4!$A$1:$K$70</definedName>
    <definedName name="_xlnm._FilterDatabase" localSheetId="2" hidden="1">'use timeine'!#REF!</definedName>
    <definedName name="Amount">Sheet4!$I$2:$I$1048576</definedName>
    <definedName name="Date" localSheetId="35">date_data!$B$2:$B$1048576</definedName>
    <definedName name="Date">Sheet4!$A$2:$A$70</definedName>
    <definedName name="DATEE">date_data!$B:$B</definedName>
    <definedName name="Discount_5">Sheet4!$J$2:$J$70</definedName>
    <definedName name="Item">Sheet4!$E$2:$E$70</definedName>
    <definedName name="items">Sheet13!$E:$E</definedName>
    <definedName name="MONN">Sheet4!$B:$B</definedName>
    <definedName name="Month">Sheet4!$B$2:$B$70</definedName>
    <definedName name="Order_ID">date_data!$A$2:$A$1048576</definedName>
    <definedName name="Price">Sheet4!$G$2:$G$70</definedName>
    <definedName name="Product_Category">date_data!$E$2:$E$1048576</definedName>
    <definedName name="Qty_Sold">Sheet4!$F$2:$F$70</definedName>
    <definedName name="region" localSheetId="35">date_data!$C$2:$C$1048576</definedName>
    <definedName name="Region">Sheet4!$D$2:$D$1048576</definedName>
    <definedName name="REGIONN">Sheet4!$D:$D</definedName>
    <definedName name="RIGON">date_data!$C:$C</definedName>
    <definedName name="SALESMANN">date_data!$D:$D</definedName>
    <definedName name="Salesperson">date_data!$D$2:$D$1048576</definedName>
    <definedName name="shorts">Sheet13!$F:$F</definedName>
    <definedName name="Slicer_Price">#N/A</definedName>
    <definedName name="Slicer_Quantity">#N/A</definedName>
    <definedName name="Slicer_STATE">#N/A</definedName>
    <definedName name="Slicer_Year">#N/A</definedName>
    <definedName name="SOLD_QTY">Sheet4!$F:$F</definedName>
    <definedName name="Total_Amount">Sheet4!$K$2:$K$70</definedName>
    <definedName name="TOTAL_PRICE">date_data!$H:$H</definedName>
    <definedName name="Total_Sales">date_data!$H$2:$H$1048576</definedName>
    <definedName name="Unit">Sheet4!$H$2:$H$70</definedName>
    <definedName name="Unit_Price">date_data!$G$2:$G$1048576</definedName>
    <definedName name="Units_Sold">date_data!$F$2:$F$1048576</definedName>
    <definedName name="Year">Sheet4!$C$2:$C$70</definedName>
    <definedName name="YEARR">Sheet4!$C:$C</definedName>
  </definedNames>
  <calcPr calcId="191029"/>
  <pivotCaches>
    <pivotCache cacheId="37" r:id="rId51"/>
    <pivotCache cacheId="38" r:id="rId52"/>
    <pivotCache cacheId="39" r:id="rId53"/>
    <pivotCache cacheId="40" r:id="rId54"/>
    <pivotCache cacheId="41" r:id="rId55"/>
  </pivotCaches>
  <fileRecoveryPr repairLoad="1"/>
  <extLst>
    <ext xmlns:x14="http://schemas.microsoft.com/office/spreadsheetml/2009/9/main" uri="{BBE1A952-AA13-448e-AADC-164F8A28A991}">
      <x14:slicerCaches>
        <x14:slicerCache r:id="rId56"/>
        <x14:slicerCache r:id="rId57"/>
        <x14:slicerCache r:id="rId58"/>
        <x14:slicerCache r:id="rId59"/>
      </x14:slicerCaches>
    </ext>
    <ext xmlns:x14="http://schemas.microsoft.com/office/spreadsheetml/2009/9/main" uri="{79F54976-1DA5-4618-B147-4CDE4B953A38}">
      <x14:workbookPr/>
    </ext>
  </extLst>
</workbook>
</file>

<file path=xl/calcChain.xml><?xml version="1.0" encoding="utf-8"?>
<calcChain xmlns="http://schemas.openxmlformats.org/spreadsheetml/2006/main">
  <c r="E4" i="51" l="1"/>
  <c r="E3" i="51"/>
  <c r="I19" i="25"/>
  <c r="I18" i="25"/>
  <c r="I17" i="25"/>
  <c r="I16" i="25"/>
  <c r="N14" i="16"/>
  <c r="B6" i="15"/>
  <c r="B5" i="15"/>
  <c r="H1" i="64"/>
  <c r="H4" i="64"/>
  <c r="H3" i="64"/>
  <c r="H2" i="64"/>
  <c r="A2" i="64" a="1"/>
  <c r="A2" i="64" s="1"/>
  <c r="O5" i="55"/>
  <c r="O6" i="55"/>
  <c r="O7" i="55"/>
  <c r="O8" i="55"/>
  <c r="O9" i="55"/>
  <c r="O10" i="55"/>
  <c r="O11" i="55"/>
  <c r="O12" i="55"/>
  <c r="O13" i="55"/>
  <c r="O14" i="55"/>
  <c r="O15" i="55"/>
  <c r="O16" i="55"/>
  <c r="N5" i="55"/>
  <c r="N6" i="55"/>
  <c r="N7" i="55"/>
  <c r="N8" i="55"/>
  <c r="N9" i="55"/>
  <c r="N10" i="55"/>
  <c r="N11" i="55"/>
  <c r="N12" i="55"/>
  <c r="N13" i="55"/>
  <c r="N14" i="55"/>
  <c r="N15" i="55"/>
  <c r="N16" i="55"/>
  <c r="M5" i="55"/>
  <c r="M6" i="55"/>
  <c r="M7" i="55"/>
  <c r="M8" i="55"/>
  <c r="M9" i="55"/>
  <c r="M10" i="55"/>
  <c r="M11" i="55"/>
  <c r="M12" i="55"/>
  <c r="M13" i="55"/>
  <c r="M14" i="55"/>
  <c r="M15" i="55"/>
  <c r="M16" i="55"/>
  <c r="L5" i="55"/>
  <c r="L6" i="55"/>
  <c r="L7" i="55"/>
  <c r="L8" i="55"/>
  <c r="L9" i="55"/>
  <c r="L10" i="55"/>
  <c r="L11" i="55"/>
  <c r="L12" i="55"/>
  <c r="L13" i="55"/>
  <c r="L14" i="55"/>
  <c r="L15" i="55"/>
  <c r="L16" i="55"/>
  <c r="K5" i="55"/>
  <c r="K6" i="55"/>
  <c r="K7" i="55"/>
  <c r="K8" i="55"/>
  <c r="K9" i="55"/>
  <c r="K10" i="55"/>
  <c r="K11" i="55"/>
  <c r="K12" i="55"/>
  <c r="K13" i="55"/>
  <c r="K14" i="55"/>
  <c r="K15" i="55"/>
  <c r="K16" i="55"/>
  <c r="I5" i="55"/>
  <c r="I6" i="55"/>
  <c r="I7" i="55"/>
  <c r="I8" i="55"/>
  <c r="I9" i="55"/>
  <c r="I10" i="55"/>
  <c r="I11" i="55"/>
  <c r="I12" i="55"/>
  <c r="I13" i="55"/>
  <c r="I14" i="55"/>
  <c r="I15" i="55"/>
  <c r="I16" i="55"/>
  <c r="H5" i="55"/>
  <c r="H6" i="55"/>
  <c r="H7" i="55"/>
  <c r="H8" i="55"/>
  <c r="H9" i="55"/>
  <c r="H10" i="55"/>
  <c r="H11" i="55"/>
  <c r="H12" i="55"/>
  <c r="H13" i="55"/>
  <c r="H14" i="55"/>
  <c r="H15" i="55"/>
  <c r="H16" i="55"/>
  <c r="G5" i="55"/>
  <c r="G6" i="55"/>
  <c r="G7" i="55"/>
  <c r="G8" i="55"/>
  <c r="G9" i="55"/>
  <c r="G10" i="55"/>
  <c r="G11" i="55"/>
  <c r="G12" i="55"/>
  <c r="G13" i="55"/>
  <c r="G14" i="55"/>
  <c r="G15" i="55"/>
  <c r="G16" i="55"/>
  <c r="F5" i="55"/>
  <c r="F6" i="55"/>
  <c r="F7" i="55"/>
  <c r="F8" i="55"/>
  <c r="F9" i="55"/>
  <c r="F10" i="55"/>
  <c r="F11" i="55"/>
  <c r="F12" i="55"/>
  <c r="F13" i="55"/>
  <c r="F14" i="55"/>
  <c r="F15" i="55"/>
  <c r="F16" i="55"/>
  <c r="N5" i="54"/>
  <c r="N6" i="54"/>
  <c r="N7" i="54"/>
  <c r="N8" i="54"/>
  <c r="N9" i="54"/>
  <c r="N10" i="54"/>
  <c r="N11" i="54"/>
  <c r="N12" i="54"/>
  <c r="N13" i="54"/>
  <c r="N14" i="54"/>
  <c r="N15" i="54"/>
  <c r="N16" i="54"/>
  <c r="M5" i="54"/>
  <c r="M6" i="54"/>
  <c r="M7" i="54"/>
  <c r="M8" i="54"/>
  <c r="M9" i="54"/>
  <c r="M10" i="54"/>
  <c r="M11" i="54"/>
  <c r="M12" i="54"/>
  <c r="M13" i="54"/>
  <c r="M14" i="54"/>
  <c r="M15" i="54"/>
  <c r="M16" i="54"/>
  <c r="I7" i="54"/>
  <c r="I11" i="54"/>
  <c r="I15" i="54"/>
  <c r="F5" i="54"/>
  <c r="K5" i="54" s="1"/>
  <c r="F6" i="54"/>
  <c r="K6" i="54" s="1"/>
  <c r="F7" i="54"/>
  <c r="H7" i="54" s="1"/>
  <c r="F8" i="54"/>
  <c r="I8" i="54" s="1"/>
  <c r="F9" i="54"/>
  <c r="K9" i="54" s="1"/>
  <c r="F10" i="54"/>
  <c r="K10" i="54" s="1"/>
  <c r="F11" i="54"/>
  <c r="H11" i="54" s="1"/>
  <c r="F12" i="54"/>
  <c r="I12" i="54" s="1"/>
  <c r="F13" i="54"/>
  <c r="K13" i="54" s="1"/>
  <c r="F14" i="54"/>
  <c r="K14" i="54" s="1"/>
  <c r="F15" i="54"/>
  <c r="H15" i="54" s="1"/>
  <c r="F16" i="54"/>
  <c r="I16" i="54" s="1"/>
  <c r="E2" i="51" a="1"/>
  <c r="E2" i="51" s="1"/>
  <c r="C3" i="50"/>
  <c r="E3" i="50" s="1"/>
  <c r="G3" i="50" s="1"/>
  <c r="D3" i="50"/>
  <c r="F3" i="50"/>
  <c r="C4" i="50"/>
  <c r="D4" i="50"/>
  <c r="E4" i="50"/>
  <c r="G4" i="50" s="1"/>
  <c r="F4" i="50"/>
  <c r="C5" i="50"/>
  <c r="D5" i="50"/>
  <c r="E5" i="50" s="1"/>
  <c r="G5" i="50" s="1"/>
  <c r="F5" i="50"/>
  <c r="C6" i="50"/>
  <c r="E6" i="50" s="1"/>
  <c r="G6" i="50" s="1"/>
  <c r="D6" i="50"/>
  <c r="F6" i="50"/>
  <c r="C7" i="50"/>
  <c r="E7" i="50" s="1"/>
  <c r="G7" i="50" s="1"/>
  <c r="D7" i="50"/>
  <c r="F7" i="50"/>
  <c r="C8" i="50"/>
  <c r="D8" i="50"/>
  <c r="E8" i="50"/>
  <c r="G8" i="50" s="1"/>
  <c r="F8" i="50"/>
  <c r="C9" i="50"/>
  <c r="D9" i="50"/>
  <c r="E9" i="50" s="1"/>
  <c r="G9" i="50" s="1"/>
  <c r="F9" i="50"/>
  <c r="C10" i="50"/>
  <c r="E10" i="50" s="1"/>
  <c r="G10" i="50" s="1"/>
  <c r="D10" i="50"/>
  <c r="F10" i="50"/>
  <c r="C11" i="50"/>
  <c r="E11" i="50" s="1"/>
  <c r="G11" i="50" s="1"/>
  <c r="D11" i="50"/>
  <c r="F11" i="50"/>
  <c r="C12" i="50"/>
  <c r="D12" i="50"/>
  <c r="E12" i="50"/>
  <c r="G12" i="50" s="1"/>
  <c r="F12" i="50"/>
  <c r="C13" i="50"/>
  <c r="D13" i="50"/>
  <c r="E13" i="50" s="1"/>
  <c r="G13" i="50" s="1"/>
  <c r="F13" i="50"/>
  <c r="C14" i="50"/>
  <c r="E14" i="50" s="1"/>
  <c r="G14" i="50" s="1"/>
  <c r="D14" i="50"/>
  <c r="F14" i="50"/>
  <c r="C15" i="50"/>
  <c r="E15" i="50" s="1"/>
  <c r="G15" i="50" s="1"/>
  <c r="D15" i="50"/>
  <c r="F15" i="50"/>
  <c r="C16" i="50"/>
  <c r="D16" i="50"/>
  <c r="E16" i="50"/>
  <c r="G16" i="50" s="1"/>
  <c r="F16" i="50"/>
  <c r="C17" i="50"/>
  <c r="E17" i="50" s="1"/>
  <c r="G17" i="50" s="1"/>
  <c r="D17" i="50"/>
  <c r="F17" i="50"/>
  <c r="C18" i="50"/>
  <c r="E18" i="50" s="1"/>
  <c r="G18" i="50" s="1"/>
  <c r="D18" i="50"/>
  <c r="F18" i="50"/>
  <c r="C19" i="50"/>
  <c r="D19" i="50"/>
  <c r="E19" i="50"/>
  <c r="G19" i="50" s="1"/>
  <c r="F19" i="50"/>
  <c r="C20" i="50"/>
  <c r="D20" i="50"/>
  <c r="E20" i="50"/>
  <c r="G20" i="50" s="1"/>
  <c r="F20" i="50"/>
  <c r="C21" i="50"/>
  <c r="E21" i="50" s="1"/>
  <c r="G21" i="50" s="1"/>
  <c r="D21" i="50"/>
  <c r="F21" i="50"/>
  <c r="C22" i="50"/>
  <c r="E22" i="50" s="1"/>
  <c r="G22" i="50" s="1"/>
  <c r="D22" i="50"/>
  <c r="F22" i="50"/>
  <c r="C23" i="50"/>
  <c r="D23" i="50"/>
  <c r="E23" i="50"/>
  <c r="G23" i="50" s="1"/>
  <c r="F23" i="50"/>
  <c r="C24" i="50"/>
  <c r="D24" i="50"/>
  <c r="E24" i="50"/>
  <c r="G24" i="50" s="1"/>
  <c r="F24" i="50"/>
  <c r="C25" i="50"/>
  <c r="E25" i="50" s="1"/>
  <c r="G25" i="50" s="1"/>
  <c r="D25" i="50"/>
  <c r="F25" i="50"/>
  <c r="C26" i="50"/>
  <c r="E26" i="50" s="1"/>
  <c r="G26" i="50" s="1"/>
  <c r="D26" i="50"/>
  <c r="F26" i="50"/>
  <c r="C27" i="50"/>
  <c r="D27" i="50"/>
  <c r="E27" i="50"/>
  <c r="G27" i="50" s="1"/>
  <c r="F27" i="50"/>
  <c r="C28" i="50"/>
  <c r="D28" i="50"/>
  <c r="E28" i="50"/>
  <c r="G28" i="50" s="1"/>
  <c r="F28" i="50"/>
  <c r="C29" i="50"/>
  <c r="E29" i="50" s="1"/>
  <c r="G29" i="50" s="1"/>
  <c r="D29" i="50"/>
  <c r="F29" i="50"/>
  <c r="C30" i="50"/>
  <c r="E30" i="50" s="1"/>
  <c r="G30" i="50" s="1"/>
  <c r="D30" i="50"/>
  <c r="F30" i="50"/>
  <c r="C31" i="50"/>
  <c r="D31" i="50"/>
  <c r="E31" i="50"/>
  <c r="G31" i="50" s="1"/>
  <c r="F31" i="50"/>
  <c r="C32" i="50"/>
  <c r="D32" i="50"/>
  <c r="E32" i="50"/>
  <c r="G32" i="50" s="1"/>
  <c r="F32" i="50"/>
  <c r="C33" i="50"/>
  <c r="E33" i="50" s="1"/>
  <c r="G33" i="50" s="1"/>
  <c r="D33" i="50"/>
  <c r="F33" i="50"/>
  <c r="C34" i="50"/>
  <c r="E34" i="50" s="1"/>
  <c r="G34" i="50" s="1"/>
  <c r="D34" i="50"/>
  <c r="F34" i="50"/>
  <c r="C35" i="50"/>
  <c r="D35" i="50"/>
  <c r="E35" i="50"/>
  <c r="G35" i="50" s="1"/>
  <c r="F35" i="50"/>
  <c r="C36" i="50"/>
  <c r="D36" i="50"/>
  <c r="E36" i="50"/>
  <c r="G36" i="50" s="1"/>
  <c r="F36" i="50"/>
  <c r="C37" i="50"/>
  <c r="E37" i="50" s="1"/>
  <c r="G37" i="50" s="1"/>
  <c r="D37" i="50"/>
  <c r="F37" i="50"/>
  <c r="C38" i="50"/>
  <c r="E38" i="50" s="1"/>
  <c r="G38" i="50" s="1"/>
  <c r="D38" i="50"/>
  <c r="F38" i="50"/>
  <c r="C39" i="50"/>
  <c r="D39" i="50"/>
  <c r="E39" i="50" s="1"/>
  <c r="G39" i="50" s="1"/>
  <c r="F39" i="50"/>
  <c r="C40" i="50"/>
  <c r="D40" i="50"/>
  <c r="E40" i="50"/>
  <c r="G40" i="50" s="1"/>
  <c r="F40" i="50"/>
  <c r="C41" i="50"/>
  <c r="E41" i="50" s="1"/>
  <c r="G41" i="50" s="1"/>
  <c r="D41" i="50"/>
  <c r="F41" i="50"/>
  <c r="C42" i="50"/>
  <c r="E42" i="50" s="1"/>
  <c r="G42" i="50" s="1"/>
  <c r="D42" i="50"/>
  <c r="F42" i="50"/>
  <c r="C43" i="50"/>
  <c r="D43" i="50"/>
  <c r="E43" i="50" s="1"/>
  <c r="G43" i="50" s="1"/>
  <c r="F43" i="50"/>
  <c r="C44" i="50"/>
  <c r="D44" i="50"/>
  <c r="E44" i="50"/>
  <c r="G44" i="50" s="1"/>
  <c r="F44" i="50"/>
  <c r="C45" i="50"/>
  <c r="E45" i="50" s="1"/>
  <c r="G45" i="50" s="1"/>
  <c r="D45" i="50"/>
  <c r="F45" i="50"/>
  <c r="C46" i="50"/>
  <c r="E46" i="50" s="1"/>
  <c r="G46" i="50" s="1"/>
  <c r="D46" i="50"/>
  <c r="F46" i="50"/>
  <c r="C47" i="50"/>
  <c r="D47" i="50"/>
  <c r="E47" i="50"/>
  <c r="G47" i="50" s="1"/>
  <c r="F47" i="50"/>
  <c r="C48" i="50"/>
  <c r="D48" i="50"/>
  <c r="E48" i="50"/>
  <c r="G48" i="50" s="1"/>
  <c r="F48" i="50"/>
  <c r="C49" i="50"/>
  <c r="E49" i="50" s="1"/>
  <c r="G49" i="50" s="1"/>
  <c r="D49" i="50"/>
  <c r="F49" i="50"/>
  <c r="C50" i="50"/>
  <c r="E50" i="50" s="1"/>
  <c r="G50" i="50" s="1"/>
  <c r="D50" i="50"/>
  <c r="F50" i="50"/>
  <c r="C51" i="50"/>
  <c r="D51" i="50"/>
  <c r="E51" i="50" s="1"/>
  <c r="G51" i="50" s="1"/>
  <c r="F51" i="50"/>
  <c r="C52" i="50"/>
  <c r="D52" i="50"/>
  <c r="E52" i="50"/>
  <c r="G52" i="50" s="1"/>
  <c r="F52" i="50"/>
  <c r="C53" i="50"/>
  <c r="E53" i="50" s="1"/>
  <c r="G53" i="50" s="1"/>
  <c r="D53" i="50"/>
  <c r="F53" i="50"/>
  <c r="C54" i="50"/>
  <c r="E54" i="50" s="1"/>
  <c r="G54" i="50" s="1"/>
  <c r="D54" i="50"/>
  <c r="F54" i="50"/>
  <c r="C55" i="50"/>
  <c r="D55" i="50"/>
  <c r="E55" i="50" s="1"/>
  <c r="G55" i="50" s="1"/>
  <c r="F55" i="50"/>
  <c r="C56" i="50"/>
  <c r="D56" i="50"/>
  <c r="E56" i="50"/>
  <c r="G56" i="50" s="1"/>
  <c r="F56" i="50"/>
  <c r="C57" i="50"/>
  <c r="E57" i="50" s="1"/>
  <c r="G57" i="50" s="1"/>
  <c r="D57" i="50"/>
  <c r="F57" i="50"/>
  <c r="C58" i="50"/>
  <c r="E58" i="50" s="1"/>
  <c r="G58" i="50" s="1"/>
  <c r="D58" i="50"/>
  <c r="F58" i="50"/>
  <c r="C59" i="50"/>
  <c r="E59" i="50" s="1"/>
  <c r="G59" i="50" s="1"/>
  <c r="D59" i="50"/>
  <c r="F59" i="50"/>
  <c r="C60" i="50"/>
  <c r="D60" i="50"/>
  <c r="E60" i="50"/>
  <c r="G60" i="50" s="1"/>
  <c r="F60" i="50"/>
  <c r="C61" i="50"/>
  <c r="D61" i="50"/>
  <c r="E61" i="50" s="1"/>
  <c r="G61" i="50" s="1"/>
  <c r="F61" i="50"/>
  <c r="C62" i="50"/>
  <c r="E62" i="50" s="1"/>
  <c r="G62" i="50" s="1"/>
  <c r="D62" i="50"/>
  <c r="F62" i="50"/>
  <c r="C63" i="50"/>
  <c r="E63" i="50" s="1"/>
  <c r="G63" i="50" s="1"/>
  <c r="D63" i="50"/>
  <c r="F63" i="50"/>
  <c r="C64" i="50"/>
  <c r="D64" i="50"/>
  <c r="E64" i="50"/>
  <c r="G64" i="50" s="1"/>
  <c r="F64" i="50"/>
  <c r="C65" i="50"/>
  <c r="E65" i="50" s="1"/>
  <c r="G65" i="50" s="1"/>
  <c r="D65" i="50"/>
  <c r="F65" i="50"/>
  <c r="C66" i="50"/>
  <c r="E66" i="50" s="1"/>
  <c r="G66" i="50" s="1"/>
  <c r="D66" i="50"/>
  <c r="F66" i="50"/>
  <c r="C67" i="50"/>
  <c r="E67" i="50" s="1"/>
  <c r="G67" i="50" s="1"/>
  <c r="D67" i="50"/>
  <c r="F67" i="50"/>
  <c r="C68" i="50"/>
  <c r="D68" i="50"/>
  <c r="E68" i="50"/>
  <c r="G68" i="50" s="1"/>
  <c r="F68" i="50"/>
  <c r="C69" i="50"/>
  <c r="D69" i="50"/>
  <c r="E69" i="50" s="1"/>
  <c r="G69" i="50" s="1"/>
  <c r="F69" i="50"/>
  <c r="C70" i="50"/>
  <c r="E70" i="50" s="1"/>
  <c r="G70" i="50" s="1"/>
  <c r="D70" i="50"/>
  <c r="F70" i="50"/>
  <c r="C71" i="50"/>
  <c r="E71" i="50" s="1"/>
  <c r="G71" i="50" s="1"/>
  <c r="D71" i="50"/>
  <c r="F71" i="50"/>
  <c r="G2" i="50"/>
  <c r="F2" i="50"/>
  <c r="E2" i="50"/>
  <c r="D2" i="50"/>
  <c r="C2" i="50"/>
  <c r="L4" i="43"/>
  <c r="M4" i="43"/>
  <c r="N4" i="43"/>
  <c r="L5" i="43"/>
  <c r="M5" i="43"/>
  <c r="N5" i="43"/>
  <c r="L6" i="43"/>
  <c r="M6" i="43"/>
  <c r="N6" i="43"/>
  <c r="L7" i="43"/>
  <c r="M7" i="43"/>
  <c r="N7" i="43"/>
  <c r="L8" i="43"/>
  <c r="M8" i="43"/>
  <c r="N8" i="43"/>
  <c r="L9" i="43"/>
  <c r="M9" i="43"/>
  <c r="N9" i="43"/>
  <c r="M3" i="43"/>
  <c r="N3" i="43"/>
  <c r="L3" i="43"/>
  <c r="H3" i="43"/>
  <c r="I9" i="43"/>
  <c r="J9" i="43"/>
  <c r="H9" i="43"/>
  <c r="H8" i="43"/>
  <c r="I8" i="43"/>
  <c r="J8" i="43"/>
  <c r="H4" i="43"/>
  <c r="I4" i="43"/>
  <c r="J4" i="43"/>
  <c r="H5" i="43"/>
  <c r="I5" i="43"/>
  <c r="J5" i="43"/>
  <c r="H6" i="43"/>
  <c r="I6" i="43"/>
  <c r="J6" i="43"/>
  <c r="H7" i="43"/>
  <c r="I7" i="43"/>
  <c r="J7" i="43"/>
  <c r="I3" i="43"/>
  <c r="J3" i="43"/>
  <c r="A37" i="37"/>
  <c r="C4" i="37"/>
  <c r="C5" i="37"/>
  <c r="C6" i="37"/>
  <c r="C7" i="37"/>
  <c r="C8" i="37"/>
  <c r="C9" i="37"/>
  <c r="C10" i="37"/>
  <c r="C11" i="37"/>
  <c r="C12" i="37"/>
  <c r="C13" i="37"/>
  <c r="C14" i="37"/>
  <c r="C15" i="37"/>
  <c r="C16" i="37"/>
  <c r="H35" i="37"/>
  <c r="H13" i="30"/>
  <c r="H12" i="30"/>
  <c r="C13" i="30"/>
  <c r="C14" i="30"/>
  <c r="C15" i="30"/>
  <c r="C16" i="30"/>
  <c r="C12" i="30"/>
  <c r="C6" i="30"/>
  <c r="C5" i="30"/>
  <c r="E3" i="27"/>
  <c r="E4" i="27"/>
  <c r="E5" i="27"/>
  <c r="E6" i="27"/>
  <c r="E7" i="27"/>
  <c r="E8" i="27"/>
  <c r="E9" i="27"/>
  <c r="E10" i="27"/>
  <c r="E2" i="27"/>
  <c r="J2" i="21"/>
  <c r="I4" i="26"/>
  <c r="I3" i="26"/>
  <c r="P7" i="25"/>
  <c r="P8" i="25"/>
  <c r="P9" i="25"/>
  <c r="P10" i="25"/>
  <c r="P11" i="25"/>
  <c r="P12" i="25"/>
  <c r="P13" i="25"/>
  <c r="P6" i="25"/>
  <c r="H19" i="25"/>
  <c r="H18" i="25"/>
  <c r="H17" i="25"/>
  <c r="H16" i="25"/>
  <c r="I7" i="25"/>
  <c r="J7" i="25" s="1"/>
  <c r="I8" i="25"/>
  <c r="J8" i="25" s="1"/>
  <c r="I9" i="25"/>
  <c r="J9" i="25" s="1"/>
  <c r="I10" i="25"/>
  <c r="J10" i="25" s="1"/>
  <c r="I11" i="25"/>
  <c r="J11" i="25" s="1"/>
  <c r="I12" i="25"/>
  <c r="J12" i="25" s="1"/>
  <c r="D18" i="23"/>
  <c r="D17" i="23"/>
  <c r="I4" i="22"/>
  <c r="I5" i="22"/>
  <c r="I6" i="22"/>
  <c r="I3" i="22"/>
  <c r="F15" i="21"/>
  <c r="G15" i="21"/>
  <c r="H15" i="21"/>
  <c r="E15" i="21"/>
  <c r="D15" i="21"/>
  <c r="K2" i="20"/>
  <c r="L2" i="20"/>
  <c r="M2" i="20"/>
  <c r="N2" i="20"/>
  <c r="J2" i="20"/>
  <c r="G3" i="19"/>
  <c r="G4" i="19"/>
  <c r="G5" i="19"/>
  <c r="G6" i="19"/>
  <c r="G7" i="19"/>
  <c r="G8" i="19"/>
  <c r="G9" i="19"/>
  <c r="G10" i="19"/>
  <c r="G11" i="19"/>
  <c r="G2" i="19"/>
  <c r="F3" i="19"/>
  <c r="F4" i="19"/>
  <c r="F5" i="19"/>
  <c r="F6" i="19"/>
  <c r="F7" i="19"/>
  <c r="F8" i="19"/>
  <c r="F9" i="19"/>
  <c r="F10" i="19"/>
  <c r="F11" i="19"/>
  <c r="F2" i="19"/>
  <c r="K2" i="18"/>
  <c r="L2" i="18"/>
  <c r="M2" i="18"/>
  <c r="J2" i="18"/>
  <c r="I9" i="18"/>
  <c r="I10" i="18"/>
  <c r="I11" i="18"/>
  <c r="I8" i="18"/>
  <c r="L8" i="17"/>
  <c r="F14" i="17"/>
  <c r="N5" i="16"/>
  <c r="N6" i="16"/>
  <c r="N7" i="16"/>
  <c r="N8" i="16"/>
  <c r="N9" i="16"/>
  <c r="N10" i="16"/>
  <c r="N11" i="16"/>
  <c r="N12" i="16"/>
  <c r="N13" i="16"/>
  <c r="N4" i="16"/>
  <c r="L14" i="16"/>
  <c r="L5" i="16"/>
  <c r="L6" i="16"/>
  <c r="L7" i="16"/>
  <c r="L8" i="16"/>
  <c r="L9" i="16"/>
  <c r="L10" i="16"/>
  <c r="L11" i="16"/>
  <c r="L12" i="16"/>
  <c r="L13" i="16"/>
  <c r="L4" i="16"/>
  <c r="J14" i="16"/>
  <c r="J5" i="16"/>
  <c r="J6" i="16"/>
  <c r="J7" i="16"/>
  <c r="J8" i="16"/>
  <c r="J9" i="16"/>
  <c r="J10" i="16"/>
  <c r="J11" i="16"/>
  <c r="J12" i="16"/>
  <c r="J13" i="16"/>
  <c r="J4" i="16"/>
  <c r="B7" i="16"/>
  <c r="B6" i="16"/>
  <c r="B5" i="16"/>
  <c r="B3" i="15"/>
  <c r="B3" i="14"/>
  <c r="B4" i="14"/>
  <c r="B5" i="14"/>
  <c r="B6" i="14"/>
  <c r="B7" i="14"/>
  <c r="B8" i="14"/>
  <c r="B9" i="14"/>
  <c r="B10" i="14"/>
  <c r="B11" i="14"/>
  <c r="B12" i="14"/>
  <c r="B13" i="14"/>
  <c r="B2" i="14"/>
  <c r="B3" i="13"/>
  <c r="B4" i="13"/>
  <c r="B5" i="13"/>
  <c r="B6" i="13"/>
  <c r="B7" i="13"/>
  <c r="B8" i="13"/>
  <c r="B9" i="13"/>
  <c r="B10" i="13"/>
  <c r="B11" i="13"/>
  <c r="B12" i="13"/>
  <c r="B13" i="13"/>
  <c r="B2" i="13"/>
  <c r="H3" i="12"/>
  <c r="H4" i="12"/>
  <c r="H5" i="12"/>
  <c r="H6" i="12"/>
  <c r="H7" i="12"/>
  <c r="H8" i="12"/>
  <c r="H9" i="12"/>
  <c r="H10" i="12"/>
  <c r="H11" i="12"/>
  <c r="H12" i="12"/>
  <c r="H13" i="12"/>
  <c r="H2" i="12"/>
  <c r="G3" i="12"/>
  <c r="G4" i="12"/>
  <c r="G5" i="12"/>
  <c r="G6" i="12"/>
  <c r="G7" i="12"/>
  <c r="G8" i="12"/>
  <c r="G9" i="12"/>
  <c r="G10" i="12"/>
  <c r="G11" i="12"/>
  <c r="G12" i="12"/>
  <c r="G13" i="12"/>
  <c r="G2" i="12"/>
  <c r="F3" i="12"/>
  <c r="F4" i="12"/>
  <c r="F5" i="12"/>
  <c r="F6" i="12"/>
  <c r="F7" i="12"/>
  <c r="F8" i="12"/>
  <c r="F9" i="12"/>
  <c r="F10" i="12"/>
  <c r="F11" i="12"/>
  <c r="F12" i="12"/>
  <c r="F13" i="12"/>
  <c r="F2" i="12"/>
  <c r="E3" i="12"/>
  <c r="E4" i="12"/>
  <c r="E5" i="12"/>
  <c r="E6" i="12"/>
  <c r="E7" i="12"/>
  <c r="E8" i="12"/>
  <c r="E9" i="12"/>
  <c r="E10" i="12"/>
  <c r="E11" i="12"/>
  <c r="E12" i="12"/>
  <c r="E13" i="12"/>
  <c r="E2" i="12"/>
  <c r="G14" i="11"/>
  <c r="F14" i="11"/>
  <c r="H2" i="11"/>
  <c r="F2" i="11"/>
  <c r="G3" i="11"/>
  <c r="G4" i="11"/>
  <c r="G5" i="11"/>
  <c r="G6" i="11"/>
  <c r="G7" i="11"/>
  <c r="G8" i="11"/>
  <c r="G9" i="11"/>
  <c r="G10" i="11"/>
  <c r="G11" i="11"/>
  <c r="G12" i="11"/>
  <c r="G13" i="11"/>
  <c r="G2" i="11"/>
  <c r="F3" i="11"/>
  <c r="F4" i="11"/>
  <c r="F5" i="11"/>
  <c r="F6" i="11"/>
  <c r="F7" i="11"/>
  <c r="F8" i="11"/>
  <c r="F9" i="11"/>
  <c r="F10" i="11"/>
  <c r="F11" i="11"/>
  <c r="F12" i="11"/>
  <c r="F13" i="11"/>
  <c r="D25" i="10"/>
  <c r="D23" i="10"/>
  <c r="D21" i="10"/>
  <c r="D19" i="10"/>
  <c r="D17" i="10"/>
  <c r="D15" i="10"/>
  <c r="D13" i="10"/>
  <c r="D11" i="10"/>
  <c r="D9" i="10"/>
  <c r="D7" i="10"/>
  <c r="D5" i="10"/>
  <c r="D3" i="10"/>
  <c r="D26" i="10" s="1"/>
  <c r="L4" i="10"/>
  <c r="M4" i="10"/>
  <c r="L6" i="10"/>
  <c r="M6" i="10"/>
  <c r="M2" i="10"/>
  <c r="L2" i="10"/>
  <c r="G18" i="10"/>
  <c r="G17" i="10"/>
  <c r="G14" i="10"/>
  <c r="H4" i="10"/>
  <c r="I4" i="10"/>
  <c r="H6" i="10"/>
  <c r="I6" i="10"/>
  <c r="I2" i="10"/>
  <c r="H2" i="10"/>
  <c r="L3" i="9"/>
  <c r="L4" i="9"/>
  <c r="L2" i="9"/>
  <c r="H3" i="9"/>
  <c r="I3" i="9"/>
  <c r="H4" i="9"/>
  <c r="I4" i="9"/>
  <c r="I2" i="9"/>
  <c r="H2" i="9"/>
  <c r="G3" i="8"/>
  <c r="G4" i="8"/>
  <c r="G2" i="8"/>
  <c r="G9" i="7"/>
  <c r="H9" i="7"/>
  <c r="I9" i="7"/>
  <c r="F9" i="7"/>
  <c r="J3" i="6"/>
  <c r="J4" i="6"/>
  <c r="J5" i="6"/>
  <c r="J2" i="6"/>
  <c r="L2" i="5"/>
  <c r="K2" i="4"/>
  <c r="H18" i="37" l="1"/>
  <c r="G14" i="54"/>
  <c r="G6" i="54"/>
  <c r="H10" i="54"/>
  <c r="G13" i="54"/>
  <c r="G5" i="54"/>
  <c r="H9" i="54"/>
  <c r="I14" i="54"/>
  <c r="I6" i="54"/>
  <c r="G10" i="54"/>
  <c r="H14" i="54"/>
  <c r="L14" i="54" s="1"/>
  <c r="O14" i="54" s="1"/>
  <c r="H6" i="54"/>
  <c r="L6" i="54" s="1"/>
  <c r="O6" i="54" s="1"/>
  <c r="G9" i="54"/>
  <c r="H13" i="54"/>
  <c r="H5" i="54"/>
  <c r="I10" i="54"/>
  <c r="L10" i="54"/>
  <c r="O10" i="54" s="1"/>
  <c r="K16" i="54"/>
  <c r="K8" i="54"/>
  <c r="K15" i="54"/>
  <c r="K11" i="54"/>
  <c r="K7" i="54"/>
  <c r="G16" i="54"/>
  <c r="G12" i="54"/>
  <c r="G8" i="54"/>
  <c r="L8" i="54" s="1"/>
  <c r="O8" i="54" s="1"/>
  <c r="H16" i="54"/>
  <c r="H12" i="54"/>
  <c r="H8" i="54"/>
  <c r="I13" i="54"/>
  <c r="I9" i="54"/>
  <c r="L9" i="54" s="1"/>
  <c r="O9" i="54" s="1"/>
  <c r="I5" i="54"/>
  <c r="K12" i="54"/>
  <c r="G15" i="54"/>
  <c r="G11" i="54"/>
  <c r="G7" i="54"/>
  <c r="L7" i="54" s="1"/>
  <c r="O7" i="54" s="1"/>
  <c r="D16" i="37"/>
  <c r="D15" i="37"/>
  <c r="D5" i="37"/>
  <c r="D4" i="37"/>
  <c r="E15" i="37"/>
  <c r="E11" i="37"/>
  <c r="E5" i="37"/>
  <c r="E16" i="37"/>
  <c r="E14" i="37"/>
  <c r="E12" i="37"/>
  <c r="E10" i="37"/>
  <c r="E8" i="37"/>
  <c r="E6" i="37"/>
  <c r="E4" i="37"/>
  <c r="E13" i="37"/>
  <c r="E9" i="37"/>
  <c r="E7" i="37"/>
  <c r="D13" i="37"/>
  <c r="D11" i="37"/>
  <c r="D9" i="37"/>
  <c r="D7" i="37"/>
  <c r="D14" i="37"/>
  <c r="D12" i="37"/>
  <c r="D10" i="37"/>
  <c r="D8" i="37"/>
  <c r="D6" i="37"/>
  <c r="H14" i="37"/>
  <c r="L5" i="54" l="1"/>
  <c r="O5" i="54" s="1"/>
  <c r="L15" i="54"/>
  <c r="O15" i="54" s="1"/>
  <c r="L13" i="54"/>
  <c r="O13" i="54" s="1"/>
  <c r="L12" i="54"/>
  <c r="O12" i="54" s="1"/>
  <c r="L11" i="54"/>
  <c r="O11" i="54" s="1"/>
  <c r="L16" i="54"/>
  <c r="O16" i="54" s="1"/>
  <c r="E12" i="64"/>
  <c r="D12" i="64"/>
  <c r="C12" i="64"/>
  <c r="B12" i="64"/>
  <c r="A12" i="64"/>
  <c r="E11" i="64"/>
  <c r="D11" i="64"/>
  <c r="C11" i="64"/>
  <c r="B11" i="64"/>
  <c r="A11" i="64"/>
  <c r="E10" i="64"/>
  <c r="D10" i="64"/>
  <c r="C10" i="64"/>
  <c r="B10" i="64"/>
  <c r="A10" i="64"/>
  <c r="E9" i="64"/>
  <c r="D9" i="64"/>
  <c r="C9" i="64"/>
  <c r="B9" i="64"/>
  <c r="A9" i="64"/>
  <c r="E8" i="64"/>
  <c r="D8" i="64"/>
  <c r="C8" i="64"/>
  <c r="B8" i="64"/>
  <c r="A8" i="64"/>
  <c r="E7" i="64"/>
  <c r="D7" i="64"/>
  <c r="C7" i="64"/>
  <c r="B7" i="64"/>
  <c r="A7" i="64"/>
  <c r="E6" i="64"/>
  <c r="D6" i="64"/>
  <c r="C6" i="64"/>
  <c r="B6" i="64"/>
  <c r="A6" i="64"/>
  <c r="E5" i="64"/>
  <c r="D5" i="64"/>
  <c r="C5" i="64"/>
  <c r="B5" i="64"/>
  <c r="A5" i="64"/>
  <c r="E4" i="64"/>
  <c r="D4" i="64"/>
  <c r="C4" i="64"/>
  <c r="B4" i="64"/>
  <c r="A4" i="64"/>
  <c r="E3" i="64"/>
  <c r="D3" i="64"/>
  <c r="C3" i="64"/>
  <c r="B3" i="64"/>
  <c r="A3" i="64"/>
  <c r="E2" i="64"/>
  <c r="D2" i="64"/>
  <c r="C2" i="64"/>
  <c r="B2" i="64"/>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<sst xmlns="http://schemas.openxmlformats.org/spreadsheetml/2006/main" count="2297" uniqueCount="670">
  <si>
    <t>Supplier Name</t>
  </si>
  <si>
    <t>CITY_NAME</t>
  </si>
  <si>
    <t>STATE</t>
  </si>
  <si>
    <t>COUNT</t>
  </si>
  <si>
    <t>No. of orders</t>
  </si>
  <si>
    <t>Transurban (USA) Development Ltd.</t>
  </si>
  <si>
    <t>COX TRACTOR COMPANY Ltd.</t>
  </si>
  <si>
    <t>Rolling Stock Pictures Ltd.</t>
  </si>
  <si>
    <t>Shirts &amp; Other Stuff Ltd.</t>
  </si>
  <si>
    <t>ERAC - Clean Air Ltd</t>
  </si>
  <si>
    <t>Four Square Industrial Constructors Ltd</t>
  </si>
  <si>
    <t>Green Shield</t>
  </si>
  <si>
    <t>EZS Language Resource</t>
  </si>
  <si>
    <t>Silver Dollar Optical Corporation</t>
  </si>
  <si>
    <t>URS Corporation</t>
  </si>
  <si>
    <t>Putney Mechanical Co. Ltd.</t>
  </si>
  <si>
    <t>DOMINION CARTON CORPORATION</t>
  </si>
  <si>
    <t>Jai Welding Ltd</t>
  </si>
  <si>
    <t>Virginia Turf Management Associates Ltd</t>
  </si>
  <si>
    <t>Express Auto Center Ltd.</t>
  </si>
  <si>
    <t>Riesbeck Contracting Ltd.</t>
  </si>
  <si>
    <t>PROCONEX</t>
  </si>
  <si>
    <t>Kanpur</t>
  </si>
  <si>
    <t>Nagpur</t>
  </si>
  <si>
    <t>Aligarh</t>
  </si>
  <si>
    <t>Jalandhar</t>
  </si>
  <si>
    <t>Henryet</t>
  </si>
  <si>
    <t>Allahabad</t>
  </si>
  <si>
    <t>Lucknow</t>
  </si>
  <si>
    <t>Kochi</t>
  </si>
  <si>
    <t>Farmville</t>
  </si>
  <si>
    <t>Bristol</t>
  </si>
  <si>
    <t>Mumbai</t>
  </si>
  <si>
    <t>Gorakhpur</t>
  </si>
  <si>
    <t>Kozhikode</t>
  </si>
  <si>
    <t>Uttar Pradesh</t>
  </si>
  <si>
    <t>Maharashtra</t>
  </si>
  <si>
    <t>Punjab</t>
  </si>
  <si>
    <t>----</t>
  </si>
  <si>
    <t>Kerala</t>
  </si>
  <si>
    <t>MO</t>
  </si>
  <si>
    <t>FL</t>
  </si>
  <si>
    <t>India</t>
  </si>
  <si>
    <t>Canada</t>
  </si>
  <si>
    <t>Row Labels</t>
  </si>
  <si>
    <t>Grand Total</t>
  </si>
  <si>
    <t>Sum of No. of orders</t>
  </si>
  <si>
    <t>Count of COUNT</t>
  </si>
  <si>
    <t>SALARY</t>
  </si>
  <si>
    <t>Date</t>
  </si>
  <si>
    <t>PRODUCT</t>
  </si>
  <si>
    <t>QUANTITY</t>
  </si>
  <si>
    <t>PUMA</t>
  </si>
  <si>
    <t>NIKE</t>
  </si>
  <si>
    <t>ADDIDAS</t>
  </si>
  <si>
    <t>Sum of QUANTITY</t>
  </si>
  <si>
    <t>(All)</t>
  </si>
  <si>
    <t>TIME/TEACHER</t>
  </si>
  <si>
    <t>Asif Sir</t>
  </si>
  <si>
    <t>Vikrant Sir</t>
  </si>
  <si>
    <t>Rahul Sir</t>
  </si>
  <si>
    <t>Akshay Sir</t>
  </si>
  <si>
    <t>7.00 AM</t>
  </si>
  <si>
    <t>Tally</t>
  </si>
  <si>
    <t>Excel</t>
  </si>
  <si>
    <t>DTP</t>
  </si>
  <si>
    <t>Ms-Office</t>
  </si>
  <si>
    <t>8.00 AM</t>
  </si>
  <si>
    <t>Ms-office</t>
  </si>
  <si>
    <t>9.00 AM</t>
  </si>
  <si>
    <t>10.00 AM</t>
  </si>
  <si>
    <t>11.00 AM</t>
  </si>
  <si>
    <t>12.00 PM</t>
  </si>
  <si>
    <t>1.00 PM</t>
  </si>
  <si>
    <t>SL. NO</t>
  </si>
  <si>
    <t>NAME</t>
  </si>
  <si>
    <t>PAY DAYS</t>
  </si>
  <si>
    <t>BASIC</t>
  </si>
  <si>
    <t>DA</t>
  </si>
  <si>
    <t>TOTAL PAY</t>
  </si>
  <si>
    <t>PF</t>
  </si>
  <si>
    <t>ESI</t>
  </si>
  <si>
    <t>NET PAY</t>
  </si>
  <si>
    <t>AMIT MAHATA</t>
  </si>
  <si>
    <t>ASHIS MAHATA</t>
  </si>
  <si>
    <t>BARUN RAY</t>
  </si>
  <si>
    <t>BHADU DOLAI</t>
  </si>
  <si>
    <t>BHAKTIPADA DULE</t>
  </si>
  <si>
    <t>BHOLANATH DOLAI</t>
  </si>
  <si>
    <t>BIMAL HANSDA</t>
  </si>
  <si>
    <t>CHITTRANJAN MAHATA</t>
  </si>
  <si>
    <t>CHITTRANJAN GHOSH</t>
  </si>
  <si>
    <t>DIPAK ADHIKARY</t>
  </si>
  <si>
    <t>DIPAK MAHATA</t>
  </si>
  <si>
    <t>GANGA ROY</t>
  </si>
  <si>
    <t>GOUR MAHATA</t>
  </si>
  <si>
    <t>JADUNATH KARMAKAR</t>
  </si>
  <si>
    <t>JHANTU MAHATA (1)</t>
  </si>
  <si>
    <t>KALYAN SETH</t>
  </si>
  <si>
    <t>LALTU MONDAL</t>
  </si>
  <si>
    <t>MANOJ MAHATA</t>
  </si>
  <si>
    <t>NIRAJ GHOSH</t>
  </si>
  <si>
    <t>OM PRAKASH</t>
  </si>
  <si>
    <t>PRITAM MONDAL</t>
  </si>
  <si>
    <t>QASIM KHAN</t>
  </si>
  <si>
    <t>RAJESH MAHATA</t>
  </si>
  <si>
    <t>SANDIP GHOSH</t>
  </si>
  <si>
    <t>TAPAN ROY</t>
  </si>
  <si>
    <t>UMESH YADAV</t>
  </si>
  <si>
    <t>VIJAY PAL</t>
  </si>
  <si>
    <t>WASEEM AHMED</t>
  </si>
  <si>
    <t>YOGESH KUMAR</t>
  </si>
  <si>
    <t>ZUBAIR ALI</t>
  </si>
  <si>
    <t>Account No</t>
  </si>
  <si>
    <t>Amount</t>
  </si>
  <si>
    <t>AcctType</t>
  </si>
  <si>
    <t>Branch</t>
  </si>
  <si>
    <t>Customer</t>
  </si>
  <si>
    <t>IRA</t>
  </si>
  <si>
    <t>Central</t>
  </si>
  <si>
    <t>Existing</t>
  </si>
  <si>
    <t>CD</t>
  </si>
  <si>
    <t>New</t>
  </si>
  <si>
    <t>Checking</t>
  </si>
  <si>
    <t>Savings</t>
  </si>
  <si>
    <t>North County</t>
  </si>
  <si>
    <t>Westside</t>
  </si>
  <si>
    <t>Let me know if you'd like the same in CSV or formatted for Google Sheets!</t>
  </si>
  <si>
    <t>Employee Code</t>
  </si>
  <si>
    <t>Designation</t>
  </si>
  <si>
    <t>Salary</t>
  </si>
  <si>
    <t>TCS 1</t>
  </si>
  <si>
    <t>MIS Executive</t>
  </si>
  <si>
    <t>TCS 2</t>
  </si>
  <si>
    <t>Consultant</t>
  </si>
  <si>
    <t>TCS 3</t>
  </si>
  <si>
    <t>Accounts Executive</t>
  </si>
  <si>
    <t>TCS 4</t>
  </si>
  <si>
    <t>TCS 5</t>
  </si>
  <si>
    <t>TCS 6</t>
  </si>
  <si>
    <t>TCS 7</t>
  </si>
  <si>
    <t>TCS 8</t>
  </si>
  <si>
    <t>TCS 9</t>
  </si>
  <si>
    <t>TCS 10</t>
  </si>
  <si>
    <t>TCS 11</t>
  </si>
  <si>
    <t>TCS 12</t>
  </si>
  <si>
    <t>using sumif</t>
  </si>
  <si>
    <t>Transaction Type</t>
  </si>
  <si>
    <t>Debit/Credit</t>
  </si>
  <si>
    <t>01-10-2019</t>
  </si>
  <si>
    <t>Online</t>
  </si>
  <si>
    <t>Debit</t>
  </si>
  <si>
    <t>02-10-2019</t>
  </si>
  <si>
    <t>Cash</t>
  </si>
  <si>
    <t>Credit</t>
  </si>
  <si>
    <t>03-10-2019</t>
  </si>
  <si>
    <t>04-10-2019</t>
  </si>
  <si>
    <t>05-10-2019</t>
  </si>
  <si>
    <t>06-10-2019</t>
  </si>
  <si>
    <t>Debit Card</t>
  </si>
  <si>
    <t>07-10-2019</t>
  </si>
  <si>
    <t>08-10-2019</t>
  </si>
  <si>
    <t>09-10-2019</t>
  </si>
  <si>
    <t>10-10-2019</t>
  </si>
  <si>
    <t>11-10-2019</t>
  </si>
  <si>
    <t>12-10-2019</t>
  </si>
  <si>
    <t>debit</t>
  </si>
  <si>
    <t>credit</t>
  </si>
  <si>
    <t>countif</t>
  </si>
  <si>
    <t xml:space="preserve"> 01-10-2019  Total</t>
  </si>
  <si>
    <t xml:space="preserve"> 02-10-2019  Total</t>
  </si>
  <si>
    <t xml:space="preserve"> 03-10-2019  Total</t>
  </si>
  <si>
    <t xml:space="preserve"> 04-10-2019  Total</t>
  </si>
  <si>
    <t xml:space="preserve"> 05-10-2019  Total</t>
  </si>
  <si>
    <t xml:space="preserve"> 06-10-2019  Total</t>
  </si>
  <si>
    <t xml:space="preserve"> 07-10-2019  Total</t>
  </si>
  <si>
    <t xml:space="preserve"> 08-10-2019  Total</t>
  </si>
  <si>
    <t xml:space="preserve"> 09-10-2019  Total</t>
  </si>
  <si>
    <t xml:space="preserve"> 10-10-2019  Total</t>
  </si>
  <si>
    <t xml:space="preserve"> 11-10-2019  Total</t>
  </si>
  <si>
    <t xml:space="preserve"> 12-10-2019  Total</t>
  </si>
  <si>
    <t>ITEM NAME</t>
  </si>
  <si>
    <t>QTY</t>
  </si>
  <si>
    <t>RATE</t>
  </si>
  <si>
    <t>Total Amount</t>
  </si>
  <si>
    <t>SPMS</t>
  </si>
  <si>
    <t>DVD</t>
  </si>
  <si>
    <t>PENDRIVE</t>
  </si>
  <si>
    <t>KEYBOARD</t>
  </si>
  <si>
    <t>MOUSE</t>
  </si>
  <si>
    <t>SPEAKER</t>
  </si>
  <si>
    <t>LED</t>
  </si>
  <si>
    <t>LCD</t>
  </si>
  <si>
    <t>HDD</t>
  </si>
  <si>
    <t>CPU</t>
  </si>
  <si>
    <t>RAM</t>
  </si>
  <si>
    <t>CABINET</t>
  </si>
  <si>
    <t>total</t>
  </si>
  <si>
    <t>product</t>
  </si>
  <si>
    <t>sumproduct</t>
  </si>
  <si>
    <t>EMP</t>
  </si>
  <si>
    <t>BASIC SALARY</t>
  </si>
  <si>
    <t>BONUS</t>
  </si>
  <si>
    <t>Ashok Singh</t>
  </si>
  <si>
    <t>Shankar Jadhav</t>
  </si>
  <si>
    <t>Vinod Kale</t>
  </si>
  <si>
    <t>Rajendra Verma</t>
  </si>
  <si>
    <t>Raj Singh</t>
  </si>
  <si>
    <t>Santosh Kale</t>
  </si>
  <si>
    <t>Sameer Shinde</t>
  </si>
  <si>
    <t>Vinod Singh</t>
  </si>
  <si>
    <t>Ravi Verma</t>
  </si>
  <si>
    <t>Kiran Katekar</t>
  </si>
  <si>
    <t>Ashok Singhania</t>
  </si>
  <si>
    <t>Viresh Pal</t>
  </si>
  <si>
    <t>degis</t>
  </si>
  <si>
    <t>manager</t>
  </si>
  <si>
    <t>supervisier</t>
  </si>
  <si>
    <t>clerk</t>
  </si>
  <si>
    <t>peon</t>
  </si>
  <si>
    <t>IF&amp;AND</t>
  </si>
  <si>
    <t>IF</t>
  </si>
  <si>
    <t>CITY AND PINCODE</t>
  </si>
  <si>
    <t>Mumbai -400086</t>
  </si>
  <si>
    <t>Delhi -400087</t>
  </si>
  <si>
    <t>Pune -400088</t>
  </si>
  <si>
    <t>Chennai -400089</t>
  </si>
  <si>
    <t>Alhabad -400090</t>
  </si>
  <si>
    <t>Surat -400091</t>
  </si>
  <si>
    <t>Ahmedabad -400092</t>
  </si>
  <si>
    <t>Punjii -400093</t>
  </si>
  <si>
    <t>Bhopal -400094</t>
  </si>
  <si>
    <t>Ranchi -400095</t>
  </si>
  <si>
    <t>Amrutsar -400096</t>
  </si>
  <si>
    <t>Kolkatta -400097</t>
  </si>
  <si>
    <t>REPT</t>
  </si>
  <si>
    <t>SUBSITUTE FORMULA</t>
  </si>
  <si>
    <t>MO NO</t>
  </si>
  <si>
    <t>243536-6473883</t>
  </si>
  <si>
    <t>MUMBAI-73477</t>
  </si>
  <si>
    <t>PIN-DSSYH</t>
  </si>
  <si>
    <t>9949/BJHRIS</t>
  </si>
  <si>
    <t>AMOUNT</t>
  </si>
  <si>
    <t>DURE</t>
  </si>
  <si>
    <t>(MPT)PAYMENT TERMS</t>
  </si>
  <si>
    <t>INTEREST</t>
  </si>
  <si>
    <t>LOAN</t>
  </si>
  <si>
    <t>TIME</t>
  </si>
  <si>
    <t>TOTAL PAID IN 10 MONTH</t>
  </si>
  <si>
    <t>EMI HAVE TOPAY PER MON</t>
  </si>
  <si>
    <t>TOTL INTERST IN 10 MON</t>
  </si>
  <si>
    <t>EMI</t>
  </si>
  <si>
    <t>V</t>
  </si>
  <si>
    <t>4 LACK</t>
  </si>
  <si>
    <t>FV</t>
  </si>
  <si>
    <t>PERIOD</t>
  </si>
  <si>
    <t>Salesman ID</t>
  </si>
  <si>
    <t>Salesman</t>
  </si>
  <si>
    <t>Product</t>
  </si>
  <si>
    <t>Zone</t>
  </si>
  <si>
    <t>Sales</t>
  </si>
  <si>
    <t>Shaktimaan</t>
  </si>
  <si>
    <t>Iodex</t>
  </si>
  <si>
    <t>South City</t>
  </si>
  <si>
    <t>Ironman</t>
  </si>
  <si>
    <t>Tigerbalm</t>
  </si>
  <si>
    <t>North City</t>
  </si>
  <si>
    <t>Superman</t>
  </si>
  <si>
    <t>Toothpaste</t>
  </si>
  <si>
    <t>West City</t>
  </si>
  <si>
    <t>Thor</t>
  </si>
  <si>
    <t>Toothbrush</t>
  </si>
  <si>
    <t>Batman</t>
  </si>
  <si>
    <t>Spiderman</t>
  </si>
  <si>
    <t>Antman</t>
  </si>
  <si>
    <t>Hitman</t>
  </si>
  <si>
    <t>Zandubalm</t>
  </si>
  <si>
    <t>Ratman</t>
  </si>
  <si>
    <t>Netman</t>
  </si>
  <si>
    <t>TARGET</t>
  </si>
  <si>
    <t>PERFORMANCE</t>
  </si>
  <si>
    <t>POOR</t>
  </si>
  <si>
    <t>GOOD</t>
  </si>
  <si>
    <t>AVERAGE</t>
  </si>
  <si>
    <t>BEST</t>
  </si>
  <si>
    <t>PERFORMS</t>
  </si>
  <si>
    <t>CITY</t>
  </si>
  <si>
    <t>CODES</t>
  </si>
  <si>
    <t>CODE</t>
  </si>
  <si>
    <t>RANGE LOOKUP</t>
  </si>
  <si>
    <t>SIM LOOKUP</t>
  </si>
  <si>
    <t>ENROLMENT NO</t>
  </si>
  <si>
    <t>ROLL NO</t>
  </si>
  <si>
    <t>P1001</t>
  </si>
  <si>
    <t>P1010</t>
  </si>
  <si>
    <t>P1002</t>
  </si>
  <si>
    <t>P1003</t>
  </si>
  <si>
    <t>P1004</t>
  </si>
  <si>
    <t>P1005</t>
  </si>
  <si>
    <t>P1006</t>
  </si>
  <si>
    <t>P1007</t>
  </si>
  <si>
    <t>P1008</t>
  </si>
  <si>
    <t>P1009</t>
  </si>
  <si>
    <t>product id</t>
  </si>
  <si>
    <t>biLL NO</t>
  </si>
  <si>
    <t>using of double vlookup</t>
  </si>
  <si>
    <t>for deleting the blank row between data select the row and go to special and select blanks then press contl -</t>
  </si>
  <si>
    <t>UNIT</t>
  </si>
  <si>
    <t>TOTAL AMOUNT</t>
  </si>
  <si>
    <t>PER PRODUCT</t>
  </si>
  <si>
    <t>DIVIDE THE UNTI WITH AMOUNT FOR LOOKING THE PER PEACE AMOUNT</t>
  </si>
  <si>
    <t>PERCENTAGE</t>
  </si>
  <si>
    <t>EMPLOYEES</t>
  </si>
  <si>
    <t>Q1</t>
  </si>
  <si>
    <t>Q2</t>
  </si>
  <si>
    <t>Q3</t>
  </si>
  <si>
    <t>Examples:</t>
  </si>
  <si>
    <r>
      <t>=POWER(2, 3)</t>
    </r>
    <r>
      <rPr>
        <sz val="11"/>
        <color theme="1"/>
        <rFont val="Calibri"/>
        <family val="2"/>
        <scheme val="minor"/>
      </rPr>
      <t xml:space="preserve"> → Returns </t>
    </r>
    <r>
      <rPr>
        <b/>
        <sz val="11"/>
        <color theme="1"/>
        <rFont val="Calibri"/>
        <family val="2"/>
        <scheme val="minor"/>
      </rPr>
      <t>8</t>
    </r>
    <r>
      <rPr>
        <sz val="11"/>
        <color theme="1"/>
        <rFont val="Calibri"/>
        <family val="2"/>
        <scheme val="minor"/>
      </rPr>
      <t xml:space="preserve"> (2³)</t>
    </r>
  </si>
  <si>
    <r>
      <t>=POWER(A1, 0.5)</t>
    </r>
    <r>
      <rPr>
        <sz val="11"/>
        <color theme="1"/>
        <rFont val="Calibri"/>
        <family val="2"/>
        <scheme val="minor"/>
      </rPr>
      <t xml:space="preserve"> → Returns </t>
    </r>
    <r>
      <rPr>
        <b/>
        <sz val="11"/>
        <color theme="1"/>
        <rFont val="Calibri"/>
        <family val="2"/>
        <scheme val="minor"/>
      </rPr>
      <t>square root</t>
    </r>
    <r>
      <rPr>
        <sz val="11"/>
        <color theme="1"/>
        <rFont val="Calibri"/>
        <family val="2"/>
        <scheme val="minor"/>
      </rPr>
      <t xml:space="preserve"> of value in A1</t>
    </r>
  </si>
  <si>
    <r>
      <t>=POWER(10, -1)</t>
    </r>
    <r>
      <rPr>
        <sz val="11"/>
        <color theme="1"/>
        <rFont val="Calibri"/>
        <family val="2"/>
        <scheme val="minor"/>
      </rPr>
      <t xml:space="preserve"> → Returns </t>
    </r>
    <r>
      <rPr>
        <b/>
        <sz val="11"/>
        <color theme="1"/>
        <rFont val="Calibri"/>
        <family val="2"/>
        <scheme val="minor"/>
      </rPr>
      <t>0.1</t>
    </r>
    <r>
      <rPr>
        <sz val="11"/>
        <color theme="1"/>
        <rFont val="Calibri"/>
        <family val="2"/>
        <scheme val="minor"/>
      </rPr>
      <t xml:space="preserve"> (inverse of 10)</t>
    </r>
  </si>
  <si>
    <r>
      <t>=MOD(10, 3)</t>
    </r>
    <r>
      <rPr>
        <sz val="11"/>
        <color theme="1"/>
        <rFont val="Calibri"/>
        <family val="2"/>
        <scheme val="minor"/>
      </rPr>
      <t xml:space="preserve"> → Returns </t>
    </r>
    <r>
      <rPr>
        <b/>
        <sz val="11"/>
        <color theme="1"/>
        <rFont val="Calibri"/>
        <family val="2"/>
        <scheme val="minor"/>
      </rPr>
      <t>1</t>
    </r>
    <r>
      <rPr>
        <sz val="11"/>
        <color theme="1"/>
        <rFont val="Calibri"/>
        <family val="2"/>
        <scheme val="minor"/>
      </rPr>
      <t xml:space="preserve"> (10 ÷ 3 = 3 remainder 1)</t>
    </r>
  </si>
  <si>
    <r>
      <t>=MOD(ROW(),2)</t>
    </r>
    <r>
      <rPr>
        <sz val="11"/>
        <color theme="1"/>
        <rFont val="Calibri"/>
        <family val="2"/>
        <scheme val="minor"/>
      </rPr>
      <t xml:space="preserve"> → Returns </t>
    </r>
    <r>
      <rPr>
        <b/>
        <sz val="11"/>
        <color theme="1"/>
        <rFont val="Calibri"/>
        <family val="2"/>
        <scheme val="minor"/>
      </rPr>
      <t>0 for even rows</t>
    </r>
    <r>
      <rPr>
        <sz val="11"/>
        <color theme="1"/>
        <rFont val="Calibri"/>
        <family val="2"/>
        <scheme val="minor"/>
      </rPr>
      <t xml:space="preserve">, </t>
    </r>
    <r>
      <rPr>
        <b/>
        <sz val="11"/>
        <color theme="1"/>
        <rFont val="Calibri"/>
        <family val="2"/>
        <scheme val="minor"/>
      </rPr>
      <t>1 for odd rows</t>
    </r>
  </si>
  <si>
    <r>
      <t>=MOD(A1,5)</t>
    </r>
    <r>
      <rPr>
        <sz val="11"/>
        <color theme="1"/>
        <rFont val="Calibri"/>
        <family val="2"/>
        <scheme val="minor"/>
      </rPr>
      <t xml:space="preserve"> → Checks if value in A1 is divisible by 5</t>
    </r>
  </si>
  <si>
    <t>no</t>
  </si>
  <si>
    <t>rupesh</t>
  </si>
  <si>
    <t>euql to contl enter and drage column down</t>
  </si>
  <si>
    <t xml:space="preserve">sr no </t>
  </si>
  <si>
    <t>emp name</t>
  </si>
  <si>
    <t xml:space="preserve">qty </t>
  </si>
  <si>
    <t>monthly</t>
  </si>
  <si>
    <t>sneha</t>
  </si>
  <si>
    <t>priya</t>
  </si>
  <si>
    <t>priyanka</t>
  </si>
  <si>
    <t>shivam</t>
  </si>
  <si>
    <t>parthvi</t>
  </si>
  <si>
    <t>sonam</t>
  </si>
  <si>
    <t>priyanshu</t>
  </si>
  <si>
    <t>megha</t>
  </si>
  <si>
    <t>per%</t>
  </si>
  <si>
    <t xml:space="preserve">Sum of qty </t>
  </si>
  <si>
    <t>Sum of monthly</t>
  </si>
  <si>
    <t>date</t>
  </si>
  <si>
    <t>name</t>
  </si>
  <si>
    <t>ninja</t>
  </si>
  <si>
    <t>hatodi</t>
  </si>
  <si>
    <t>hathi</t>
  </si>
  <si>
    <t>doremon</t>
  </si>
  <si>
    <t>shaktiman</t>
  </si>
  <si>
    <t>production</t>
  </si>
  <si>
    <t>sales</t>
  </si>
  <si>
    <t>mfg</t>
  </si>
  <si>
    <t>dept</t>
  </si>
  <si>
    <t>wages</t>
  </si>
  <si>
    <t>Sum of wages</t>
  </si>
  <si>
    <t>Year</t>
  </si>
  <si>
    <t>Car</t>
  </si>
  <si>
    <t>Type</t>
  </si>
  <si>
    <t>Quantity</t>
  </si>
  <si>
    <t>Price</t>
  </si>
  <si>
    <t>Suzuki</t>
  </si>
  <si>
    <t>Coupe</t>
  </si>
  <si>
    <t>Hyundai</t>
  </si>
  <si>
    <t>Hatch-Back</t>
  </si>
  <si>
    <t>Nissan</t>
  </si>
  <si>
    <t>Cruiser</t>
  </si>
  <si>
    <t>BMW</t>
  </si>
  <si>
    <t>GT</t>
  </si>
  <si>
    <t>Ford</t>
  </si>
  <si>
    <t>SUV</t>
  </si>
  <si>
    <t>Ferrari</t>
  </si>
  <si>
    <t>Sports</t>
  </si>
  <si>
    <t>Mercedes</t>
  </si>
  <si>
    <t>amborghin</t>
  </si>
  <si>
    <t>Sum of Price</t>
  </si>
  <si>
    <t>Count of Quantity</t>
  </si>
  <si>
    <t>Month</t>
  </si>
  <si>
    <t>Region</t>
  </si>
  <si>
    <t>Item</t>
  </si>
  <si>
    <t>Qty Sold</t>
  </si>
  <si>
    <t>Unit</t>
  </si>
  <si>
    <t>Discount 5%</t>
  </si>
  <si>
    <t>East</t>
  </si>
  <si>
    <t>Laptop</t>
  </si>
  <si>
    <t>Pcs</t>
  </si>
  <si>
    <t>West</t>
  </si>
  <si>
    <t>Computer</t>
  </si>
  <si>
    <t>North</t>
  </si>
  <si>
    <t>Macbook</t>
  </si>
  <si>
    <t>Ipad</t>
  </si>
  <si>
    <t>Ease</t>
  </si>
  <si>
    <t>South</t>
  </si>
  <si>
    <t>jan</t>
  </si>
  <si>
    <t>feb</t>
  </si>
  <si>
    <t>mar</t>
  </si>
  <si>
    <t>apr</t>
  </si>
  <si>
    <t>may</t>
  </si>
  <si>
    <t>jun</t>
  </si>
  <si>
    <t>jul</t>
  </si>
  <si>
    <t>aug</t>
  </si>
  <si>
    <t>sep</t>
  </si>
  <si>
    <t>oct</t>
  </si>
  <si>
    <t>nov</t>
  </si>
  <si>
    <t>dec</t>
  </si>
  <si>
    <t>NAX QNTY</t>
  </si>
  <si>
    <t>MIN QNTY</t>
  </si>
  <si>
    <t>TOTAL UNIT SOLD</t>
  </si>
  <si>
    <t>AVERAGE SALES</t>
  </si>
  <si>
    <t xml:space="preserve"> REGION</t>
  </si>
  <si>
    <t>JAN</t>
  </si>
  <si>
    <t>FEB</t>
  </si>
  <si>
    <t>MAR</t>
  </si>
  <si>
    <t>APR</t>
  </si>
  <si>
    <t>MAY</t>
  </si>
  <si>
    <t>JUN</t>
  </si>
  <si>
    <t>JUL</t>
  </si>
  <si>
    <t>AUG</t>
  </si>
  <si>
    <t>SEP</t>
  </si>
  <si>
    <t>OCT</t>
  </si>
  <si>
    <t>NOV</t>
  </si>
  <si>
    <t>DEC</t>
  </si>
  <si>
    <t>Order ID</t>
  </si>
  <si>
    <t>Salesperson</t>
  </si>
  <si>
    <t>Product Category</t>
  </si>
  <si>
    <t>Units Sold</t>
  </si>
  <si>
    <t>Unit Price</t>
  </si>
  <si>
    <t>Total Sales</t>
  </si>
  <si>
    <t>Raj</t>
  </si>
  <si>
    <t>Electronics</t>
  </si>
  <si>
    <t>Priya</t>
  </si>
  <si>
    <t>Furniture</t>
  </si>
  <si>
    <t>Aman</t>
  </si>
  <si>
    <t>Clothing</t>
  </si>
  <si>
    <t>Neha</t>
  </si>
  <si>
    <t>Column Labels</t>
  </si>
  <si>
    <t>DATE</t>
  </si>
  <si>
    <t>region</t>
  </si>
  <si>
    <t>MONTH</t>
  </si>
  <si>
    <r>
      <t xml:space="preserve">  YEAR</t>
    </r>
    <r>
      <rPr>
        <sz val="11"/>
        <color theme="0"/>
        <rFont val="Calibri"/>
        <family val="2"/>
        <scheme val="minor"/>
      </rPr>
      <t xml:space="preserve"> </t>
    </r>
  </si>
  <si>
    <t xml:space="preserve">SR NO </t>
  </si>
  <si>
    <t>TASK</t>
  </si>
  <si>
    <t>STATUS</t>
  </si>
  <si>
    <t>EMP MEATING</t>
  </si>
  <si>
    <t>SALES REORT</t>
  </si>
  <si>
    <t>MARKET RESEARCH</t>
  </si>
  <si>
    <t>BOARD MEETING</t>
  </si>
  <si>
    <t>CRM DETIALS</t>
  </si>
  <si>
    <t>AUDIT</t>
  </si>
  <si>
    <t>PENDING</t>
  </si>
  <si>
    <t>SHARE MARKET</t>
  </si>
  <si>
    <t>COMPELETED</t>
  </si>
  <si>
    <t>PENDING TASK</t>
  </si>
  <si>
    <t>COMPEETED TASK</t>
  </si>
  <si>
    <t xml:space="preserve">Aarav  </t>
  </si>
  <si>
    <t xml:space="preserve">Vihaan  </t>
  </si>
  <si>
    <t xml:space="preserve">Vivaan  </t>
  </si>
  <si>
    <t xml:space="preserve">Aditya  </t>
  </si>
  <si>
    <t xml:space="preserve">Sai  </t>
  </si>
  <si>
    <t xml:space="preserve">Arjun  </t>
  </si>
  <si>
    <t xml:space="preserve">Ayaan  </t>
  </si>
  <si>
    <t xml:space="preserve">Krishna  </t>
  </si>
  <si>
    <t xml:space="preserve">Ishaan  </t>
  </si>
  <si>
    <t xml:space="preserve">Shaurya  </t>
  </si>
  <si>
    <t xml:space="preserve">Atharv  </t>
  </si>
  <si>
    <t xml:space="preserve">Reyansh  </t>
  </si>
  <si>
    <t xml:space="preserve">Dhruv  </t>
  </si>
  <si>
    <t xml:space="preserve">Kabir  </t>
  </si>
  <si>
    <t xml:space="preserve">Ritvik  </t>
  </si>
  <si>
    <t xml:space="preserve">Om  </t>
  </si>
  <si>
    <t xml:space="preserve">Yuvraj  </t>
  </si>
  <si>
    <t xml:space="preserve">Ansh  </t>
  </si>
  <si>
    <t xml:space="preserve">Kartik  </t>
  </si>
  <si>
    <t xml:space="preserve">Rudra  </t>
  </si>
  <si>
    <t xml:space="preserve">Advait  </t>
  </si>
  <si>
    <t xml:space="preserve">Tejas  </t>
  </si>
  <si>
    <t xml:space="preserve">Parth  </t>
  </si>
  <si>
    <t xml:space="preserve">Aryan  </t>
  </si>
  <si>
    <t xml:space="preserve">Devansh  </t>
  </si>
  <si>
    <t xml:space="preserve">Harsh  </t>
  </si>
  <si>
    <t xml:space="preserve">Siddharth  </t>
  </si>
  <si>
    <t xml:space="preserve">Manav  </t>
  </si>
  <si>
    <t xml:space="preserve">Tanish  </t>
  </si>
  <si>
    <t xml:space="preserve">Laksh  </t>
  </si>
  <si>
    <t xml:space="preserve">Neel  </t>
  </si>
  <si>
    <t xml:space="preserve">Naitik  </t>
  </si>
  <si>
    <t xml:space="preserve">Samarth  </t>
  </si>
  <si>
    <t xml:space="preserve">Tanmay  </t>
  </si>
  <si>
    <t xml:space="preserve">Pranav  </t>
  </si>
  <si>
    <t xml:space="preserve">Kian  </t>
  </si>
  <si>
    <t xml:space="preserve">Veer  </t>
  </si>
  <si>
    <t xml:space="preserve">Arnav  </t>
  </si>
  <si>
    <t xml:space="preserve">Harshit  </t>
  </si>
  <si>
    <t xml:space="preserve">Aayush  </t>
  </si>
  <si>
    <t xml:space="preserve">Chirag  </t>
  </si>
  <si>
    <t xml:space="preserve">Rohan  </t>
  </si>
  <si>
    <t xml:space="preserve">Nikhil  </t>
  </si>
  <si>
    <t xml:space="preserve">Raj  </t>
  </si>
  <si>
    <t xml:space="preserve">Tarun  </t>
  </si>
  <si>
    <t xml:space="preserve">Amit  </t>
  </si>
  <si>
    <t xml:space="preserve">Suresh  </t>
  </si>
  <si>
    <t xml:space="preserve">Ravi  </t>
  </si>
  <si>
    <t xml:space="preserve">Ajay  </t>
  </si>
  <si>
    <t xml:space="preserve">Deepak  </t>
  </si>
  <si>
    <t xml:space="preserve">Vikram  </t>
  </si>
  <si>
    <t xml:space="preserve">Kunal  </t>
  </si>
  <si>
    <t xml:space="preserve">Varun  </t>
  </si>
  <si>
    <t xml:space="preserve">Rahul  </t>
  </si>
  <si>
    <t xml:space="preserve">Mayank  </t>
  </si>
  <si>
    <t xml:space="preserve">Samar  </t>
  </si>
  <si>
    <t xml:space="preserve">Aniket  </t>
  </si>
  <si>
    <t xml:space="preserve">Gaurav  </t>
  </si>
  <si>
    <t xml:space="preserve">Ashwin  </t>
  </si>
  <si>
    <t xml:space="preserve">Mohit  </t>
  </si>
  <si>
    <t xml:space="preserve">Naveen  </t>
  </si>
  <si>
    <t xml:space="preserve">Abhishek  </t>
  </si>
  <si>
    <t xml:space="preserve">Sanket  </t>
  </si>
  <si>
    <t xml:space="preserve">Yash  </t>
  </si>
  <si>
    <t xml:space="preserve">Jay  </t>
  </si>
  <si>
    <t xml:space="preserve">Himanshu  </t>
  </si>
  <si>
    <t xml:space="preserve">Pratik  </t>
  </si>
  <si>
    <t>Alok</t>
  </si>
  <si>
    <t>shortlisted</t>
  </si>
  <si>
    <t>vote in %age</t>
  </si>
  <si>
    <t>Name</t>
  </si>
  <si>
    <t>Ishwar</t>
  </si>
  <si>
    <t>Aditya</t>
  </si>
  <si>
    <t>Neel</t>
  </si>
  <si>
    <t>Vivaan</t>
  </si>
  <si>
    <t>Tejas</t>
  </si>
  <si>
    <t>Aryan</t>
  </si>
  <si>
    <t>Ishaan</t>
  </si>
  <si>
    <t>Arjun</t>
  </si>
  <si>
    <t>Sai</t>
  </si>
  <si>
    <t>Ansh</t>
  </si>
  <si>
    <t>Advait</t>
  </si>
  <si>
    <t>Ritvik</t>
  </si>
  <si>
    <t>Aarav</t>
  </si>
  <si>
    <t>Parth</t>
  </si>
  <si>
    <t>Vihaan</t>
  </si>
  <si>
    <t>Atharv</t>
  </si>
  <si>
    <t>Rudra</t>
  </si>
  <si>
    <t>Dhruv</t>
  </si>
  <si>
    <t>Kabir</t>
  </si>
  <si>
    <t>Laksh</t>
  </si>
  <si>
    <t>Krishna</t>
  </si>
  <si>
    <t>Reyansh</t>
  </si>
  <si>
    <t>Yuvraj</t>
  </si>
  <si>
    <t>Manav</t>
  </si>
  <si>
    <t>Shaurya</t>
  </si>
  <si>
    <t>basic salary</t>
  </si>
  <si>
    <t>HRA 5%</t>
  </si>
  <si>
    <t>DA18%</t>
  </si>
  <si>
    <t>GROSS SALARY</t>
  </si>
  <si>
    <t>PF12%</t>
  </si>
  <si>
    <t>NET SALARY</t>
  </si>
  <si>
    <t>ADD 1000 RUPE IN THE SALARY COLUMN</t>
  </si>
  <si>
    <t>EMP_ID</t>
  </si>
  <si>
    <t>Id No.</t>
  </si>
  <si>
    <t>Basic Salary</t>
  </si>
  <si>
    <t>Attendance</t>
  </si>
  <si>
    <t>D.A</t>
  </si>
  <si>
    <t>Overtime in Hrs.</t>
  </si>
  <si>
    <t>Overtime Salary</t>
  </si>
  <si>
    <t>Gross Salary</t>
  </si>
  <si>
    <t>In Hand Salary</t>
  </si>
  <si>
    <t>Rajesh</t>
  </si>
  <si>
    <t>Manager</t>
  </si>
  <si>
    <t>Mahesh</t>
  </si>
  <si>
    <t>Asst. Manager</t>
  </si>
  <si>
    <t>Suresh</t>
  </si>
  <si>
    <t>Supervisor</t>
  </si>
  <si>
    <t>Naresh</t>
  </si>
  <si>
    <t>Staff</t>
  </si>
  <si>
    <t>Nishant</t>
  </si>
  <si>
    <t>Brijesh</t>
  </si>
  <si>
    <t>Kapil</t>
  </si>
  <si>
    <t>Jai</t>
  </si>
  <si>
    <t>Punit</t>
  </si>
  <si>
    <t>Harsh</t>
  </si>
  <si>
    <t>Sumit</t>
  </si>
  <si>
    <t>EMPLOYEES SALARY SHEET</t>
  </si>
  <si>
    <t>HRA 7%</t>
  </si>
  <si>
    <t>Convence 8%</t>
  </si>
  <si>
    <t>50000</t>
  </si>
  <si>
    <t>28</t>
  </si>
  <si>
    <t>46667</t>
  </si>
  <si>
    <t>3267</t>
  </si>
  <si>
    <t>2333</t>
  </si>
  <si>
    <t>3733</t>
  </si>
  <si>
    <t>60 HRS</t>
  </si>
  <si>
    <t>11667</t>
  </si>
  <si>
    <t>71000</t>
  </si>
  <si>
    <t>3500</t>
  </si>
  <si>
    <t>4000</t>
  </si>
  <si>
    <t>63500</t>
  </si>
  <si>
    <t>EMP_SALARY_SHEET</t>
  </si>
  <si>
    <t>40002</t>
  </si>
  <si>
    <t>12500</t>
  </si>
  <si>
    <t>74000</t>
  </si>
  <si>
    <t>6000</t>
  </si>
  <si>
    <t>375</t>
  </si>
  <si>
    <t>67625</t>
  </si>
  <si>
    <t>Farmer ID</t>
  </si>
  <si>
    <t>Village</t>
  </si>
  <si>
    <t>Crop Type</t>
  </si>
  <si>
    <t>Land Size (Acres)</t>
  </si>
  <si>
    <t>Scheme Enrolled</t>
  </si>
  <si>
    <t>Subsidy Received</t>
  </si>
  <si>
    <t>Yield (kg)</t>
  </si>
  <si>
    <t>Training Attended</t>
  </si>
  <si>
    <t>Complaint Status</t>
  </si>
  <si>
    <t>F001</t>
  </si>
  <si>
    <t>Ramesh</t>
  </si>
  <si>
    <t>Rampur</t>
  </si>
  <si>
    <t>Wheat</t>
  </si>
  <si>
    <t>PM-KISAN</t>
  </si>
  <si>
    <t>₹6000</t>
  </si>
  <si>
    <t>Yes</t>
  </si>
  <si>
    <t>Resolved</t>
  </si>
  <si>
    <t>F002</t>
  </si>
  <si>
    <t>Sita</t>
  </si>
  <si>
    <t>Lakhanpur</t>
  </si>
  <si>
    <t>Rice</t>
  </si>
  <si>
    <t>None</t>
  </si>
  <si>
    <t>₹0</t>
  </si>
  <si>
    <t>No</t>
  </si>
  <si>
    <t>Pending</t>
  </si>
  <si>
    <t>F003</t>
  </si>
  <si>
    <t>Mohan</t>
  </si>
  <si>
    <t>Devgaon</t>
  </si>
  <si>
    <t>Cotton</t>
  </si>
  <si>
    <t>Crop Insurance</t>
  </si>
  <si>
    <t>₹12000</t>
  </si>
  <si>
    <t>F004</t>
  </si>
  <si>
    <t>Geeta</t>
  </si>
  <si>
    <t>Maize</t>
  </si>
  <si>
    <t>F005</t>
  </si>
  <si>
    <t>₹8000</t>
  </si>
  <si>
    <t>Let’s make you interview-ready and MIS-smart! 💪📊</t>
  </si>
  <si>
    <t>Sum of Yield (kg)</t>
  </si>
  <si>
    <t>Farmer_ID</t>
  </si>
  <si>
    <t>Crop_Type</t>
  </si>
  <si>
    <t>Issue_Type</t>
  </si>
  <si>
    <t>Issue_Date</t>
  </si>
  <si>
    <t>Resolution_Date</t>
  </si>
  <si>
    <t>Support_Status</t>
  </si>
  <si>
    <t>Telangana</t>
  </si>
  <si>
    <t>Pest Infestation</t>
  </si>
  <si>
    <t>Andhra</t>
  </si>
  <si>
    <t>Low Yield</t>
  </si>
  <si>
    <t>Water Shortage</t>
  </si>
  <si>
    <t>Laxmi</t>
  </si>
  <si>
    <t>Karnataka</t>
  </si>
  <si>
    <t>Soil Issue</t>
  </si>
  <si>
    <t>Ravi</t>
  </si>
  <si>
    <t>Excel Interview Questions (Farmer Data Scenario)</t>
  </si>
  <si>
    <t>1. Use a formula to calculate resolution time (in days) for each farmer.</t>
  </si>
  <si>
    <r>
      <t xml:space="preserve">Hint: Use </t>
    </r>
    <r>
      <rPr>
        <i/>
        <sz val="10"/>
        <color theme="1"/>
        <rFont val="Arial Unicode MS"/>
      </rPr>
      <t>=IF(Support_Status="Resolved", Resolution_Date - Issue_Date, "")</t>
    </r>
  </si>
  <si>
    <t>2. Create a Pivot Table showing count of issues by Region and Crop_Type.</t>
  </si>
  <si>
    <t>3. Apply Conditional Formatting to highlight rows where Support_Status is “Pending”.</t>
  </si>
  <si>
    <r>
      <t xml:space="preserve">4. Use </t>
    </r>
    <r>
      <rPr>
        <b/>
        <sz val="10"/>
        <color theme="1"/>
        <rFont val="Arial Unicode MS"/>
      </rPr>
      <t>COUNTIFS</t>
    </r>
    <r>
      <rPr>
        <b/>
        <sz val="11"/>
        <color theme="1"/>
        <rFont val="Calibri"/>
        <family val="2"/>
        <scheme val="minor"/>
      </rPr>
      <t xml:space="preserve"> to find how many Rice farmers had resolved issues in Telangana.</t>
    </r>
  </si>
  <si>
    <t>5. Create a drop-down list for Crop_Type using Data Validation.</t>
  </si>
  <si>
    <r>
      <t xml:space="preserve">6. Use </t>
    </r>
    <r>
      <rPr>
        <b/>
        <sz val="10"/>
        <color theme="1"/>
        <rFont val="Arial Unicode MS"/>
      </rPr>
      <t>VLOOKUP</t>
    </r>
    <r>
      <rPr>
        <b/>
        <sz val="11"/>
        <color theme="1"/>
        <rFont val="Calibri"/>
        <family val="2"/>
        <scheme val="minor"/>
      </rPr>
      <t xml:space="preserve"> to fetch Issue_Type when Farmer_ID is entered in another cell.</t>
    </r>
  </si>
  <si>
    <t>7. Sort the data by Issue_Date and then by Support_Status.</t>
  </si>
  <si>
    <t>8. Add a column to show whether resolution was done within 2 days (Yes/No).</t>
  </si>
  <si>
    <r>
      <t xml:space="preserve">Hint: Use </t>
    </r>
    <r>
      <rPr>
        <i/>
        <sz val="10"/>
        <color theme="1"/>
        <rFont val="Arial Unicode MS"/>
      </rPr>
      <t>=IF(Resolution_Date - Issue_Date &lt;= 2, "Yes", "No")</t>
    </r>
  </si>
  <si>
    <t>Sum of Total Sales</t>
  </si>
  <si>
    <t>mens pol</t>
  </si>
  <si>
    <t>womens pol</t>
  </si>
  <si>
    <t>customers satisfactions</t>
  </si>
  <si>
    <t>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</si>
</sst>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quot;Rs.&quot;#,##0.00_);[Red]\(&quot;Rs.&quot;#,##0.00\)"/>
    <numFmt numFmtId="165" formatCode="_(&quot;Rs.&quot;* #,##0.00_);_(&quot;Rs.&quot;* \(#,##0.00\);_(&quot;Rs.&quot;* &quot;-&quot;??_);_(@_)"/>
    <numFmt numFmtId="166" formatCode="yyyy\-mm\-dd\ hh:mm:ss"/>
    <numFmt numFmtId="167" formatCode="#\ &quot;HRS&quot;"/>
    <numFmt numFmtId="168" formatCode="yyyy\-mm\-dd"/>
  </numFmts>
  <fonts count="21">
    <font>
      <sz val="11"/>
      <color theme="1"/>
      <name val="Calibri"/>
      <family val="2"/>
      <scheme val="minor"/>
    </font>
    <font>
      <b/>
      <sz val="11"/>
      <color theme="1"/>
      <name val="Calibri"/>
      <family val="2"/>
      <scheme val="minor"/>
    </font>
    <font>
      <b/>
      <sz val="14"/>
      <color theme="1"/>
      <name val="Calibri"/>
      <family val="2"/>
      <scheme val="minor"/>
    </font>
    <font>
      <sz val="16"/>
      <color theme="1"/>
      <name val="Calibri"/>
      <family val="2"/>
      <scheme val="minor"/>
    </font>
    <font>
      <b/>
      <sz val="16"/>
      <color theme="1"/>
      <name val="Calibri"/>
      <family val="2"/>
      <scheme val="minor"/>
    </font>
    <font>
      <b/>
      <sz val="18"/>
      <color theme="1"/>
      <name val="Calibri"/>
      <family val="2"/>
      <scheme val="minor"/>
    </font>
    <font>
      <b/>
      <sz val="24"/>
      <color theme="0"/>
      <name val="Calibri"/>
      <family val="2"/>
      <scheme val="minor"/>
    </font>
    <font>
      <b/>
      <sz val="14"/>
      <color theme="0"/>
      <name val="Calibri"/>
      <family val="2"/>
      <scheme val="minor"/>
    </font>
    <font>
      <sz val="10"/>
      <color theme="1"/>
      <name val="Arial Unicode MS"/>
    </font>
    <font>
      <b/>
      <sz val="11"/>
      <color theme="0"/>
      <name val="Calibri"/>
      <family val="2"/>
      <scheme val="minor"/>
    </font>
    <font>
      <sz val="11"/>
      <color theme="0"/>
      <name val="Calibri"/>
      <family val="2"/>
      <scheme val="minor"/>
    </font>
    <font>
      <sz val="8"/>
      <name val="Calibri"/>
      <family val="2"/>
      <scheme val="minor"/>
    </font>
    <font>
      <sz val="11"/>
      <color theme="1" tint="0.34998626667073579"/>
      <name val="Calibri"/>
      <family val="2"/>
      <scheme val="minor"/>
    </font>
    <font>
      <b/>
      <sz val="13.5"/>
      <color theme="1"/>
      <name val="Calibri"/>
      <family val="2"/>
      <scheme val="minor"/>
    </font>
    <font>
      <b/>
      <sz val="28"/>
      <color theme="0"/>
      <name val="Calibri"/>
      <family val="2"/>
      <scheme val="minor"/>
    </font>
    <font>
      <b/>
      <sz val="16"/>
      <color theme="0"/>
      <name val="Calibri"/>
      <family val="2"/>
      <scheme val="minor"/>
    </font>
    <font>
      <b/>
      <sz val="20"/>
      <color theme="0"/>
      <name val="Calibri"/>
      <family val="2"/>
      <scheme val="minor"/>
    </font>
    <font>
      <i/>
      <sz val="11"/>
      <color theme="1"/>
      <name val="Calibri"/>
      <family val="2"/>
      <scheme val="minor"/>
    </font>
    <font>
      <i/>
      <sz val="10"/>
      <color theme="1"/>
      <name val="Arial Unicode MS"/>
    </font>
    <font>
      <b/>
      <sz val="10"/>
      <color theme="1"/>
      <name val="Arial Unicode MS"/>
    </font>
    <font>
      <b/>
      <sz val="18"/>
      <color theme="1"/>
      <name val="Algerian"/>
      <family val="5"/>
    </font>
  </fonts>
  <fills count="16">
    <fill>
      <patternFill patternType="none"/>
    </fill>
    <fill>
      <patternFill patternType="gray125"/>
    </fill>
    <fill>
      <patternFill patternType="solid">
        <fgColor rgb="FFFFFF00"/>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0"/>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1"/>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bgColor indexed="64"/>
      </patternFill>
    </fill>
    <fill>
      <patternFill patternType="solid">
        <fgColor rgb="FFF2DCDB"/>
        <bgColor indexed="64"/>
      </patternFill>
    </fill>
  </fills>
  <borders count="3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right/>
      <top/>
      <bottom style="thin">
        <color theme="0" tint="-4.9989318521683403E-2"/>
      </bottom>
      <diagonal/>
    </border>
    <border>
      <left/>
      <right style="thin">
        <color theme="0" tint="-4.9989318521683403E-2"/>
      </right>
      <top/>
      <bottom/>
      <diagonal/>
    </border>
    <border>
      <left style="thin">
        <color theme="0" tint="-4.9989318521683403E-2"/>
      </left>
      <right style="thin">
        <color theme="0" tint="-4.9989318521683403E-2"/>
      </right>
      <top style="thin">
        <color theme="0"/>
      </top>
      <bottom style="thin">
        <color theme="0"/>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1"/>
      </left>
      <right style="thin">
        <color theme="1"/>
      </right>
      <top style="thin">
        <color theme="1"/>
      </top>
      <bottom style="thin">
        <color theme="1"/>
      </bottom>
      <diagonal/>
    </border>
    <border>
      <left/>
      <right style="thin">
        <color theme="0" tint="-4.9989318521683403E-2"/>
      </right>
      <top style="thin">
        <color theme="0" tint="-4.9989318521683403E-2"/>
      </top>
      <bottom style="thin">
        <color theme="0" tint="-4.9989318521683403E-2"/>
      </bottom>
      <diagonal/>
    </border>
    <border>
      <left/>
      <right/>
      <top style="thin">
        <color theme="0" tint="-4.9989318521683403E-2"/>
      </top>
      <bottom style="thin">
        <color theme="0" tint="-4.9989318521683403E-2"/>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auto="1"/>
      </left>
      <right/>
      <top/>
      <bottom style="thin">
        <color indexed="64"/>
      </bottom>
      <diagonal/>
    </border>
    <border>
      <left/>
      <right/>
      <top/>
      <bottom style="thin">
        <color indexed="64"/>
      </bottom>
      <diagonal/>
    </border>
    <border>
      <left/>
      <right style="thin">
        <color auto="1"/>
      </right>
      <top style="thin">
        <color auto="1"/>
      </top>
      <bottom style="thin">
        <color auto="1"/>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auto="1"/>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theme="1"/>
      </right>
      <top/>
      <bottom style="thin">
        <color theme="1"/>
      </bottom>
      <diagonal/>
    </border>
    <border>
      <left style="thin">
        <color theme="1"/>
      </left>
      <right style="thin">
        <color theme="1"/>
      </right>
      <top/>
      <bottom style="thin">
        <color theme="1"/>
      </bottom>
      <diagonal/>
    </border>
    <border>
      <left style="thin">
        <color theme="1"/>
      </left>
      <right/>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theme="1"/>
      </left>
      <right/>
      <top style="thin">
        <color theme="1"/>
      </top>
      <bottom/>
      <diagonal/>
    </border>
  </borders>
  <cellStyleXfs count="1">
    <xf numFmtId="0" fontId="0" fillId="0" borderId="0"/>
  </cellStyleXfs>
  <cellXfs count="177">
    <xf numFmtId="0" fontId="0" fillId="0" borderId="0" xfId="0"/>
    <xf numFmtId="0" fontId="1" fillId="0" borderId="1" xfId="0" applyFont="1" applyBorder="1" applyAlignment="1">
      <alignment horizontal="center" vertical="top"/>
    </xf>
    <xf numFmtId="0" fontId="0" fillId="0" borderId="1" xfId="0" applyBorder="1"/>
    <xf numFmtId="0" fontId="0" fillId="0" borderId="0" xfId="0" pivotButton="1"/>
    <xf numFmtId="0" fontId="0" fillId="0" borderId="0" xfId="0" applyAlignment="1">
      <alignment horizontal="left"/>
    </xf>
    <xf numFmtId="2" fontId="0" fillId="0" borderId="0" xfId="0" applyNumberFormat="1"/>
    <xf numFmtId="0" fontId="0" fillId="0" borderId="1" xfId="0" applyBorder="1" applyAlignment="1">
      <alignment horizontal="right" vertical="top"/>
    </xf>
    <xf numFmtId="165" fontId="0" fillId="0" borderId="1" xfId="0" applyNumberFormat="1" applyBorder="1"/>
    <xf numFmtId="14" fontId="0" fillId="0" borderId="0" xfId="0" applyNumberFormat="1"/>
    <xf numFmtId="14" fontId="0" fillId="0" borderId="0" xfId="0" applyNumberFormat="1" applyAlignment="1">
      <alignment horizontal="right"/>
    </xf>
    <xf numFmtId="0" fontId="0" fillId="0" borderId="0" xfId="0" applyAlignment="1">
      <alignment vertical="center" wrapText="1"/>
    </xf>
    <xf numFmtId="0" fontId="1" fillId="0" borderId="1" xfId="0" applyFont="1" applyBorder="1" applyAlignment="1">
      <alignment horizontal="center" vertical="center" wrapText="1"/>
    </xf>
    <xf numFmtId="14" fontId="0" fillId="0" borderId="1" xfId="0" applyNumberFormat="1" applyBorder="1" applyAlignment="1">
      <alignment vertical="center" wrapText="1"/>
    </xf>
    <xf numFmtId="0" fontId="2" fillId="0" borderId="1" xfId="0" applyFont="1" applyBorder="1" applyAlignment="1">
      <alignment horizontal="center" vertical="top"/>
    </xf>
    <xf numFmtId="0" fontId="0" fillId="0" borderId="1" xfId="0" applyBorder="1" applyAlignment="1">
      <alignment vertical="center" wrapText="1"/>
    </xf>
    <xf numFmtId="0" fontId="2" fillId="2" borderId="1" xfId="0" applyFont="1" applyFill="1" applyBorder="1" applyAlignment="1">
      <alignment horizontal="center" vertical="center" wrapText="1"/>
    </xf>
    <xf numFmtId="165" fontId="1" fillId="0" borderId="1" xfId="0" applyNumberFormat="1" applyFont="1" applyBorder="1" applyAlignment="1">
      <alignment horizontal="center" vertical="top"/>
    </xf>
    <xf numFmtId="165" fontId="1" fillId="0" borderId="1" xfId="0" applyNumberFormat="1" applyFont="1" applyBorder="1"/>
    <xf numFmtId="165" fontId="0" fillId="0" borderId="0" xfId="0" applyNumberFormat="1"/>
    <xf numFmtId="165" fontId="1" fillId="0" borderId="0" xfId="0" applyNumberFormat="1" applyFont="1"/>
    <xf numFmtId="0" fontId="2" fillId="0" borderId="2" xfId="0" applyFont="1" applyBorder="1" applyAlignment="1">
      <alignment horizontal="center" vertical="top"/>
    </xf>
    <xf numFmtId="0" fontId="0" fillId="0" borderId="2" xfId="0" applyBorder="1"/>
    <xf numFmtId="0" fontId="1" fillId="0" borderId="2" xfId="0" applyFont="1" applyBorder="1" applyAlignment="1">
      <alignment horizontal="center" vertical="top"/>
    </xf>
    <xf numFmtId="0" fontId="1" fillId="0" borderId="1" xfId="0" applyFont="1" applyBorder="1"/>
    <xf numFmtId="0" fontId="0" fillId="0" borderId="0" xfId="0" applyAlignment="1">
      <alignment horizontal="center"/>
    </xf>
    <xf numFmtId="0" fontId="3" fillId="0" borderId="1" xfId="0" applyFont="1" applyBorder="1"/>
    <xf numFmtId="9" fontId="1" fillId="0" borderId="1" xfId="0" applyNumberFormat="1" applyFont="1" applyBorder="1"/>
    <xf numFmtId="2" fontId="1" fillId="0" borderId="1" xfId="0" applyNumberFormat="1" applyFont="1" applyBorder="1"/>
    <xf numFmtId="43" fontId="0" fillId="0" borderId="1" xfId="0" applyNumberFormat="1" applyBorder="1"/>
    <xf numFmtId="164" fontId="0" fillId="0" borderId="1" xfId="0" applyNumberFormat="1" applyBorder="1"/>
    <xf numFmtId="0" fontId="4" fillId="0" borderId="1" xfId="0" applyFont="1" applyBorder="1" applyAlignment="1">
      <alignment horizontal="center" vertical="top"/>
    </xf>
    <xf numFmtId="0" fontId="0" fillId="0" borderId="3" xfId="0" applyBorder="1"/>
    <xf numFmtId="0" fontId="2" fillId="0" borderId="0" xfId="0" applyFont="1"/>
    <xf numFmtId="0" fontId="4" fillId="0" borderId="0" xfId="0" applyFont="1" applyAlignment="1">
      <alignment vertical="top"/>
    </xf>
    <xf numFmtId="0" fontId="4" fillId="0" borderId="4" xfId="0" applyFont="1" applyBorder="1" applyAlignment="1">
      <alignment horizontal="center" vertical="top"/>
    </xf>
    <xf numFmtId="0" fontId="2" fillId="0" borderId="1" xfId="0" applyFont="1" applyBorder="1"/>
    <xf numFmtId="0" fontId="0" fillId="0" borderId="1" xfId="0" applyBorder="1" applyAlignment="1">
      <alignment horizontal="right"/>
    </xf>
    <xf numFmtId="0" fontId="0" fillId="0" borderId="0" xfId="0" applyAlignment="1">
      <alignment horizontal="left" vertical="center" indent="1"/>
    </xf>
    <xf numFmtId="0" fontId="8" fillId="0" borderId="0" xfId="0" applyFont="1" applyAlignment="1">
      <alignment horizontal="left" vertical="center" indent="1"/>
    </xf>
    <xf numFmtId="0" fontId="0" fillId="0" borderId="1" xfId="0" applyBorder="1" applyAlignment="1">
      <alignment horizontal="left" vertical="center" indent="1"/>
    </xf>
    <xf numFmtId="0" fontId="8" fillId="0" borderId="1" xfId="0" applyFont="1" applyBorder="1" applyAlignment="1">
      <alignment horizontal="left" vertical="center" indent="1"/>
    </xf>
    <xf numFmtId="14" fontId="0" fillId="0" borderId="1" xfId="0" applyNumberFormat="1" applyBorder="1"/>
    <xf numFmtId="0" fontId="0" fillId="0" borderId="0" xfId="0" applyAlignment="1">
      <alignment horizontal="left" indent="1"/>
    </xf>
    <xf numFmtId="0" fontId="0" fillId="4" borderId="0" xfId="0" applyFill="1"/>
    <xf numFmtId="0" fontId="0" fillId="4" borderId="0" xfId="0" applyFill="1" applyAlignment="1">
      <alignment horizontal="left"/>
    </xf>
    <xf numFmtId="166" fontId="0" fillId="0" borderId="1" xfId="0" applyNumberFormat="1" applyBorder="1"/>
    <xf numFmtId="0" fontId="0" fillId="0" borderId="11" xfId="0" applyBorder="1"/>
    <xf numFmtId="0" fontId="0" fillId="0" borderId="10" xfId="0" applyBorder="1" applyAlignment="1">
      <alignment vertical="center" wrapText="1"/>
    </xf>
    <xf numFmtId="14" fontId="0" fillId="0" borderId="10" xfId="0" applyNumberFormat="1" applyBorder="1" applyAlignment="1">
      <alignment vertical="center" wrapText="1"/>
    </xf>
    <xf numFmtId="0" fontId="13" fillId="0" borderId="0" xfId="0" applyFont="1" applyAlignment="1">
      <alignment vertical="center"/>
    </xf>
    <xf numFmtId="0" fontId="1" fillId="0" borderId="0" xfId="0" applyFont="1" applyAlignment="1">
      <alignment horizontal="left" vertical="center" indent="1"/>
    </xf>
    <xf numFmtId="0" fontId="2" fillId="0" borderId="1" xfId="0" applyFont="1" applyBorder="1" applyAlignment="1">
      <alignment horizontal="center"/>
    </xf>
    <xf numFmtId="0" fontId="0" fillId="6" borderId="0" xfId="0" applyFill="1"/>
    <xf numFmtId="0" fontId="0" fillId="0" borderId="12" xfId="0" applyBorder="1"/>
    <xf numFmtId="0" fontId="2" fillId="0" borderId="10" xfId="0" applyFont="1" applyBorder="1" applyAlignment="1">
      <alignment horizontal="center" vertical="center" wrapText="1"/>
    </xf>
    <xf numFmtId="0" fontId="0" fillId="6" borderId="1" xfId="0" applyFill="1" applyBorder="1"/>
    <xf numFmtId="0" fontId="2" fillId="5" borderId="1" xfId="0" applyFont="1" applyFill="1" applyBorder="1" applyAlignment="1">
      <alignment horizontal="center"/>
    </xf>
    <xf numFmtId="14" fontId="0" fillId="6" borderId="1" xfId="0" applyNumberFormat="1" applyFill="1" applyBorder="1"/>
    <xf numFmtId="0" fontId="0" fillId="0" borderId="10" xfId="0" applyBorder="1"/>
    <xf numFmtId="0" fontId="0" fillId="7" borderId="0" xfId="0" applyFill="1"/>
    <xf numFmtId="0" fontId="12" fillId="7" borderId="0" xfId="0" applyFont="1" applyFill="1"/>
    <xf numFmtId="0" fontId="10" fillId="7" borderId="0" xfId="0" applyFont="1" applyFill="1"/>
    <xf numFmtId="0" fontId="2" fillId="7" borderId="10" xfId="0" applyFont="1" applyFill="1" applyBorder="1" applyAlignment="1">
      <alignment horizontal="center" vertical="top"/>
    </xf>
    <xf numFmtId="0" fontId="2" fillId="7" borderId="10" xfId="0" applyFont="1" applyFill="1" applyBorder="1"/>
    <xf numFmtId="0" fontId="12" fillId="7" borderId="7" xfId="0" applyFont="1" applyFill="1" applyBorder="1"/>
    <xf numFmtId="0" fontId="0" fillId="7" borderId="10" xfId="0" applyFill="1" applyBorder="1"/>
    <xf numFmtId="0" fontId="10" fillId="8" borderId="0" xfId="0" applyFont="1" applyFill="1"/>
    <xf numFmtId="0" fontId="10" fillId="8" borderId="6" xfId="0" applyFont="1" applyFill="1" applyBorder="1"/>
    <xf numFmtId="0" fontId="7" fillId="9" borderId="0" xfId="0" applyFont="1" applyFill="1" applyAlignment="1">
      <alignment horizontal="center"/>
    </xf>
    <xf numFmtId="0" fontId="9" fillId="9" borderId="8" xfId="0" applyFont="1" applyFill="1" applyBorder="1"/>
    <xf numFmtId="0" fontId="9" fillId="9" borderId="9" xfId="0" applyFont="1" applyFill="1" applyBorder="1"/>
    <xf numFmtId="0" fontId="2" fillId="0" borderId="10" xfId="0" applyFont="1" applyBorder="1"/>
    <xf numFmtId="0" fontId="2" fillId="10" borderId="10" xfId="0" applyFont="1" applyFill="1" applyBorder="1"/>
    <xf numFmtId="0" fontId="0" fillId="0" borderId="16" xfId="0" applyBorder="1"/>
    <xf numFmtId="0" fontId="4" fillId="0" borderId="17" xfId="0" applyFont="1" applyBorder="1" applyAlignment="1">
      <alignment horizontal="center" vertical="top"/>
    </xf>
    <xf numFmtId="0" fontId="0" fillId="0" borderId="17" xfId="0" applyBorder="1"/>
    <xf numFmtId="0" fontId="0" fillId="13" borderId="0" xfId="0" applyFill="1"/>
    <xf numFmtId="0" fontId="1" fillId="0" borderId="0" xfId="0" applyFont="1"/>
    <xf numFmtId="0" fontId="0" fillId="0" borderId="19" xfId="0" applyBorder="1"/>
    <xf numFmtId="0" fontId="0" fillId="0" borderId="20" xfId="0" applyBorder="1"/>
    <xf numFmtId="0" fontId="15" fillId="14" borderId="1" xfId="0" applyFont="1" applyFill="1" applyBorder="1" applyAlignment="1">
      <alignment horizontal="center" vertical="center"/>
    </xf>
    <xf numFmtId="167" fontId="0" fillId="0" borderId="1" xfId="0" applyNumberFormat="1" applyBorder="1"/>
    <xf numFmtId="1" fontId="0" fillId="0" borderId="1" xfId="0" applyNumberFormat="1" applyBorder="1"/>
    <xf numFmtId="0" fontId="0" fillId="0" borderId="18" xfId="0" applyBorder="1"/>
    <xf numFmtId="1" fontId="0" fillId="0" borderId="2" xfId="0" applyNumberFormat="1" applyBorder="1"/>
    <xf numFmtId="0" fontId="0" fillId="0" borderId="21" xfId="0" applyBorder="1"/>
    <xf numFmtId="0" fontId="0" fillId="0" borderId="4" xfId="0" applyBorder="1"/>
    <xf numFmtId="1" fontId="0" fillId="0" borderId="4" xfId="0" applyNumberFormat="1" applyBorder="1"/>
    <xf numFmtId="167" fontId="0" fillId="0" borderId="4" xfId="0" applyNumberFormat="1" applyBorder="1"/>
    <xf numFmtId="1" fontId="0" fillId="0" borderId="16" xfId="0" applyNumberFormat="1" applyBorder="1"/>
    <xf numFmtId="0" fontId="0" fillId="0" borderId="22" xfId="0" applyBorder="1"/>
    <xf numFmtId="0" fontId="0" fillId="0" borderId="23" xfId="0" applyBorder="1"/>
    <xf numFmtId="1" fontId="0" fillId="0" borderId="23" xfId="0" applyNumberFormat="1" applyBorder="1"/>
    <xf numFmtId="167" fontId="0" fillId="0" borderId="23" xfId="0" applyNumberFormat="1" applyBorder="1"/>
    <xf numFmtId="1" fontId="0" fillId="0" borderId="24" xfId="0" applyNumberFormat="1" applyBorder="1"/>
    <xf numFmtId="1" fontId="0" fillId="0" borderId="0" xfId="0" applyNumberFormat="1"/>
    <xf numFmtId="167" fontId="0" fillId="0" borderId="0" xfId="0" applyNumberFormat="1"/>
    <xf numFmtId="0" fontId="0" fillId="0" borderId="0" xfId="0" applyAlignment="1">
      <alignment vertical="center"/>
    </xf>
    <xf numFmtId="0" fontId="1" fillId="0" borderId="18" xfId="0" applyFont="1" applyBorder="1"/>
    <xf numFmtId="0" fontId="1" fillId="0" borderId="2" xfId="0" applyFont="1" applyBorder="1"/>
    <xf numFmtId="0" fontId="4" fillId="12" borderId="21" xfId="0" applyFont="1" applyFill="1" applyBorder="1" applyAlignment="1">
      <alignment horizontal="center" vertical="center"/>
    </xf>
    <xf numFmtId="0" fontId="4" fillId="12" borderId="4" xfId="0" applyFont="1" applyFill="1" applyBorder="1" applyAlignment="1">
      <alignment horizontal="center" vertical="center"/>
    </xf>
    <xf numFmtId="0" fontId="4" fillId="12" borderId="16" xfId="0" applyFont="1" applyFill="1" applyBorder="1" applyAlignment="1">
      <alignment horizontal="center" vertical="center"/>
    </xf>
    <xf numFmtId="0" fontId="1" fillId="0" borderId="22" xfId="0" applyFont="1" applyBorder="1"/>
    <xf numFmtId="0" fontId="1" fillId="0" borderId="23" xfId="0" applyFont="1" applyBorder="1"/>
    <xf numFmtId="0" fontId="1" fillId="0" borderId="24" xfId="0" applyFont="1" applyBorder="1"/>
    <xf numFmtId="0" fontId="15" fillId="14" borderId="23" xfId="0" applyFont="1" applyFill="1" applyBorder="1" applyAlignment="1">
      <alignment horizontal="center" vertical="center"/>
    </xf>
    <xf numFmtId="15" fontId="0" fillId="0" borderId="1" xfId="0" applyNumberFormat="1" applyBorder="1" applyAlignment="1">
      <alignment vertical="center" wrapText="1"/>
    </xf>
    <xf numFmtId="0" fontId="17" fillId="0" borderId="0" xfId="0" applyFont="1" applyAlignment="1">
      <alignment horizontal="left" vertical="center" indent="1"/>
    </xf>
    <xf numFmtId="0" fontId="0" fillId="0" borderId="24" xfId="0" applyBorder="1"/>
    <xf numFmtId="0" fontId="4" fillId="0" borderId="21" xfId="0" applyFont="1" applyBorder="1"/>
    <xf numFmtId="0" fontId="4" fillId="0" borderId="4" xfId="0" applyFont="1" applyBorder="1"/>
    <xf numFmtId="0" fontId="4" fillId="0" borderId="16" xfId="0" applyFont="1" applyBorder="1"/>
    <xf numFmtId="168" fontId="0" fillId="0" borderId="1" xfId="0" applyNumberFormat="1" applyBorder="1"/>
    <xf numFmtId="0" fontId="10" fillId="15" borderId="0" xfId="0" applyFont="1" applyFill="1"/>
    <xf numFmtId="9" fontId="0" fillId="0" borderId="1" xfId="0" applyNumberFormat="1" applyBorder="1"/>
    <xf numFmtId="2" fontId="0" fillId="0" borderId="1" xfId="0" applyNumberFormat="1" applyBorder="1"/>
    <xf numFmtId="0" fontId="0" fillId="0" borderId="14" xfId="0" applyBorder="1" applyAlignment="1">
      <alignment vertical="center" wrapText="1"/>
    </xf>
    <xf numFmtId="0" fontId="0" fillId="0" borderId="13" xfId="0" applyBorder="1" applyAlignment="1">
      <alignment vertical="center" wrapText="1"/>
    </xf>
    <xf numFmtId="0" fontId="2" fillId="0" borderId="25"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27" xfId="0" applyFont="1" applyBorder="1" applyAlignment="1">
      <alignment horizontal="center" vertical="center" wrapText="1"/>
    </xf>
    <xf numFmtId="0" fontId="0" fillId="0" borderId="28" xfId="0" applyBorder="1" applyAlignment="1">
      <alignment vertical="center" wrapText="1"/>
    </xf>
    <xf numFmtId="14" fontId="0" fillId="0" borderId="29" xfId="0" applyNumberFormat="1" applyBorder="1" applyAlignment="1">
      <alignment vertical="center" wrapText="1"/>
    </xf>
    <xf numFmtId="0" fontId="0" fillId="0" borderId="29" xfId="0" applyBorder="1" applyAlignment="1">
      <alignment vertical="center" wrapText="1"/>
    </xf>
    <xf numFmtId="0" fontId="0" fillId="0" borderId="30" xfId="0" applyBorder="1" applyAlignment="1">
      <alignment vertical="center" wrapText="1"/>
    </xf>
    <xf numFmtId="0" fontId="1" fillId="0" borderId="21" xfId="0" applyFont="1" applyBorder="1" applyAlignment="1">
      <alignment horizontal="center" vertical="top"/>
    </xf>
    <xf numFmtId="0" fontId="1" fillId="0" borderId="4" xfId="0" applyFont="1" applyBorder="1" applyAlignment="1">
      <alignment horizontal="center" vertical="top"/>
    </xf>
    <xf numFmtId="0" fontId="1" fillId="0" borderId="16" xfId="0" applyFont="1" applyBorder="1" applyAlignment="1">
      <alignment horizontal="center" vertical="top"/>
    </xf>
    <xf numFmtId="0" fontId="2" fillId="10" borderId="0" xfId="0" applyFont="1" applyFill="1" applyAlignment="1">
      <alignment horizontal="center"/>
    </xf>
    <xf numFmtId="0" fontId="0" fillId="10" borderId="0" xfId="0" applyFill="1"/>
    <xf numFmtId="0" fontId="0" fillId="11" borderId="0" xfId="0" applyFill="1"/>
    <xf numFmtId="0" fontId="5" fillId="11" borderId="0" xfId="0" applyFont="1" applyFill="1"/>
    <xf numFmtId="0" fontId="4" fillId="11" borderId="0" xfId="0" applyFont="1" applyFill="1"/>
    <xf numFmtId="0" fontId="0" fillId="11" borderId="17" xfId="0" applyFill="1" applyBorder="1"/>
    <xf numFmtId="0" fontId="0" fillId="11" borderId="5" xfId="0" applyFill="1" applyBorder="1"/>
    <xf numFmtId="0" fontId="0" fillId="11" borderId="21" xfId="0" applyFill="1" applyBorder="1"/>
    <xf numFmtId="0" fontId="1" fillId="10" borderId="1" xfId="0" applyFont="1" applyFill="1" applyBorder="1"/>
    <xf numFmtId="9" fontId="1" fillId="10" borderId="1" xfId="0" applyNumberFormat="1" applyFont="1" applyFill="1" applyBorder="1"/>
    <xf numFmtId="0" fontId="0" fillId="10" borderId="0" xfId="0" applyFill="1" applyAlignment="1">
      <alignment horizontal="center"/>
    </xf>
    <xf numFmtId="0" fontId="0" fillId="0" borderId="18" xfId="0" applyBorder="1" applyAlignment="1">
      <alignment vertical="center" wrapText="1"/>
    </xf>
    <xf numFmtId="0" fontId="0" fillId="0" borderId="2" xfId="0" applyBorder="1" applyAlignment="1">
      <alignment vertical="center" wrapText="1"/>
    </xf>
    <xf numFmtId="0" fontId="1" fillId="0" borderId="2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6" xfId="0" applyFont="1" applyBorder="1" applyAlignment="1">
      <alignment horizontal="center" vertical="center" wrapText="1"/>
    </xf>
    <xf numFmtId="0" fontId="0" fillId="0" borderId="22" xfId="0" applyBorder="1" applyAlignment="1">
      <alignment vertical="center" wrapText="1"/>
    </xf>
    <xf numFmtId="0" fontId="0" fillId="0" borderId="23" xfId="0" applyBorder="1" applyAlignment="1">
      <alignment vertical="center" wrapText="1"/>
    </xf>
    <xf numFmtId="0" fontId="0" fillId="0" borderId="24" xfId="0" applyBorder="1" applyAlignment="1">
      <alignment vertical="center" wrapText="1"/>
    </xf>
    <xf numFmtId="15" fontId="0" fillId="0" borderId="18" xfId="0" applyNumberFormat="1" applyBorder="1" applyAlignment="1">
      <alignment vertical="center" wrapText="1"/>
    </xf>
    <xf numFmtId="0" fontId="2" fillId="0" borderId="21" xfId="0" applyFont="1" applyBorder="1" applyAlignment="1">
      <alignment horizontal="center" vertical="center"/>
    </xf>
    <xf numFmtId="0" fontId="2" fillId="0" borderId="4" xfId="0" applyFont="1" applyBorder="1" applyAlignment="1">
      <alignment horizontal="center" vertical="center"/>
    </xf>
    <xf numFmtId="0" fontId="2" fillId="0" borderId="16" xfId="0" applyFont="1" applyBorder="1" applyAlignment="1">
      <alignment horizontal="center" vertical="center"/>
    </xf>
    <xf numFmtId="15" fontId="0" fillId="0" borderId="22" xfId="0" applyNumberFormat="1" applyBorder="1" applyAlignment="1">
      <alignment vertical="center" wrapText="1"/>
    </xf>
    <xf numFmtId="15" fontId="0" fillId="0" borderId="23" xfId="0" applyNumberFormat="1" applyBorder="1" applyAlignment="1">
      <alignment vertical="center" wrapText="1"/>
    </xf>
    <xf numFmtId="0" fontId="2" fillId="2" borderId="0" xfId="0" applyFont="1" applyFill="1" applyAlignment="1">
      <alignment horizontal="center"/>
    </xf>
    <xf numFmtId="0" fontId="2" fillId="0" borderId="1" xfId="0" applyFont="1" applyBorder="1" applyAlignment="1">
      <alignment horizontal="center" vertical="top"/>
    </xf>
    <xf numFmtId="0" fontId="2" fillId="2" borderId="1" xfId="0" applyFont="1" applyFill="1" applyBorder="1" applyAlignment="1">
      <alignment horizontal="center"/>
    </xf>
    <xf numFmtId="0" fontId="5" fillId="0" borderId="1" xfId="0" applyFont="1" applyBorder="1" applyAlignment="1">
      <alignment horizontal="center"/>
    </xf>
    <xf numFmtId="0" fontId="6" fillId="3" borderId="0" xfId="0" applyFont="1" applyFill="1" applyAlignment="1">
      <alignment horizontal="center"/>
    </xf>
    <xf numFmtId="0" fontId="5" fillId="3" borderId="0" xfId="0" applyFont="1" applyFill="1" applyAlignment="1">
      <alignment horizontal="center"/>
    </xf>
    <xf numFmtId="0" fontId="7" fillId="3" borderId="0" xfId="0" applyFont="1" applyFill="1" applyAlignment="1">
      <alignment horizontal="center"/>
    </xf>
    <xf numFmtId="0" fontId="2" fillId="0" borderId="1" xfId="0" applyFont="1" applyBorder="1" applyAlignment="1">
      <alignment horizontal="center"/>
    </xf>
    <xf numFmtId="0" fontId="4" fillId="0" borderId="1" xfId="0" applyFont="1" applyBorder="1" applyAlignment="1">
      <alignment horizontal="center" vertical="top"/>
    </xf>
    <xf numFmtId="0" fontId="2" fillId="10" borderId="13" xfId="0" applyFont="1" applyFill="1" applyBorder="1" applyAlignment="1">
      <alignment horizontal="center"/>
    </xf>
    <xf numFmtId="0" fontId="2" fillId="10" borderId="15" xfId="0" applyFont="1" applyFill="1" applyBorder="1" applyAlignment="1">
      <alignment horizontal="center"/>
    </xf>
    <xf numFmtId="0" fontId="2" fillId="10" borderId="14" xfId="0" applyFont="1" applyFill="1" applyBorder="1" applyAlignment="1">
      <alignment horizontal="center"/>
    </xf>
    <xf numFmtId="0" fontId="1" fillId="10" borderId="1" xfId="0" applyFont="1" applyFill="1" applyBorder="1" applyAlignment="1">
      <alignment horizontal="center"/>
    </xf>
    <xf numFmtId="0" fontId="20" fillId="10" borderId="0" xfId="0" applyFont="1" applyFill="1" applyAlignment="1">
      <alignment horizontal="center"/>
    </xf>
    <xf numFmtId="0" fontId="14" fillId="13" borderId="0" xfId="0" applyFont="1" applyFill="1" applyAlignment="1">
      <alignment horizontal="center"/>
    </xf>
    <xf numFmtId="0" fontId="14" fillId="13" borderId="17" xfId="0" applyFont="1" applyFill="1" applyBorder="1" applyAlignment="1">
      <alignment horizontal="center"/>
    </xf>
    <xf numFmtId="0" fontId="16" fillId="14" borderId="0" xfId="0" applyFont="1" applyFill="1" applyAlignment="1">
      <alignment horizontal="center"/>
    </xf>
    <xf numFmtId="0" fontId="16" fillId="14" borderId="17" xfId="0" applyFont="1" applyFill="1" applyBorder="1" applyAlignment="1">
      <alignment horizontal="center"/>
    </xf>
    <xf numFmtId="0" fontId="0" fillId="0" borderId="1" xfId="0" pivotButton="1" applyBorder="1"/>
    <xf numFmtId="0" fontId="0" fillId="0" borderId="1" xfId="0" applyBorder="1" applyAlignment="1">
      <alignment horizontal="left"/>
    </xf>
    <xf numFmtId="0" fontId="4" fillId="0" borderId="21" xfId="0" applyFont="1" applyBorder="1" applyAlignment="1">
      <alignment horizontal="center" vertical="top"/>
    </xf>
    <xf numFmtId="0" fontId="4" fillId="0" borderId="16" xfId="0" applyFont="1" applyBorder="1" applyAlignment="1">
      <alignment horizontal="center" vertical="top"/>
    </xf>
    <xf numFmtId="0" fontId="7" fillId="3" borderId="0" xfId="0" applyFont="1" applyFill="1" applyAlignment="1"/>
  </cellXfs>
  <cellStyles count="1">
    <cellStyle name="Normal" xfId="0" builtinId="0"/>
  </cellStyles>
  <dxfs count="141">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gradientFill degree="90">
          <stop position="0">
            <color theme="9" tint="0.59999389629810485"/>
          </stop>
          <stop position="1">
            <color rgb="FFFFC000"/>
          </stop>
        </gradientFill>
      </fill>
    </dxf>
    <dxf>
      <fill>
        <gradientFill degree="90">
          <stop position="0">
            <color theme="9" tint="0.59999389629810485"/>
          </stop>
          <stop position="1">
            <color rgb="FFFFC000"/>
          </stop>
        </gradientFill>
      </fill>
    </dxf>
    <dxf>
      <fill>
        <gradientFill degree="90">
          <stop position="0">
            <color theme="5" tint="0.40000610370189521"/>
          </stop>
          <stop position="1">
            <color rgb="FFFFFF00"/>
          </stop>
        </gradientFill>
      </fill>
    </dxf>
    <dxf>
      <fill>
        <gradientFill degree="90">
          <stop position="0">
            <color theme="8" tint="0.40000610370189521"/>
          </stop>
          <stop position="1">
            <color theme="5" tint="0.59999389629810485"/>
          </stop>
        </gradientFill>
      </fill>
    </dxf>
    <dxf>
      <fill>
        <patternFill>
          <bgColor theme="5" tint="0.39994506668294322"/>
        </patternFill>
      </fill>
    </dxf>
    <dxf>
      <fill>
        <patternFill>
          <bgColor theme="9" tint="0.39994506668294322"/>
        </patternFill>
      </fill>
    </dxf>
    <dxf>
      <fill>
        <patternFill>
          <bgColor theme="8" tint="-0.24994659260841701"/>
        </patternFill>
      </fill>
    </dxf>
    <dxf>
      <fill>
        <patternFill>
          <bgColor theme="8" tint="0.39994506668294322"/>
        </patternFill>
      </fill>
    </dxf>
    <dxf>
      <alignment horizontal="left" vertical="bottom" textRotation="0" wrapText="0" indent="0" justifyLastLine="0" shrinkToFit="0" readingOrder="0"/>
    </dxf>
    <dxf>
      <font>
        <b/>
        <i val="0"/>
        <strike val="0"/>
        <condense val="0"/>
        <extend val="0"/>
        <outline val="0"/>
        <shadow val="0"/>
        <u val="none"/>
        <vertAlign val="baseline"/>
        <sz val="16"/>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bottom style="thin">
          <color indexed="64"/>
        </bottom>
      </border>
    </dxf>
    <dxf>
      <border outline="0">
        <left style="thin">
          <color auto="1"/>
        </left>
        <right style="thin">
          <color auto="1"/>
        </right>
        <top style="thin">
          <color auto="1"/>
        </top>
        <bottom style="thin">
          <color auto="1"/>
        </bottom>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strike val="0"/>
        <outline val="0"/>
        <shadow val="0"/>
        <u val="none"/>
        <vertAlign val="baseline"/>
        <sz val="16"/>
        <color theme="1"/>
        <name val="Calibri"/>
        <family val="2"/>
        <scheme val="minor"/>
      </font>
      <border diagonalUp="0" diagonalDown="0">
        <left style="thin">
          <color indexed="64"/>
        </left>
        <right style="thin">
          <color indexed="64"/>
        </right>
        <top/>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auto="1"/>
        </left>
        <right/>
        <top style="thin">
          <color auto="1"/>
        </top>
        <bottom style="thin">
          <color auto="1"/>
        </bottom>
        <vertical/>
        <horizontal/>
      </border>
    </dxf>
    <dxf>
      <numFmt numFmtId="20" formatCode="d\-mmm\-yy"/>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numFmt numFmtId="20" formatCode="d\-mmm\-yy"/>
      <alignment horizontal="general" vertical="center" textRotation="0" wrapText="1"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alignment horizontal="general"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4"/>
        <color theme="1"/>
        <name val="Calibri"/>
        <family val="2"/>
        <scheme val="minor"/>
      </font>
      <alignment horizontal="center" vertical="center" textRotation="0" wrapText="0" indent="0" justifyLastLine="0" shrinkToFit="0" readingOrder="0"/>
      <border diagonalUp="0" diagonalDown="0" outline="0">
        <left style="thin">
          <color auto="1"/>
        </left>
        <right style="thin">
          <color auto="1"/>
        </right>
        <top/>
        <bottom/>
      </border>
    </dxf>
    <dxf>
      <alignment horizontal="general" vertical="center" textRotation="0" wrapText="1" indent="0" justifyLastLine="0" shrinkToFit="0" readingOrder="0"/>
      <border diagonalUp="0" diagonalDown="0">
        <left style="thin">
          <color auto="1"/>
        </left>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alignment horizontal="general"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outline="0">
        <left style="thin">
          <color auto="1"/>
        </left>
        <right style="thin">
          <color auto="1"/>
        </right>
        <top/>
        <bottom/>
      </border>
    </dxf>
    <dxf>
      <numFmt numFmtId="1" formatCode="0"/>
    </dxf>
    <dxf>
      <numFmt numFmtId="1" formatCode="0"/>
    </dxf>
    <dxf>
      <numFmt numFmtId="167" formatCode="#\ &quot;HRS&quot;"/>
    </dxf>
    <dxf>
      <numFmt numFmtId="1" formatCode="0"/>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numFmt numFmtId="1" formatCode="0"/>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numFmt numFmtId="1" formatCode="0"/>
      <border diagonalUp="0" diagonalDown="0">
        <left style="thin">
          <color auto="1"/>
        </left>
        <right style="thin">
          <color auto="1"/>
        </right>
        <top style="thin">
          <color auto="1"/>
        </top>
        <bottom style="thin">
          <color auto="1"/>
        </bottom>
        <vertical/>
        <horizontal/>
      </border>
    </dxf>
    <dxf>
      <numFmt numFmtId="1" formatCode="0"/>
      <border diagonalUp="0" diagonalDown="0">
        <left style="thin">
          <color auto="1"/>
        </left>
        <right style="thin">
          <color auto="1"/>
        </right>
        <top style="thin">
          <color auto="1"/>
        </top>
        <bottom style="thin">
          <color auto="1"/>
        </bottom>
        <vertical/>
        <horizontal/>
      </border>
    </dxf>
    <dxf>
      <numFmt numFmtId="167" formatCode="#\ &quot;HRS&quot;"/>
      <border diagonalUp="0" diagonalDown="0">
        <left style="thin">
          <color auto="1"/>
        </left>
        <right style="thin">
          <color auto="1"/>
        </right>
        <top style="thin">
          <color auto="1"/>
        </top>
        <bottom style="thin">
          <color auto="1"/>
        </bottom>
        <vertical/>
        <horizontal/>
      </border>
    </dxf>
    <dxf>
      <numFmt numFmtId="1" formatCode="0"/>
      <border diagonalUp="0" diagonalDown="0">
        <left style="thin">
          <color auto="1"/>
        </left>
        <right style="thin">
          <color auto="1"/>
        </right>
        <top style="thin">
          <color auto="1"/>
        </top>
        <bottom style="thin">
          <color auto="1"/>
        </bottom>
        <vertical/>
        <horizontal/>
      </border>
    </dxf>
    <dxf>
      <numFmt numFmtId="1" formatCode="0"/>
      <border diagonalUp="0" diagonalDown="0">
        <left style="thin">
          <color auto="1"/>
        </left>
        <right style="thin">
          <color auto="1"/>
        </right>
        <top style="thin">
          <color auto="1"/>
        </top>
        <bottom style="thin">
          <color auto="1"/>
        </bottom>
        <vertical/>
        <horizontal/>
      </border>
    </dxf>
    <dxf>
      <numFmt numFmtId="1" formatCode="0"/>
      <border diagonalUp="0" diagonalDown="0">
        <left style="thin">
          <color auto="1"/>
        </left>
        <right style="thin">
          <color auto="1"/>
        </right>
        <top style="thin">
          <color auto="1"/>
        </top>
        <bottom style="thin">
          <color auto="1"/>
        </bottom>
        <vertical/>
        <horizontal/>
      </border>
    </dxf>
    <dxf>
      <numFmt numFmtId="1" formatCode="0"/>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 formatCode="0"/>
      <border diagonalUp="0" diagonalDown="0" outline="0">
        <left style="thin">
          <color auto="1"/>
        </left>
        <right style="thin">
          <color auto="1"/>
        </right>
        <top/>
        <bottom/>
      </border>
    </dxf>
    <dxf>
      <font>
        <b/>
        <i val="0"/>
        <strike val="0"/>
        <condense val="0"/>
        <extend val="0"/>
        <outline val="0"/>
        <shadow val="0"/>
        <u val="none"/>
        <vertAlign val="baseline"/>
        <sz val="11"/>
        <color theme="1"/>
        <name val="Calibri"/>
        <family val="2"/>
        <scheme val="minor"/>
      </font>
      <border diagonalUp="0" diagonalDown="0">
        <left style="thin">
          <color auto="1"/>
        </left>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font>
        <b/>
        <i val="0"/>
        <strike val="0"/>
        <condense val="0"/>
        <extend val="0"/>
        <outline val="0"/>
        <shadow val="0"/>
        <u val="none"/>
        <vertAlign val="baseline"/>
        <sz val="11"/>
        <color theme="1"/>
        <name val="Calibri"/>
        <family val="2"/>
        <scheme val="minor"/>
      </font>
    </dxf>
    <dxf>
      <border outline="0">
        <bottom style="thin">
          <color indexed="64"/>
        </bottom>
      </border>
    </dxf>
    <dxf>
      <font>
        <b/>
        <i val="0"/>
        <strike val="0"/>
        <condense val="0"/>
        <extend val="0"/>
        <outline val="0"/>
        <shadow val="0"/>
        <u val="none"/>
        <vertAlign val="baseline"/>
        <sz val="16"/>
        <color theme="1"/>
        <name val="Calibri"/>
        <family val="2"/>
        <scheme val="minor"/>
      </font>
      <fill>
        <patternFill patternType="solid">
          <fgColor indexed="64"/>
          <bgColor theme="9" tint="0.59999389629810485"/>
        </patternFill>
      </fill>
      <alignment horizontal="center" vertical="center" textRotation="0" wrapText="0" indent="0" justifyLastLine="0" shrinkToFit="0" readingOrder="0"/>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alignment horizontal="general" vertical="center" textRotation="0" wrapText="1" indent="0" justifyLastLine="0" shrinkToFit="0" readingOrder="0"/>
      <border diagonalUp="0" diagonalDown="0">
        <left style="thin">
          <color theme="1"/>
        </left>
        <right/>
        <top style="thin">
          <color theme="1"/>
        </top>
        <bottom style="thin">
          <color theme="1"/>
        </bottom>
        <vertical/>
        <horizontal/>
      </border>
    </dxf>
    <dxf>
      <alignment horizontal="general" vertical="center" textRotation="0" wrapText="1" indent="0" justifyLastLine="0" shrinkToFit="0" readingOrder="0"/>
      <border diagonalUp="0" diagonalDown="0">
        <left style="thin">
          <color theme="1"/>
        </left>
        <right style="thin">
          <color theme="1"/>
        </right>
        <top style="thin">
          <color theme="1"/>
        </top>
        <bottom style="thin">
          <color theme="1"/>
        </bottom>
        <vertical/>
        <horizontal/>
      </border>
    </dxf>
    <dxf>
      <alignment horizontal="general" vertical="center" textRotation="0" wrapText="1" indent="0" justifyLastLine="0" shrinkToFit="0" readingOrder="0"/>
      <border diagonalUp="0" diagonalDown="0">
        <left style="thin">
          <color theme="1"/>
        </left>
        <right style="thin">
          <color theme="1"/>
        </right>
        <top style="thin">
          <color theme="1"/>
        </top>
        <bottom style="thin">
          <color theme="1"/>
        </bottom>
        <vertical/>
        <horizontal/>
      </border>
    </dxf>
    <dxf>
      <alignment horizontal="general" vertical="center" textRotation="0" wrapText="1" indent="0" justifyLastLine="0" shrinkToFit="0" readingOrder="0"/>
      <border diagonalUp="0" diagonalDown="0">
        <left style="thin">
          <color theme="1"/>
        </left>
        <right style="thin">
          <color theme="1"/>
        </right>
        <top style="thin">
          <color theme="1"/>
        </top>
        <bottom style="thin">
          <color theme="1"/>
        </bottom>
        <vertical/>
        <horizontal/>
      </border>
    </dxf>
    <dxf>
      <alignment horizontal="general" vertical="center" textRotation="0" wrapText="1" indent="0" justifyLastLine="0" shrinkToFit="0" readingOrder="0"/>
      <border diagonalUp="0" diagonalDown="0">
        <left style="thin">
          <color theme="1"/>
        </left>
        <right style="thin">
          <color theme="1"/>
        </right>
        <top style="thin">
          <color theme="1"/>
        </top>
        <bottom style="thin">
          <color theme="1"/>
        </bottom>
        <vertical/>
        <horizontal/>
      </border>
    </dxf>
    <dxf>
      <alignment horizontal="general" vertical="center" textRotation="0" wrapText="1" indent="0" justifyLastLine="0" shrinkToFit="0" readingOrder="0"/>
      <border diagonalUp="0" diagonalDown="0">
        <left style="thin">
          <color theme="1"/>
        </left>
        <right style="thin">
          <color theme="1"/>
        </right>
        <top style="thin">
          <color theme="1"/>
        </top>
        <bottom style="thin">
          <color theme="1"/>
        </bottom>
        <vertical/>
        <horizontal/>
      </border>
    </dxf>
    <dxf>
      <numFmt numFmtId="19" formatCode="m/d/yyyy"/>
      <alignment horizontal="general" vertical="center" textRotation="0" wrapText="1" indent="0" justifyLastLine="0" shrinkToFit="0" readingOrder="0"/>
      <border diagonalUp="0" diagonalDown="0">
        <left style="thin">
          <color theme="1"/>
        </left>
        <right style="thin">
          <color theme="1"/>
        </right>
        <top style="thin">
          <color theme="1"/>
        </top>
        <bottom style="thin">
          <color theme="1"/>
        </bottom>
        <vertical/>
        <horizontal/>
      </border>
    </dxf>
    <dxf>
      <alignment horizontal="general" vertical="center" textRotation="0" wrapText="1" indent="0" justifyLastLine="0" shrinkToFit="0" readingOrder="0"/>
      <border diagonalUp="0" diagonalDown="0">
        <left/>
        <right style="thin">
          <color theme="1"/>
        </right>
        <top style="thin">
          <color theme="1"/>
        </top>
        <bottom style="thin">
          <color theme="1"/>
        </bottom>
        <vertical/>
        <horizontal/>
      </border>
    </dxf>
    <dxf>
      <border outline="0">
        <top style="thin">
          <color theme="1"/>
        </top>
      </border>
    </dxf>
    <dxf>
      <border outline="0">
        <left style="thin">
          <color theme="1"/>
        </left>
        <right style="thin">
          <color theme="1"/>
        </right>
        <top style="thin">
          <color theme="1"/>
        </top>
        <bottom style="thin">
          <color theme="1"/>
        </bottom>
      </border>
    </dxf>
    <dxf>
      <alignment horizontal="general" vertical="center" textRotation="0" wrapText="1" indent="0" justifyLastLine="0" shrinkToFit="0" readingOrder="0"/>
    </dxf>
    <dxf>
      <border outline="0">
        <bottom style="thin">
          <color theme="1"/>
        </bottom>
      </border>
    </dxf>
    <dxf>
      <font>
        <b/>
        <i val="0"/>
        <strike val="0"/>
        <condense val="0"/>
        <extend val="0"/>
        <outline val="0"/>
        <shadow val="0"/>
        <u val="none"/>
        <vertAlign val="baseline"/>
        <sz val="14"/>
        <color theme="1"/>
        <name val="Calibri"/>
        <family val="2"/>
        <scheme val="minor"/>
      </font>
      <alignment horizontal="center" vertical="center" textRotation="0" wrapText="1" indent="0" justifyLastLine="0" shrinkToFit="0" readingOrder="0"/>
      <border diagonalUp="0" diagonalDown="0" outline="0">
        <left style="thin">
          <color theme="1"/>
        </left>
        <right style="thin">
          <color theme="1"/>
        </right>
        <top/>
        <bottom/>
      </border>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auto="1"/>
        </left>
        <right style="thin">
          <color auto="1"/>
        </right>
        <top/>
        <bottom/>
      </border>
    </dxf>
  </dxfs>
  <tableStyles count="0" defaultTableStyle="TableStyleMedium9" defaultPivotStyle="PivotStyleLight16"/>
  <colors>
    <mruColors>
      <color rgb="FFF2DC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pivotCacheDefinition" Target="pivotCache/pivotCacheDefinition5.xml"/><Relationship Id="rId63"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pivotCacheDefinition" Target="pivotCache/pivotCacheDefinition3.xml"/><Relationship Id="rId58" Type="http://schemas.microsoft.com/office/2007/relationships/slicerCache" Target="slicerCaches/slicerCache3.xml"/><Relationship Id="rId5" Type="http://schemas.openxmlformats.org/officeDocument/2006/relationships/worksheet" Target="worksheets/sheet5.xml"/><Relationship Id="rId61"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microsoft.com/office/2007/relationships/slicerCache" Target="slicerCaches/slicerCache1.xml"/><Relationship Id="rId64"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pivotCacheDefinition" Target="pivotCache/pivotCacheDefinition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microsoft.com/office/2007/relationships/slicerCache" Target="slicerCaches/slicerCache4.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pivotCacheDefinition" Target="pivotCache/pivotCacheDefinition4.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microsoft.com/office/2007/relationships/slicerCache" Target="slicerCaches/slicerCache2.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pivotCacheDefinition" Target="pivotCache/pivotCacheDefinition2.xml"/><Relationship Id="rId60" Type="http://schemas.openxmlformats.org/officeDocument/2006/relationships/theme" Target="theme/theme1.xml"/><Relationship Id="rId8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[chart project.xlsx]pivot table!PivotTable2</c:name>
    <c:fmtId val="0"/>
  </c:pivotSource>
  <c:chart>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3.6392509759809455E-3"/>
          <c:w val="0.56587473002159827"/>
          <c:h val="0.52349522486159816"/>
        </c:manualLayout>
      </c:layout>
      <c:barChart>
        <c:barDir val="col"/>
        <c:grouping val="clustered"/>
        <c:varyColors val="0"/>
        <c:ser>
          <c:idx val="0"/>
          <c:order val="0"/>
          <c:tx>
            <c:strRef>
              <c:f>'pivot table'!$B$3</c:f>
              <c:strCache>
                <c:ptCount val="1"/>
                <c:pt idx="0">
                  <c:v>Sum of No. of orders</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table'!$A$4:$A$11</c:f>
              <c:strCache>
                <c:ptCount val="7"/>
                <c:pt idx="0">
                  <c:v>----</c:v>
                </c:pt>
                <c:pt idx="1">
                  <c:v>FL</c:v>
                </c:pt>
                <c:pt idx="2">
                  <c:v>Kerala</c:v>
                </c:pt>
                <c:pt idx="3">
                  <c:v>Maharashtra</c:v>
                </c:pt>
                <c:pt idx="4">
                  <c:v>MO</c:v>
                </c:pt>
                <c:pt idx="5">
                  <c:v>Punjab</c:v>
                </c:pt>
                <c:pt idx="6">
                  <c:v>Uttar Pradesh</c:v>
                </c:pt>
              </c:strCache>
            </c:strRef>
          </c:cat>
          <c:val>
            <c:numRef>
              <c:f>'pivot table'!$B$4:$B$11</c:f>
              <c:numCache>
                <c:formatCode>General</c:formatCode>
                <c:ptCount val="7"/>
                <c:pt idx="0">
                  <c:v>48</c:v>
                </c:pt>
                <c:pt idx="1">
                  <c:v>29</c:v>
                </c:pt>
                <c:pt idx="2">
                  <c:v>37</c:v>
                </c:pt>
                <c:pt idx="3">
                  <c:v>104</c:v>
                </c:pt>
                <c:pt idx="4">
                  <c:v>11</c:v>
                </c:pt>
                <c:pt idx="5">
                  <c:v>28</c:v>
                </c:pt>
                <c:pt idx="6">
                  <c:v>273</c:v>
                </c:pt>
              </c:numCache>
            </c:numRef>
          </c:val>
          <c:extLst>
            <c:ext xmlns:c16="http://schemas.microsoft.com/office/drawing/2014/chart" uri="{C3380CC4-5D6E-409C-BE32-E72D297353CC}">
              <c16:uniqueId val="{00000000-725D-4193-8270-05E45423F70B}"/>
            </c:ext>
          </c:extLst>
        </c:ser>
        <c:ser>
          <c:idx val="1"/>
          <c:order val="1"/>
          <c:tx>
            <c:strRef>
              <c:f>'pivot table'!$C$3</c:f>
              <c:strCache>
                <c:ptCount val="1"/>
                <c:pt idx="0">
                  <c:v>Count of COUNT</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table'!$A$4:$A$11</c:f>
              <c:strCache>
                <c:ptCount val="7"/>
                <c:pt idx="0">
                  <c:v>----</c:v>
                </c:pt>
                <c:pt idx="1">
                  <c:v>FL</c:v>
                </c:pt>
                <c:pt idx="2">
                  <c:v>Kerala</c:v>
                </c:pt>
                <c:pt idx="3">
                  <c:v>Maharashtra</c:v>
                </c:pt>
                <c:pt idx="4">
                  <c:v>MO</c:v>
                </c:pt>
                <c:pt idx="5">
                  <c:v>Punjab</c:v>
                </c:pt>
                <c:pt idx="6">
                  <c:v>Uttar Pradesh</c:v>
                </c:pt>
              </c:strCache>
            </c:strRef>
          </c:cat>
          <c:val>
            <c:numRef>
              <c:f>'pivot table'!$C$4:$C$11</c:f>
              <c:numCache>
                <c:formatCode>General</c:formatCode>
                <c:ptCount val="7"/>
                <c:pt idx="0">
                  <c:v>1</c:v>
                </c:pt>
                <c:pt idx="1">
                  <c:v>1</c:v>
                </c:pt>
                <c:pt idx="2">
                  <c:v>2</c:v>
                </c:pt>
                <c:pt idx="3">
                  <c:v>3</c:v>
                </c:pt>
                <c:pt idx="4">
                  <c:v>1</c:v>
                </c:pt>
                <c:pt idx="5">
                  <c:v>1</c:v>
                </c:pt>
                <c:pt idx="6">
                  <c:v>8</c:v>
                </c:pt>
              </c:numCache>
            </c:numRef>
          </c:val>
          <c:extLst>
            <c:ext xmlns:c16="http://schemas.microsoft.com/office/drawing/2014/chart" uri="{C3380CC4-5D6E-409C-BE32-E72D297353CC}">
              <c16:uniqueId val="{00000001-725D-4193-8270-05E45423F70B}"/>
            </c:ext>
          </c:extLst>
        </c:ser>
        <c:dLbls>
          <c:showLegendKey val="0"/>
          <c:showVal val="0"/>
          <c:showCatName val="0"/>
          <c:showSerName val="0"/>
          <c:showPercent val="0"/>
          <c:showBubbleSize val="0"/>
        </c:dLbls>
        <c:gapWidth val="100"/>
        <c:overlap val="-24"/>
        <c:axId val="622096927"/>
        <c:axId val="622084447"/>
      </c:barChart>
      <c:catAx>
        <c:axId val="62209692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2084447"/>
        <c:crosses val="autoZero"/>
        <c:auto val="1"/>
        <c:lblAlgn val="ctr"/>
        <c:lblOffset val="100"/>
        <c:noMultiLvlLbl val="0"/>
      </c:catAx>
      <c:valAx>
        <c:axId val="622084447"/>
        <c:scaling>
          <c:orientation val="minMax"/>
        </c:scaling>
        <c:delete val="1"/>
        <c:axPos val="l"/>
        <c:numFmt formatCode="General" sourceLinked="1"/>
        <c:majorTickMark val="none"/>
        <c:minorTickMark val="none"/>
        <c:tickLblPos val="nextTo"/>
        <c:crossAx val="622096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cap="sq">
      <a:solidFill>
        <a:schemeClr val="accent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[chart project.xlsx]pivot table!PivotTable3</c:name>
    <c:fmtId val="0"/>
  </c:pivotSource>
  <c:chart>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table'!$I$5</c:f>
              <c:strCache>
                <c:ptCount val="1"/>
                <c:pt idx="0">
                  <c:v>Sum of No. of orders</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table'!$H$6:$H$13</c:f>
              <c:strCache>
                <c:ptCount val="7"/>
                <c:pt idx="0">
                  <c:v>----</c:v>
                </c:pt>
                <c:pt idx="1">
                  <c:v>FL</c:v>
                </c:pt>
                <c:pt idx="2">
                  <c:v>Kerala</c:v>
                </c:pt>
                <c:pt idx="3">
                  <c:v>Maharashtra</c:v>
                </c:pt>
                <c:pt idx="4">
                  <c:v>MO</c:v>
                </c:pt>
                <c:pt idx="5">
                  <c:v>Punjab</c:v>
                </c:pt>
                <c:pt idx="6">
                  <c:v>Uttar Pradesh</c:v>
                </c:pt>
              </c:strCache>
            </c:strRef>
          </c:cat>
          <c:val>
            <c:numRef>
              <c:f>'pivot table'!$I$6:$I$13</c:f>
              <c:numCache>
                <c:formatCode>General</c:formatCode>
                <c:ptCount val="7"/>
                <c:pt idx="0">
                  <c:v>48</c:v>
                </c:pt>
                <c:pt idx="1">
                  <c:v>29</c:v>
                </c:pt>
                <c:pt idx="2">
                  <c:v>37</c:v>
                </c:pt>
                <c:pt idx="3">
                  <c:v>104</c:v>
                </c:pt>
                <c:pt idx="4">
                  <c:v>11</c:v>
                </c:pt>
                <c:pt idx="5">
                  <c:v>28</c:v>
                </c:pt>
                <c:pt idx="6">
                  <c:v>273</c:v>
                </c:pt>
              </c:numCache>
            </c:numRef>
          </c:val>
          <c:extLst>
            <c:ext xmlns:c16="http://schemas.microsoft.com/office/drawing/2014/chart" uri="{C3380CC4-5D6E-409C-BE32-E72D297353CC}">
              <c16:uniqueId val="{00000000-ACBE-4A96-A04C-F8C25E1B7E24}"/>
            </c:ext>
          </c:extLst>
        </c:ser>
        <c:ser>
          <c:idx val="1"/>
          <c:order val="1"/>
          <c:tx>
            <c:strRef>
              <c:f>'pivot table'!$J$5</c:f>
              <c:strCache>
                <c:ptCount val="1"/>
                <c:pt idx="0">
                  <c:v>Count of COUNT</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table'!$H$6:$H$13</c:f>
              <c:strCache>
                <c:ptCount val="7"/>
                <c:pt idx="0">
                  <c:v>----</c:v>
                </c:pt>
                <c:pt idx="1">
                  <c:v>FL</c:v>
                </c:pt>
                <c:pt idx="2">
                  <c:v>Kerala</c:v>
                </c:pt>
                <c:pt idx="3">
                  <c:v>Maharashtra</c:v>
                </c:pt>
                <c:pt idx="4">
                  <c:v>MO</c:v>
                </c:pt>
                <c:pt idx="5">
                  <c:v>Punjab</c:v>
                </c:pt>
                <c:pt idx="6">
                  <c:v>Uttar Pradesh</c:v>
                </c:pt>
              </c:strCache>
            </c:strRef>
          </c:cat>
          <c:val>
            <c:numRef>
              <c:f>'pivot table'!$J$6:$J$13</c:f>
              <c:numCache>
                <c:formatCode>General</c:formatCode>
                <c:ptCount val="7"/>
                <c:pt idx="0">
                  <c:v>1</c:v>
                </c:pt>
                <c:pt idx="1">
                  <c:v>1</c:v>
                </c:pt>
                <c:pt idx="2">
                  <c:v>2</c:v>
                </c:pt>
                <c:pt idx="3">
                  <c:v>3</c:v>
                </c:pt>
                <c:pt idx="4">
                  <c:v>1</c:v>
                </c:pt>
                <c:pt idx="5">
                  <c:v>1</c:v>
                </c:pt>
                <c:pt idx="6">
                  <c:v>8</c:v>
                </c:pt>
              </c:numCache>
            </c:numRef>
          </c:val>
          <c:extLst>
            <c:ext xmlns:c16="http://schemas.microsoft.com/office/drawing/2014/chart" uri="{C3380CC4-5D6E-409C-BE32-E72D297353CC}">
              <c16:uniqueId val="{00000002-ACBE-4A96-A04C-F8C25E1B7E24}"/>
            </c:ext>
          </c:extLst>
        </c:ser>
        <c:dLbls>
          <c:showLegendKey val="0"/>
          <c:showVal val="0"/>
          <c:showCatName val="0"/>
          <c:showSerName val="0"/>
          <c:showPercent val="0"/>
          <c:showBubbleSize val="0"/>
        </c:dLbls>
        <c:gapWidth val="100"/>
        <c:overlap val="-24"/>
        <c:axId val="1013177631"/>
        <c:axId val="1013168511"/>
      </c:barChart>
      <c:catAx>
        <c:axId val="101317763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3168511"/>
        <c:crosses val="autoZero"/>
        <c:auto val="1"/>
        <c:lblAlgn val="ctr"/>
        <c:lblOffset val="100"/>
        <c:noMultiLvlLbl val="0"/>
      </c:catAx>
      <c:valAx>
        <c:axId val="101316851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3177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[line chart project.xlsx]chart1!PivotTable1</c:name>
    <c:fmtId val="4"/>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chart1!$B$3</c:f>
              <c:strCache>
                <c:ptCount val="1"/>
                <c:pt idx="0">
                  <c:v>Total</c:v>
                </c:pt>
              </c:strCache>
            </c:strRef>
          </c:tx>
          <c:spPr>
            <a:solidFill>
              <a:schemeClr val="accent1"/>
            </a:solidFill>
            <a:ln>
              <a:noFill/>
            </a:ln>
            <a:effectLst/>
            <a:sp3d/>
          </c:spPr>
          <c:invertIfNegative val="0"/>
          <c:cat>
            <c:strRef>
              <c:f>chart1!$A$4:$A$13</c:f>
              <c:strCache>
                <c:ptCount val="9"/>
                <c:pt idx="0">
                  <c:v>megha</c:v>
                </c:pt>
                <c:pt idx="1">
                  <c:v>parthvi</c:v>
                </c:pt>
                <c:pt idx="2">
                  <c:v>priya</c:v>
                </c:pt>
                <c:pt idx="3">
                  <c:v>priyanka</c:v>
                </c:pt>
                <c:pt idx="4">
                  <c:v>priyanshu</c:v>
                </c:pt>
                <c:pt idx="5">
                  <c:v>rupesh</c:v>
                </c:pt>
                <c:pt idx="6">
                  <c:v>shivam</c:v>
                </c:pt>
                <c:pt idx="7">
                  <c:v>sneha</c:v>
                </c:pt>
                <c:pt idx="8">
                  <c:v>sonam</c:v>
                </c:pt>
              </c:strCache>
            </c:strRef>
          </c:cat>
          <c:val>
            <c:numRef>
              <c:f>chart1!$B$4:$B$13</c:f>
              <c:numCache>
                <c:formatCode>General</c:formatCode>
                <c:ptCount val="9"/>
                <c:pt idx="0">
                  <c:v>200</c:v>
                </c:pt>
                <c:pt idx="1">
                  <c:v>4500</c:v>
                </c:pt>
                <c:pt idx="2">
                  <c:v>300</c:v>
                </c:pt>
                <c:pt idx="3">
                  <c:v>240</c:v>
                </c:pt>
                <c:pt idx="4">
                  <c:v>3500</c:v>
                </c:pt>
                <c:pt idx="5">
                  <c:v>500</c:v>
                </c:pt>
                <c:pt idx="6">
                  <c:v>400</c:v>
                </c:pt>
                <c:pt idx="7">
                  <c:v>2500</c:v>
                </c:pt>
                <c:pt idx="8">
                  <c:v>3400</c:v>
                </c:pt>
              </c:numCache>
            </c:numRef>
          </c:val>
          <c:extLst>
            <c:ext xmlns:c16="http://schemas.microsoft.com/office/drawing/2014/chart" uri="{C3380CC4-5D6E-409C-BE32-E72D297353CC}">
              <c16:uniqueId val="{00000000-0AA2-4BE7-BDCE-E882D120D913}"/>
            </c:ext>
          </c:extLst>
        </c:ser>
        <c:dLbls>
          <c:showLegendKey val="0"/>
          <c:showVal val="0"/>
          <c:showCatName val="0"/>
          <c:showSerName val="0"/>
          <c:showPercent val="0"/>
          <c:showBubbleSize val="0"/>
        </c:dLbls>
        <c:gapWidth val="150"/>
        <c:shape val="box"/>
        <c:axId val="1152846336"/>
        <c:axId val="1198695600"/>
        <c:axId val="0"/>
      </c:bar3DChart>
      <c:catAx>
        <c:axId val="1152846336"/>
        <c:scaling>
          <c:orientation val="minMax"/>
        </c:scaling>
        <c:delete val="1"/>
        <c:axPos val="b"/>
        <c:numFmt formatCode="General" sourceLinked="1"/>
        <c:majorTickMark val="out"/>
        <c:minorTickMark val="none"/>
        <c:tickLblPos val="nextTo"/>
        <c:crossAx val="1198695600"/>
        <c:crosses val="autoZero"/>
        <c:auto val="1"/>
        <c:lblAlgn val="ctr"/>
        <c:lblOffset val="100"/>
        <c:noMultiLvlLbl val="0"/>
      </c:catAx>
      <c:valAx>
        <c:axId val="119869560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28463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[line chart project.xlsx]chart2!PivotTable2</c:name>
    <c:fmtId val="18"/>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chart2!$B$3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0752-4979-A923-205232A3DFC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0752-4979-A923-205232A3DFCC}"/>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0752-4979-A923-205232A3DFCC}"/>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0752-4979-A923-205232A3DFCC}"/>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0752-4979-A923-205232A3DFCC}"/>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0752-4979-A923-205232A3DFCC}"/>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0752-4979-A923-205232A3DFCC}"/>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0752-4979-A923-205232A3DFCC}"/>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0752-4979-A923-205232A3DFC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chart2!$A$4:$A$13</c:f>
              <c:strCache>
                <c:ptCount val="9"/>
                <c:pt idx="0">
                  <c:v>megha</c:v>
                </c:pt>
                <c:pt idx="1">
                  <c:v>parthvi</c:v>
                </c:pt>
                <c:pt idx="2">
                  <c:v>priya</c:v>
                </c:pt>
                <c:pt idx="3">
                  <c:v>priyanka</c:v>
                </c:pt>
                <c:pt idx="4">
                  <c:v>priyanshu</c:v>
                </c:pt>
                <c:pt idx="5">
                  <c:v>rupesh</c:v>
                </c:pt>
                <c:pt idx="6">
                  <c:v>shivam</c:v>
                </c:pt>
                <c:pt idx="7">
                  <c:v>sneha</c:v>
                </c:pt>
                <c:pt idx="8">
                  <c:v>sonam</c:v>
                </c:pt>
              </c:strCache>
            </c:strRef>
          </c:cat>
          <c:val>
            <c:numRef>
              <c:f>chart2!$B$4:$B$13</c:f>
              <c:numCache>
                <c:formatCode>General</c:formatCode>
                <c:ptCount val="9"/>
                <c:pt idx="0">
                  <c:v>44</c:v>
                </c:pt>
                <c:pt idx="1">
                  <c:v>54</c:v>
                </c:pt>
                <c:pt idx="2">
                  <c:v>54</c:v>
                </c:pt>
                <c:pt idx="3">
                  <c:v>32</c:v>
                </c:pt>
                <c:pt idx="4">
                  <c:v>53</c:v>
                </c:pt>
                <c:pt idx="5">
                  <c:v>43</c:v>
                </c:pt>
                <c:pt idx="6">
                  <c:v>25</c:v>
                </c:pt>
                <c:pt idx="7">
                  <c:v>34</c:v>
                </c:pt>
                <c:pt idx="8">
                  <c:v>35</c:v>
                </c:pt>
              </c:numCache>
            </c:numRef>
          </c:val>
          <c:extLst>
            <c:ext xmlns:c16="http://schemas.microsoft.com/office/drawing/2014/chart" uri="{C3380CC4-5D6E-409C-BE32-E72D297353CC}">
              <c16:uniqueId val="{00000012-0752-4979-A923-205232A3DFCC}"/>
            </c:ext>
          </c:extLst>
        </c:ser>
        <c:dLbls>
          <c:dLblPos val="ctr"/>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[chart project.xlsx]pivot deshaboard!PivotTable1</c:name>
    <c:fmtId val="0"/>
  </c:pivotSource>
  <c:chart>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deshaboard'!$B$3</c:f>
              <c:strCache>
                <c:ptCount val="1"/>
                <c:pt idx="0">
                  <c:v>Count of Quantity</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deshaboard'!$A$4:$A$12</c:f>
              <c:strCache>
                <c:ptCount val="8"/>
                <c:pt idx="0">
                  <c:v>amborghin</c:v>
                </c:pt>
                <c:pt idx="1">
                  <c:v>BMW</c:v>
                </c:pt>
                <c:pt idx="2">
                  <c:v>Ferrari</c:v>
                </c:pt>
                <c:pt idx="3">
                  <c:v>Ford</c:v>
                </c:pt>
                <c:pt idx="4">
                  <c:v>Hyundai</c:v>
                </c:pt>
                <c:pt idx="5">
                  <c:v>Mercedes</c:v>
                </c:pt>
                <c:pt idx="6">
                  <c:v>Nissan</c:v>
                </c:pt>
                <c:pt idx="7">
                  <c:v>Suzuki</c:v>
                </c:pt>
              </c:strCache>
            </c:strRef>
          </c:cat>
          <c:val>
            <c:numRef>
              <c:f>'pivot deshaboard'!$B$4:$B$12</c:f>
              <c:numCache>
                <c:formatCode>General</c:formatCode>
                <c:ptCount val="8"/>
                <c:pt idx="0">
                  <c:v>2</c:v>
                </c:pt>
                <c:pt idx="1">
                  <c:v>3</c:v>
                </c:pt>
                <c:pt idx="2">
                  <c:v>3</c:v>
                </c:pt>
                <c:pt idx="3">
                  <c:v>3</c:v>
                </c:pt>
                <c:pt idx="4">
                  <c:v>3</c:v>
                </c:pt>
                <c:pt idx="5">
                  <c:v>2</c:v>
                </c:pt>
                <c:pt idx="6">
                  <c:v>3</c:v>
                </c:pt>
                <c:pt idx="7">
                  <c:v>1</c:v>
                </c:pt>
              </c:numCache>
            </c:numRef>
          </c:val>
          <c:extLst>
            <c:ext xmlns:c16="http://schemas.microsoft.com/office/drawing/2014/chart" uri="{C3380CC4-5D6E-409C-BE32-E72D297353CC}">
              <c16:uniqueId val="{00000000-8342-4E5D-8A5C-EE019AFA6586}"/>
            </c:ext>
          </c:extLst>
        </c:ser>
        <c:ser>
          <c:idx val="1"/>
          <c:order val="1"/>
          <c:tx>
            <c:strRef>
              <c:f>'pivot deshaboard'!$C$3</c:f>
              <c:strCache>
                <c:ptCount val="1"/>
                <c:pt idx="0">
                  <c:v>Sum of Price</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deshaboard'!$A$4:$A$12</c:f>
              <c:strCache>
                <c:ptCount val="8"/>
                <c:pt idx="0">
                  <c:v>amborghin</c:v>
                </c:pt>
                <c:pt idx="1">
                  <c:v>BMW</c:v>
                </c:pt>
                <c:pt idx="2">
                  <c:v>Ferrari</c:v>
                </c:pt>
                <c:pt idx="3">
                  <c:v>Ford</c:v>
                </c:pt>
                <c:pt idx="4">
                  <c:v>Hyundai</c:v>
                </c:pt>
                <c:pt idx="5">
                  <c:v>Mercedes</c:v>
                </c:pt>
                <c:pt idx="6">
                  <c:v>Nissan</c:v>
                </c:pt>
                <c:pt idx="7">
                  <c:v>Suzuki</c:v>
                </c:pt>
              </c:strCache>
            </c:strRef>
          </c:cat>
          <c:val>
            <c:numRef>
              <c:f>'pivot deshaboard'!$C$4:$C$12</c:f>
              <c:numCache>
                <c:formatCode>General</c:formatCode>
                <c:ptCount val="8"/>
                <c:pt idx="0">
                  <c:v>600000</c:v>
                </c:pt>
                <c:pt idx="1">
                  <c:v>355000</c:v>
                </c:pt>
                <c:pt idx="2">
                  <c:v>675000</c:v>
                </c:pt>
                <c:pt idx="3">
                  <c:v>435000</c:v>
                </c:pt>
                <c:pt idx="4">
                  <c:v>205000</c:v>
                </c:pt>
                <c:pt idx="5">
                  <c:v>290000</c:v>
                </c:pt>
                <c:pt idx="6">
                  <c:v>670000</c:v>
                </c:pt>
                <c:pt idx="7">
                  <c:v>35000</c:v>
                </c:pt>
              </c:numCache>
            </c:numRef>
          </c:val>
          <c:extLst>
            <c:ext xmlns:c16="http://schemas.microsoft.com/office/drawing/2014/chart" uri="{C3380CC4-5D6E-409C-BE32-E72D297353CC}">
              <c16:uniqueId val="{00000001-8342-4E5D-8A5C-EE019AFA6586}"/>
            </c:ext>
          </c:extLst>
        </c:ser>
        <c:dLbls>
          <c:showLegendKey val="0"/>
          <c:showVal val="0"/>
          <c:showCatName val="0"/>
          <c:showSerName val="0"/>
          <c:showPercent val="0"/>
          <c:showBubbleSize val="0"/>
        </c:dLbls>
        <c:gapWidth val="100"/>
        <c:overlap val="-24"/>
        <c:axId val="2114242943"/>
        <c:axId val="2114244863"/>
      </c:barChart>
      <c:catAx>
        <c:axId val="211424294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4244863"/>
        <c:crosses val="autoZero"/>
        <c:auto val="1"/>
        <c:lblAlgn val="ctr"/>
        <c:lblOffset val="100"/>
        <c:noMultiLvlLbl val="0"/>
      </c:catAx>
      <c:valAx>
        <c:axId val="211424486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424294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chemeClr val="accent1"/>
            </a:solidFill>
            <a:round/>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Count of Quantity</c:v>
          </c:tx>
          <c:spPr>
            <a:ln w="22225" cap="rnd">
              <a:solidFill>
                <a:schemeClr val="accent1"/>
              </a:solidFill>
              <a:round/>
            </a:ln>
            <a:effectLst/>
          </c:spPr>
          <c:marker>
            <c:symbol val="circle"/>
            <c:size val="6"/>
            <c:spPr>
              <a:solidFill>
                <a:schemeClr val="lt1"/>
              </a:solidFill>
              <a:ln w="15875">
                <a:solidFill>
                  <a:schemeClr val="accent1"/>
                </a:solidFill>
                <a:round/>
              </a:ln>
              <a:effectLst/>
            </c:spPr>
          </c:marker>
          <c:cat>
            <c:strLit>
              <c:ptCount val="17"/>
              <c:pt idx="0">
                <c:v>amborghin Sports</c:v>
              </c:pt>
              <c:pt idx="1">
                <c:v>amborghin SUV</c:v>
              </c:pt>
              <c:pt idx="2">
                <c:v>BMW GT</c:v>
              </c:pt>
              <c:pt idx="3">
                <c:v>BMW Sports</c:v>
              </c:pt>
              <c:pt idx="4">
                <c:v>BMW SUV</c:v>
              </c:pt>
              <c:pt idx="5">
                <c:v>Ferrari Sports</c:v>
              </c:pt>
              <c:pt idx="6">
                <c:v>Ford GT</c:v>
              </c:pt>
              <c:pt idx="7">
                <c:v>Ford Hatch-Back</c:v>
              </c:pt>
              <c:pt idx="8">
                <c:v>Ford SUV</c:v>
              </c:pt>
              <c:pt idx="9">
                <c:v>Hyundai Coupe</c:v>
              </c:pt>
              <c:pt idx="10">
                <c:v>Hyundai Hatch-Back</c:v>
              </c:pt>
              <c:pt idx="11">
                <c:v>Hyundai SUV</c:v>
              </c:pt>
              <c:pt idx="12">
                <c:v>Mercedes GT</c:v>
              </c:pt>
              <c:pt idx="13">
                <c:v>Nissan Cruiser</c:v>
              </c:pt>
              <c:pt idx="14">
                <c:v>Nissan GT</c:v>
              </c:pt>
              <c:pt idx="15">
                <c:v>Nissan Sports</c:v>
              </c:pt>
              <c:pt idx="16">
                <c:v>Suzuki Coupe</c:v>
              </c:pt>
            </c:strLit>
          </c:cat>
          <c:val>
            <c:numLit>
              <c:formatCode>General</c:formatCode>
              <c:ptCount val="17"/>
              <c:pt idx="0">
                <c:v>1</c:v>
              </c:pt>
              <c:pt idx="1">
                <c:v>1</c:v>
              </c:pt>
              <c:pt idx="2">
                <c:v>1</c:v>
              </c:pt>
              <c:pt idx="3">
                <c:v>1</c:v>
              </c:pt>
              <c:pt idx="4">
                <c:v>1</c:v>
              </c:pt>
              <c:pt idx="5">
                <c:v>3</c:v>
              </c:pt>
              <c:pt idx="6">
                <c:v>1</c:v>
              </c:pt>
              <c:pt idx="7">
                <c:v>1</c:v>
              </c:pt>
              <c:pt idx="8">
                <c:v>1</c:v>
              </c:pt>
              <c:pt idx="9">
                <c:v>1</c:v>
              </c:pt>
              <c:pt idx="10">
                <c:v>1</c:v>
              </c:pt>
              <c:pt idx="11">
                <c:v>1</c:v>
              </c:pt>
              <c:pt idx="12">
                <c:v>2</c:v>
              </c:pt>
              <c:pt idx="13">
                <c:v>1</c:v>
              </c:pt>
              <c:pt idx="14">
                <c:v>1</c:v>
              </c:pt>
              <c:pt idx="15">
                <c:v>1</c:v>
              </c:pt>
              <c:pt idx="16">
                <c:v>1</c:v>
              </c:pt>
            </c:numLit>
          </c:val>
          <c:smooth val="0"/>
          <c:extLst>
            <c:ext xmlns:c16="http://schemas.microsoft.com/office/drawing/2014/chart" uri="{C3380CC4-5D6E-409C-BE32-E72D297353CC}">
              <c16:uniqueId val="{00000000-CCA6-49F7-878B-7A9CE84152BD}"/>
            </c:ext>
          </c:extLst>
        </c:ser>
        <c:ser>
          <c:idx val="1"/>
          <c:order val="1"/>
          <c:tx>
            <c:v>Sum of Price</c:v>
          </c:tx>
          <c:spPr>
            <a:ln w="22225" cap="rnd">
              <a:solidFill>
                <a:schemeClr val="accent2"/>
              </a:solidFill>
              <a:round/>
            </a:ln>
            <a:effectLst/>
          </c:spPr>
          <c:marker>
            <c:symbol val="circle"/>
            <c:size val="6"/>
            <c:spPr>
              <a:solidFill>
                <a:schemeClr val="lt1"/>
              </a:solidFill>
              <a:ln w="15875">
                <a:solidFill>
                  <a:schemeClr val="accent2"/>
                </a:solidFill>
                <a:round/>
              </a:ln>
              <a:effectLst/>
            </c:spPr>
          </c:marker>
          <c:cat>
            <c:strLit>
              <c:ptCount val="17"/>
              <c:pt idx="0">
                <c:v>amborghin Sports</c:v>
              </c:pt>
              <c:pt idx="1">
                <c:v>amborghin SUV</c:v>
              </c:pt>
              <c:pt idx="2">
                <c:v>BMW GT</c:v>
              </c:pt>
              <c:pt idx="3">
                <c:v>BMW Sports</c:v>
              </c:pt>
              <c:pt idx="4">
                <c:v>BMW SUV</c:v>
              </c:pt>
              <c:pt idx="5">
                <c:v>Ferrari Sports</c:v>
              </c:pt>
              <c:pt idx="6">
                <c:v>Ford GT</c:v>
              </c:pt>
              <c:pt idx="7">
                <c:v>Ford Hatch-Back</c:v>
              </c:pt>
              <c:pt idx="8">
                <c:v>Ford SUV</c:v>
              </c:pt>
              <c:pt idx="9">
                <c:v>Hyundai Coupe</c:v>
              </c:pt>
              <c:pt idx="10">
                <c:v>Hyundai Hatch-Back</c:v>
              </c:pt>
              <c:pt idx="11">
                <c:v>Hyundai SUV</c:v>
              </c:pt>
              <c:pt idx="12">
                <c:v>Mercedes GT</c:v>
              </c:pt>
              <c:pt idx="13">
                <c:v>Nissan Cruiser</c:v>
              </c:pt>
              <c:pt idx="14">
                <c:v>Nissan GT</c:v>
              </c:pt>
              <c:pt idx="15">
                <c:v>Nissan Sports</c:v>
              </c:pt>
              <c:pt idx="16">
                <c:v>Suzuki Coupe</c:v>
              </c:pt>
            </c:strLit>
          </c:cat>
          <c:val>
            <c:numLit>
              <c:formatCode>General</c:formatCode>
              <c:ptCount val="17"/>
              <c:pt idx="0">
                <c:v>250000</c:v>
              </c:pt>
              <c:pt idx="1">
                <c:v>350000</c:v>
              </c:pt>
              <c:pt idx="2">
                <c:v>85000</c:v>
              </c:pt>
              <c:pt idx="3">
                <c:v>120000</c:v>
              </c:pt>
              <c:pt idx="4">
                <c:v>150000</c:v>
              </c:pt>
              <c:pt idx="5">
                <c:v>675000</c:v>
              </c:pt>
              <c:pt idx="6">
                <c:v>350000</c:v>
              </c:pt>
              <c:pt idx="7">
                <c:v>35000</c:v>
              </c:pt>
              <c:pt idx="8">
                <c:v>50000</c:v>
              </c:pt>
              <c:pt idx="9">
                <c:v>40000</c:v>
              </c:pt>
              <c:pt idx="10">
                <c:v>85000</c:v>
              </c:pt>
              <c:pt idx="11">
                <c:v>80000</c:v>
              </c:pt>
              <c:pt idx="12">
                <c:v>290000</c:v>
              </c:pt>
              <c:pt idx="13">
                <c:v>150000</c:v>
              </c:pt>
              <c:pt idx="14">
                <c:v>220000</c:v>
              </c:pt>
              <c:pt idx="15">
                <c:v>300000</c:v>
              </c:pt>
              <c:pt idx="16">
                <c:v>35000</c:v>
              </c:pt>
            </c:numLit>
          </c:val>
          <c:smooth val="0"/>
          <c:extLst>
            <c:ext xmlns:c16="http://schemas.microsoft.com/office/drawing/2014/chart" uri="{C3380CC4-5D6E-409C-BE32-E72D297353CC}">
              <c16:uniqueId val="{00000001-CCA6-49F7-878B-7A9CE84152BD}"/>
            </c:ext>
          </c:extLst>
        </c:ser>
        <c:dLbls>
          <c:showLegendKey val="0"/>
          <c:showVal val="0"/>
          <c:showCatName val="0"/>
          <c:showSerName val="0"/>
          <c:showPercent val="0"/>
          <c:showBubbleSize val="0"/>
        </c:dLbls>
        <c:marker val="1"/>
        <c:smooth val="0"/>
        <c:axId val="37848639"/>
        <c:axId val="37868799"/>
      </c:lineChart>
      <c:catAx>
        <c:axId val="37848639"/>
        <c:scaling>
          <c:orientation val="minMax"/>
        </c:scaling>
        <c:delete val="0"/>
        <c:axPos val="b"/>
        <c:minorGridlines>
          <c:spPr>
            <a:ln w="9525" cap="flat" cmpd="sng" algn="ctr">
              <a:solidFill>
                <a:schemeClr val="dk1">
                  <a:lumMod val="15000"/>
                  <a:lumOff val="85000"/>
                  <a:alpha val="51000"/>
                </a:schemeClr>
              </a:solidFill>
              <a:round/>
            </a:ln>
            <a:effectLst/>
          </c:spPr>
        </c:min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37868799"/>
        <c:crosses val="autoZero"/>
        <c:auto val="1"/>
        <c:lblAlgn val="ctr"/>
        <c:lblOffset val="100"/>
        <c:noMultiLvlLbl val="0"/>
      </c:catAx>
      <c:valAx>
        <c:axId val="37868799"/>
        <c:scaling>
          <c:orientation val="minMax"/>
        </c:scaling>
        <c:delete val="1"/>
        <c:axPos val="l"/>
        <c:majorGridlines>
          <c:spPr>
            <a:ln w="9525" cap="flat" cmpd="sng" algn="ctr">
              <a:solidFill>
                <a:schemeClr val="dk1">
                  <a:lumMod val="15000"/>
                  <a:lumOff val="85000"/>
                  <a:alpha val="54000"/>
                </a:schemeClr>
              </a:solidFill>
              <a:round/>
            </a:ln>
            <a:effectLst/>
          </c:spPr>
        </c:majorGridlines>
        <c:numFmt formatCode="General" sourceLinked="1"/>
        <c:majorTickMark val="none"/>
        <c:minorTickMark val="none"/>
        <c:tickLblPos val="nextTo"/>
        <c:crossAx val="37848639"/>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[chart project.xlsx]pivot cchart!PivotTable4</c:name>
    <c:fmtId val="6"/>
  </c:pivotSource>
  <c:chart>
    <c:autoTitleDeleted val="1"/>
    <c:pivotFmts>
      <c:pivotFmt>
        <c:idx val="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gradFill>
            <a:gsLst>
              <a:gs pos="100000">
                <a:schemeClr val="accent1">
                  <a:lumMod val="60000"/>
                  <a:lumOff val="40000"/>
                </a:schemeClr>
              </a:gs>
              <a:gs pos="0">
                <a:schemeClr val="accent1"/>
              </a:gs>
            </a:gsLst>
            <a:lin ang="54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4"/>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5"/>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6"/>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7"/>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8"/>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9"/>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0"/>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1"/>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2"/>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3"/>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4"/>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5"/>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6"/>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7"/>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8"/>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9"/>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0"/>
        <c:spPr>
          <a:gradFill>
            <a:gsLst>
              <a:gs pos="100000">
                <a:schemeClr val="accent1">
                  <a:lumMod val="60000"/>
                  <a:lumOff val="40000"/>
                </a:schemeClr>
              </a:gs>
              <a:gs pos="0">
                <a:schemeClr val="accent1"/>
              </a:gs>
            </a:gsLst>
            <a:lin ang="54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1"/>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2"/>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3"/>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4"/>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5"/>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6"/>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7"/>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8"/>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9"/>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0"/>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1"/>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2"/>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3"/>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4"/>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5"/>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6"/>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7"/>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8"/>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9"/>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40"/>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41"/>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42"/>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43"/>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44"/>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45"/>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46"/>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47"/>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48"/>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49"/>
        <c:spPr>
          <a:gradFill>
            <a:gsLst>
              <a:gs pos="100000">
                <a:schemeClr val="accent1">
                  <a:lumMod val="60000"/>
                  <a:lumOff val="40000"/>
                </a:schemeClr>
              </a:gs>
              <a:gs pos="0">
                <a:schemeClr val="accent1"/>
              </a:gs>
            </a:gsLst>
            <a:lin ang="5400000" scaled="0"/>
          </a:gradFill>
          <a:ln w="19050">
            <a:solidFill>
              <a:schemeClr val="lt1"/>
            </a:solidFill>
          </a:ln>
          <a:effectLst/>
        </c:spPr>
      </c:pivotFmt>
    </c:pivotFmts>
    <c:plotArea>
      <c:layout/>
      <c:pieChart>
        <c:varyColors val="1"/>
        <c:ser>
          <c:idx val="0"/>
          <c:order val="0"/>
          <c:tx>
            <c:strRef>
              <c:f>'pivot cchart'!$B$3</c:f>
              <c:strCache>
                <c:ptCount val="1"/>
                <c:pt idx="0">
                  <c:v>Count of Quantity</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1-F0F9-469E-BDF1-03183CC6DF19}"/>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3-F0F9-469E-BDF1-03183CC6DF19}"/>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5-F0F9-469E-BDF1-03183CC6DF19}"/>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07-F0F9-469E-BDF1-03183CC6DF19}"/>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09-F0F9-469E-BDF1-03183CC6DF19}"/>
              </c:ext>
            </c:extLst>
          </c:dPt>
          <c:dPt>
            <c:idx val="5"/>
            <c:bubble3D val="0"/>
            <c:spPr>
              <a:gradFill>
                <a:gsLst>
                  <a:gs pos="100000">
                    <a:schemeClr val="accent6">
                      <a:lumMod val="60000"/>
                      <a:lumOff val="40000"/>
                    </a:schemeClr>
                  </a:gs>
                  <a:gs pos="0">
                    <a:schemeClr val="accent6"/>
                  </a:gs>
                </a:gsLst>
                <a:lin ang="5400000" scaled="0"/>
              </a:gradFill>
              <a:ln w="19050">
                <a:solidFill>
                  <a:schemeClr val="lt1"/>
                </a:solidFill>
              </a:ln>
              <a:effectLst/>
            </c:spPr>
            <c:extLst>
              <c:ext xmlns:c16="http://schemas.microsoft.com/office/drawing/2014/chart" uri="{C3380CC4-5D6E-409C-BE32-E72D297353CC}">
                <c16:uniqueId val="{0000000B-F0F9-469E-BDF1-03183CC6DF19}"/>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0D-F0F9-469E-BDF1-03183CC6DF19}"/>
              </c:ext>
            </c:extLst>
          </c:dPt>
          <c:dPt>
            <c:idx val="7"/>
            <c:bubble3D val="0"/>
            <c:spPr>
              <a:gradFill>
                <a:gsLst>
                  <a:gs pos="100000">
                    <a:schemeClr val="accent2">
                      <a:lumMod val="60000"/>
                      <a:lumMod val="60000"/>
                      <a:lumOff val="40000"/>
                    </a:schemeClr>
                  </a:gs>
                  <a:gs pos="0">
                    <a:schemeClr val="accent2">
                      <a:lumMod val="60000"/>
                    </a:schemeClr>
                  </a:gs>
                </a:gsLst>
                <a:lin ang="5400000" scaled="0"/>
              </a:gradFill>
              <a:ln w="19050">
                <a:solidFill>
                  <a:schemeClr val="lt1"/>
                </a:solidFill>
              </a:ln>
              <a:effectLst/>
            </c:spPr>
            <c:extLst>
              <c:ext xmlns:c16="http://schemas.microsoft.com/office/drawing/2014/chart" uri="{C3380CC4-5D6E-409C-BE32-E72D297353CC}">
                <c16:uniqueId val="{0000000F-F0F9-469E-BDF1-03183CC6DF19}"/>
              </c:ext>
            </c:extLst>
          </c:dPt>
          <c:dPt>
            <c:idx val="8"/>
            <c:bubble3D val="0"/>
            <c:spPr>
              <a:gradFill>
                <a:gsLst>
                  <a:gs pos="100000">
                    <a:schemeClr val="accent3">
                      <a:lumMod val="60000"/>
                      <a:lumMod val="60000"/>
                      <a:lumOff val="40000"/>
                    </a:schemeClr>
                  </a:gs>
                  <a:gs pos="0">
                    <a:schemeClr val="accent3">
                      <a:lumMod val="60000"/>
                    </a:schemeClr>
                  </a:gs>
                </a:gsLst>
                <a:lin ang="5400000" scaled="0"/>
              </a:gradFill>
              <a:ln w="19050">
                <a:solidFill>
                  <a:schemeClr val="lt1"/>
                </a:solidFill>
              </a:ln>
              <a:effectLst/>
            </c:spPr>
            <c:extLst>
              <c:ext xmlns:c16="http://schemas.microsoft.com/office/drawing/2014/chart" uri="{C3380CC4-5D6E-409C-BE32-E72D297353CC}">
                <c16:uniqueId val="{00000011-F0F9-469E-BDF1-03183CC6DF19}"/>
              </c:ext>
            </c:extLst>
          </c:dPt>
          <c:dPt>
            <c:idx val="9"/>
            <c:bubble3D val="0"/>
            <c:spPr>
              <a:gradFill>
                <a:gsLst>
                  <a:gs pos="100000">
                    <a:schemeClr val="accent4">
                      <a:lumMod val="60000"/>
                      <a:lumMod val="60000"/>
                      <a:lumOff val="40000"/>
                    </a:schemeClr>
                  </a:gs>
                  <a:gs pos="0">
                    <a:schemeClr val="accent4">
                      <a:lumMod val="60000"/>
                    </a:schemeClr>
                  </a:gs>
                </a:gsLst>
                <a:lin ang="5400000" scaled="0"/>
              </a:gradFill>
              <a:ln w="19050">
                <a:solidFill>
                  <a:schemeClr val="lt1"/>
                </a:solidFill>
              </a:ln>
              <a:effectLst/>
            </c:spPr>
            <c:extLst>
              <c:ext xmlns:c16="http://schemas.microsoft.com/office/drawing/2014/chart" uri="{C3380CC4-5D6E-409C-BE32-E72D297353CC}">
                <c16:uniqueId val="{00000013-F0F9-469E-BDF1-03183CC6DF19}"/>
              </c:ext>
            </c:extLst>
          </c:dPt>
          <c:dPt>
            <c:idx val="10"/>
            <c:bubble3D val="0"/>
            <c:spPr>
              <a:gradFill>
                <a:gsLst>
                  <a:gs pos="100000">
                    <a:schemeClr val="accent5">
                      <a:lumMod val="60000"/>
                      <a:lumMod val="60000"/>
                      <a:lumOff val="40000"/>
                    </a:schemeClr>
                  </a:gs>
                  <a:gs pos="0">
                    <a:schemeClr val="accent5">
                      <a:lumMod val="60000"/>
                    </a:schemeClr>
                  </a:gs>
                </a:gsLst>
                <a:lin ang="5400000" scaled="0"/>
              </a:gradFill>
              <a:ln w="19050">
                <a:solidFill>
                  <a:schemeClr val="lt1"/>
                </a:solidFill>
              </a:ln>
              <a:effectLst/>
            </c:spPr>
            <c:extLst>
              <c:ext xmlns:c16="http://schemas.microsoft.com/office/drawing/2014/chart" uri="{C3380CC4-5D6E-409C-BE32-E72D297353CC}">
                <c16:uniqueId val="{00000015-F0F9-469E-BDF1-03183CC6DF19}"/>
              </c:ext>
            </c:extLst>
          </c:dPt>
          <c:dPt>
            <c:idx val="11"/>
            <c:bubble3D val="0"/>
            <c:spPr>
              <a:gradFill>
                <a:gsLst>
                  <a:gs pos="100000">
                    <a:schemeClr val="accent6">
                      <a:lumMod val="60000"/>
                      <a:lumMod val="60000"/>
                      <a:lumOff val="40000"/>
                    </a:schemeClr>
                  </a:gs>
                  <a:gs pos="0">
                    <a:schemeClr val="accent6">
                      <a:lumMod val="60000"/>
                    </a:schemeClr>
                  </a:gs>
                </a:gsLst>
                <a:lin ang="5400000" scaled="0"/>
              </a:gradFill>
              <a:ln w="19050">
                <a:solidFill>
                  <a:schemeClr val="lt1"/>
                </a:solidFill>
              </a:ln>
              <a:effectLst/>
            </c:spPr>
            <c:extLst>
              <c:ext xmlns:c16="http://schemas.microsoft.com/office/drawing/2014/chart" uri="{C3380CC4-5D6E-409C-BE32-E72D297353CC}">
                <c16:uniqueId val="{00000017-F0F9-469E-BDF1-03183CC6DF19}"/>
              </c:ext>
            </c:extLst>
          </c:dPt>
          <c:dPt>
            <c:idx val="12"/>
            <c:bubble3D val="0"/>
            <c:spPr>
              <a:gradFill>
                <a:gsLst>
                  <a:gs pos="100000">
                    <a:schemeClr val="accent1">
                      <a:lumMod val="80000"/>
                      <a:lumOff val="20000"/>
                      <a:lumMod val="60000"/>
                      <a:lumOff val="40000"/>
                    </a:schemeClr>
                  </a:gs>
                  <a:gs pos="0">
                    <a:schemeClr val="accent1">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19-F0F9-469E-BDF1-03183CC6DF19}"/>
              </c:ext>
            </c:extLst>
          </c:dPt>
          <c:dPt>
            <c:idx val="13"/>
            <c:bubble3D val="0"/>
            <c:spPr>
              <a:gradFill>
                <a:gsLst>
                  <a:gs pos="100000">
                    <a:schemeClr val="accent2">
                      <a:lumMod val="80000"/>
                      <a:lumOff val="20000"/>
                      <a:lumMod val="60000"/>
                      <a:lumOff val="40000"/>
                    </a:schemeClr>
                  </a:gs>
                  <a:gs pos="0">
                    <a:schemeClr val="accent2">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1B-F0F9-469E-BDF1-03183CC6DF19}"/>
              </c:ext>
            </c:extLst>
          </c:dPt>
          <c:dPt>
            <c:idx val="14"/>
            <c:bubble3D val="0"/>
            <c:spPr>
              <a:gradFill>
                <a:gsLst>
                  <a:gs pos="100000">
                    <a:schemeClr val="accent3">
                      <a:lumMod val="80000"/>
                      <a:lumOff val="20000"/>
                      <a:lumMod val="60000"/>
                      <a:lumOff val="40000"/>
                    </a:schemeClr>
                  </a:gs>
                  <a:gs pos="0">
                    <a:schemeClr val="accent3">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1D-F0F9-469E-BDF1-03183CC6DF19}"/>
              </c:ext>
            </c:extLst>
          </c:dPt>
          <c:dPt>
            <c:idx val="15"/>
            <c:bubble3D val="0"/>
            <c:spPr>
              <a:gradFill>
                <a:gsLst>
                  <a:gs pos="100000">
                    <a:schemeClr val="accent4">
                      <a:lumMod val="80000"/>
                      <a:lumOff val="20000"/>
                      <a:lumMod val="60000"/>
                      <a:lumOff val="40000"/>
                    </a:schemeClr>
                  </a:gs>
                  <a:gs pos="0">
                    <a:schemeClr val="accent4">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1F-F0F9-469E-BDF1-03183CC6DF19}"/>
              </c:ext>
            </c:extLst>
          </c:dPt>
          <c:dPt>
            <c:idx val="16"/>
            <c:bubble3D val="0"/>
            <c:spPr>
              <a:gradFill>
                <a:gsLst>
                  <a:gs pos="100000">
                    <a:schemeClr val="accent5">
                      <a:lumMod val="80000"/>
                      <a:lumOff val="20000"/>
                      <a:lumMod val="60000"/>
                      <a:lumOff val="40000"/>
                    </a:schemeClr>
                  </a:gs>
                  <a:gs pos="0">
                    <a:schemeClr val="accent5">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21-F0F9-469E-BDF1-03183CC6DF1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cchart'!$A$4:$A$10</c:f>
              <c:strCache>
                <c:ptCount val="6"/>
                <c:pt idx="0">
                  <c:v>Coupe</c:v>
                </c:pt>
                <c:pt idx="1">
                  <c:v>Cruiser</c:v>
                </c:pt>
                <c:pt idx="2">
                  <c:v>GT</c:v>
                </c:pt>
                <c:pt idx="3">
                  <c:v>Hatch-Back</c:v>
                </c:pt>
                <c:pt idx="4">
                  <c:v>Sports</c:v>
                </c:pt>
                <c:pt idx="5">
                  <c:v>SUV</c:v>
                </c:pt>
              </c:strCache>
            </c:strRef>
          </c:cat>
          <c:val>
            <c:numRef>
              <c:f>'pivot cchart'!$B$4:$B$10</c:f>
              <c:numCache>
                <c:formatCode>General</c:formatCode>
                <c:ptCount val="6"/>
                <c:pt idx="0">
                  <c:v>2</c:v>
                </c:pt>
                <c:pt idx="1">
                  <c:v>1</c:v>
                </c:pt>
                <c:pt idx="2">
                  <c:v>5</c:v>
                </c:pt>
                <c:pt idx="3">
                  <c:v>2</c:v>
                </c:pt>
                <c:pt idx="4">
                  <c:v>6</c:v>
                </c:pt>
                <c:pt idx="5">
                  <c:v>4</c:v>
                </c:pt>
              </c:numCache>
            </c:numRef>
          </c:val>
          <c:extLst>
            <c:ext xmlns:c16="http://schemas.microsoft.com/office/drawing/2014/chart" uri="{C3380CC4-5D6E-409C-BE32-E72D297353CC}">
              <c16:uniqueId val="{00000022-F0F9-469E-BDF1-03183CC6DF19}"/>
            </c:ext>
          </c:extLst>
        </c:ser>
        <c:ser>
          <c:idx val="1"/>
          <c:order val="1"/>
          <c:tx>
            <c:strRef>
              <c:f>'pivot cchart'!$C$3</c:f>
              <c:strCache>
                <c:ptCount val="1"/>
                <c:pt idx="0">
                  <c:v>Sum of Price</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24-F0F9-469E-BDF1-03183CC6DF19}"/>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26-F0F9-469E-BDF1-03183CC6DF19}"/>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28-F0F9-469E-BDF1-03183CC6DF19}"/>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2A-F0F9-469E-BDF1-03183CC6DF19}"/>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2C-F0F9-469E-BDF1-03183CC6DF19}"/>
              </c:ext>
            </c:extLst>
          </c:dPt>
          <c:dPt>
            <c:idx val="5"/>
            <c:bubble3D val="0"/>
            <c:spPr>
              <a:gradFill>
                <a:gsLst>
                  <a:gs pos="100000">
                    <a:schemeClr val="accent6">
                      <a:lumMod val="60000"/>
                      <a:lumOff val="40000"/>
                    </a:schemeClr>
                  </a:gs>
                  <a:gs pos="0">
                    <a:schemeClr val="accent6"/>
                  </a:gs>
                </a:gsLst>
                <a:lin ang="5400000" scaled="0"/>
              </a:gradFill>
              <a:ln w="19050">
                <a:solidFill>
                  <a:schemeClr val="lt1"/>
                </a:solidFill>
              </a:ln>
              <a:effectLst/>
            </c:spPr>
            <c:extLst>
              <c:ext xmlns:c16="http://schemas.microsoft.com/office/drawing/2014/chart" uri="{C3380CC4-5D6E-409C-BE32-E72D297353CC}">
                <c16:uniqueId val="{0000002E-F0F9-469E-BDF1-03183CC6DF19}"/>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30-F0F9-469E-BDF1-03183CC6DF19}"/>
              </c:ext>
            </c:extLst>
          </c:dPt>
          <c:dPt>
            <c:idx val="7"/>
            <c:bubble3D val="0"/>
            <c:spPr>
              <a:gradFill>
                <a:gsLst>
                  <a:gs pos="100000">
                    <a:schemeClr val="accent2">
                      <a:lumMod val="60000"/>
                      <a:lumMod val="60000"/>
                      <a:lumOff val="40000"/>
                    </a:schemeClr>
                  </a:gs>
                  <a:gs pos="0">
                    <a:schemeClr val="accent2">
                      <a:lumMod val="60000"/>
                    </a:schemeClr>
                  </a:gs>
                </a:gsLst>
                <a:lin ang="5400000" scaled="0"/>
              </a:gradFill>
              <a:ln w="19050">
                <a:solidFill>
                  <a:schemeClr val="lt1"/>
                </a:solidFill>
              </a:ln>
              <a:effectLst/>
            </c:spPr>
            <c:extLst>
              <c:ext xmlns:c16="http://schemas.microsoft.com/office/drawing/2014/chart" uri="{C3380CC4-5D6E-409C-BE32-E72D297353CC}">
                <c16:uniqueId val="{00000032-F0F9-469E-BDF1-03183CC6DF19}"/>
              </c:ext>
            </c:extLst>
          </c:dPt>
          <c:dPt>
            <c:idx val="8"/>
            <c:bubble3D val="0"/>
            <c:spPr>
              <a:gradFill>
                <a:gsLst>
                  <a:gs pos="100000">
                    <a:schemeClr val="accent3">
                      <a:lumMod val="60000"/>
                      <a:lumMod val="60000"/>
                      <a:lumOff val="40000"/>
                    </a:schemeClr>
                  </a:gs>
                  <a:gs pos="0">
                    <a:schemeClr val="accent3">
                      <a:lumMod val="60000"/>
                    </a:schemeClr>
                  </a:gs>
                </a:gsLst>
                <a:lin ang="5400000" scaled="0"/>
              </a:gradFill>
              <a:ln w="19050">
                <a:solidFill>
                  <a:schemeClr val="lt1"/>
                </a:solidFill>
              </a:ln>
              <a:effectLst/>
            </c:spPr>
            <c:extLst>
              <c:ext xmlns:c16="http://schemas.microsoft.com/office/drawing/2014/chart" uri="{C3380CC4-5D6E-409C-BE32-E72D297353CC}">
                <c16:uniqueId val="{00000034-F0F9-469E-BDF1-03183CC6DF19}"/>
              </c:ext>
            </c:extLst>
          </c:dPt>
          <c:dPt>
            <c:idx val="9"/>
            <c:bubble3D val="0"/>
            <c:spPr>
              <a:gradFill>
                <a:gsLst>
                  <a:gs pos="100000">
                    <a:schemeClr val="accent4">
                      <a:lumMod val="60000"/>
                      <a:lumMod val="60000"/>
                      <a:lumOff val="40000"/>
                    </a:schemeClr>
                  </a:gs>
                  <a:gs pos="0">
                    <a:schemeClr val="accent4">
                      <a:lumMod val="60000"/>
                    </a:schemeClr>
                  </a:gs>
                </a:gsLst>
                <a:lin ang="5400000" scaled="0"/>
              </a:gradFill>
              <a:ln w="19050">
                <a:solidFill>
                  <a:schemeClr val="lt1"/>
                </a:solidFill>
              </a:ln>
              <a:effectLst/>
            </c:spPr>
            <c:extLst>
              <c:ext xmlns:c16="http://schemas.microsoft.com/office/drawing/2014/chart" uri="{C3380CC4-5D6E-409C-BE32-E72D297353CC}">
                <c16:uniqueId val="{00000036-F0F9-469E-BDF1-03183CC6DF19}"/>
              </c:ext>
            </c:extLst>
          </c:dPt>
          <c:dPt>
            <c:idx val="10"/>
            <c:bubble3D val="0"/>
            <c:spPr>
              <a:gradFill>
                <a:gsLst>
                  <a:gs pos="100000">
                    <a:schemeClr val="accent5">
                      <a:lumMod val="60000"/>
                      <a:lumMod val="60000"/>
                      <a:lumOff val="40000"/>
                    </a:schemeClr>
                  </a:gs>
                  <a:gs pos="0">
                    <a:schemeClr val="accent5">
                      <a:lumMod val="60000"/>
                    </a:schemeClr>
                  </a:gs>
                </a:gsLst>
                <a:lin ang="5400000" scaled="0"/>
              </a:gradFill>
              <a:ln w="19050">
                <a:solidFill>
                  <a:schemeClr val="lt1"/>
                </a:solidFill>
              </a:ln>
              <a:effectLst/>
            </c:spPr>
            <c:extLst>
              <c:ext xmlns:c16="http://schemas.microsoft.com/office/drawing/2014/chart" uri="{C3380CC4-5D6E-409C-BE32-E72D297353CC}">
                <c16:uniqueId val="{00000038-F0F9-469E-BDF1-03183CC6DF19}"/>
              </c:ext>
            </c:extLst>
          </c:dPt>
          <c:dPt>
            <c:idx val="11"/>
            <c:bubble3D val="0"/>
            <c:spPr>
              <a:gradFill>
                <a:gsLst>
                  <a:gs pos="100000">
                    <a:schemeClr val="accent6">
                      <a:lumMod val="60000"/>
                      <a:lumMod val="60000"/>
                      <a:lumOff val="40000"/>
                    </a:schemeClr>
                  </a:gs>
                  <a:gs pos="0">
                    <a:schemeClr val="accent6">
                      <a:lumMod val="60000"/>
                    </a:schemeClr>
                  </a:gs>
                </a:gsLst>
                <a:lin ang="5400000" scaled="0"/>
              </a:gradFill>
              <a:ln w="19050">
                <a:solidFill>
                  <a:schemeClr val="lt1"/>
                </a:solidFill>
              </a:ln>
              <a:effectLst/>
            </c:spPr>
            <c:extLst>
              <c:ext xmlns:c16="http://schemas.microsoft.com/office/drawing/2014/chart" uri="{C3380CC4-5D6E-409C-BE32-E72D297353CC}">
                <c16:uniqueId val="{0000003A-F0F9-469E-BDF1-03183CC6DF19}"/>
              </c:ext>
            </c:extLst>
          </c:dPt>
          <c:dPt>
            <c:idx val="12"/>
            <c:bubble3D val="0"/>
            <c:spPr>
              <a:gradFill>
                <a:gsLst>
                  <a:gs pos="100000">
                    <a:schemeClr val="accent1">
                      <a:lumMod val="80000"/>
                      <a:lumOff val="20000"/>
                      <a:lumMod val="60000"/>
                      <a:lumOff val="40000"/>
                    </a:schemeClr>
                  </a:gs>
                  <a:gs pos="0">
                    <a:schemeClr val="accent1">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3C-F0F9-469E-BDF1-03183CC6DF19}"/>
              </c:ext>
            </c:extLst>
          </c:dPt>
          <c:dPt>
            <c:idx val="13"/>
            <c:bubble3D val="0"/>
            <c:spPr>
              <a:gradFill>
                <a:gsLst>
                  <a:gs pos="100000">
                    <a:schemeClr val="accent2">
                      <a:lumMod val="80000"/>
                      <a:lumOff val="20000"/>
                      <a:lumMod val="60000"/>
                      <a:lumOff val="40000"/>
                    </a:schemeClr>
                  </a:gs>
                  <a:gs pos="0">
                    <a:schemeClr val="accent2">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3E-F0F9-469E-BDF1-03183CC6DF19}"/>
              </c:ext>
            </c:extLst>
          </c:dPt>
          <c:dPt>
            <c:idx val="14"/>
            <c:bubble3D val="0"/>
            <c:spPr>
              <a:gradFill>
                <a:gsLst>
                  <a:gs pos="100000">
                    <a:schemeClr val="accent3">
                      <a:lumMod val="80000"/>
                      <a:lumOff val="20000"/>
                      <a:lumMod val="60000"/>
                      <a:lumOff val="40000"/>
                    </a:schemeClr>
                  </a:gs>
                  <a:gs pos="0">
                    <a:schemeClr val="accent3">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40-F0F9-469E-BDF1-03183CC6DF19}"/>
              </c:ext>
            </c:extLst>
          </c:dPt>
          <c:dPt>
            <c:idx val="15"/>
            <c:bubble3D val="0"/>
            <c:spPr>
              <a:gradFill>
                <a:gsLst>
                  <a:gs pos="100000">
                    <a:schemeClr val="accent4">
                      <a:lumMod val="80000"/>
                      <a:lumOff val="20000"/>
                      <a:lumMod val="60000"/>
                      <a:lumOff val="40000"/>
                    </a:schemeClr>
                  </a:gs>
                  <a:gs pos="0">
                    <a:schemeClr val="accent4">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42-F0F9-469E-BDF1-03183CC6DF19}"/>
              </c:ext>
            </c:extLst>
          </c:dPt>
          <c:dPt>
            <c:idx val="16"/>
            <c:bubble3D val="0"/>
            <c:spPr>
              <a:gradFill>
                <a:gsLst>
                  <a:gs pos="100000">
                    <a:schemeClr val="accent5">
                      <a:lumMod val="80000"/>
                      <a:lumOff val="20000"/>
                      <a:lumMod val="60000"/>
                      <a:lumOff val="40000"/>
                    </a:schemeClr>
                  </a:gs>
                  <a:gs pos="0">
                    <a:schemeClr val="accent5">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44-F0F9-469E-BDF1-03183CC6DF1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cchart'!$A$4:$A$10</c:f>
              <c:strCache>
                <c:ptCount val="6"/>
                <c:pt idx="0">
                  <c:v>Coupe</c:v>
                </c:pt>
                <c:pt idx="1">
                  <c:v>Cruiser</c:v>
                </c:pt>
                <c:pt idx="2">
                  <c:v>GT</c:v>
                </c:pt>
                <c:pt idx="3">
                  <c:v>Hatch-Back</c:v>
                </c:pt>
                <c:pt idx="4">
                  <c:v>Sports</c:v>
                </c:pt>
                <c:pt idx="5">
                  <c:v>SUV</c:v>
                </c:pt>
              </c:strCache>
            </c:strRef>
          </c:cat>
          <c:val>
            <c:numRef>
              <c:f>'pivot cchart'!$C$4:$C$10</c:f>
              <c:numCache>
                <c:formatCode>General</c:formatCode>
                <c:ptCount val="6"/>
                <c:pt idx="0">
                  <c:v>75000</c:v>
                </c:pt>
                <c:pt idx="1">
                  <c:v>150000</c:v>
                </c:pt>
                <c:pt idx="2">
                  <c:v>945000</c:v>
                </c:pt>
                <c:pt idx="3">
                  <c:v>120000</c:v>
                </c:pt>
                <c:pt idx="4">
                  <c:v>1345000</c:v>
                </c:pt>
                <c:pt idx="5">
                  <c:v>630000</c:v>
                </c:pt>
              </c:numCache>
            </c:numRef>
          </c:val>
          <c:extLst>
            <c:ext xmlns:c16="http://schemas.microsoft.com/office/drawing/2014/chart" uri="{C3380CC4-5D6E-409C-BE32-E72D297353CC}">
              <c16:uniqueId val="{00000045-F0F9-469E-BDF1-03183CC6DF19}"/>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50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pattFill prst="dkDnDiag">
      <a:fgClr>
        <a:schemeClr val="lt1"/>
      </a:fgClr>
      <a:bgClr>
        <a:schemeClr val="dk1">
          <a:lumMod val="10000"/>
          <a:lumOff val="90000"/>
        </a:schemeClr>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'line chart'!$A$37</c:f>
          <c:strCache>
            <c:ptCount val="1"/>
            <c:pt idx="0">
              <c:v>SALES PERFORMANCE : 2020, WEST</c:v>
            </c:pt>
          </c:strCache>
        </c:strRef>
      </c:tx>
      <c:overlay val="0"/>
      <c:spPr>
        <a:solidFill>
          <a:schemeClr val="accent5">
            <a:lumMod val="20000"/>
            <a:lumOff val="80000"/>
          </a:schemeClr>
        </a:solidFill>
        <a:ln w="19050">
          <a:solidFill>
            <a:schemeClr val="tx1"/>
          </a:solidFill>
        </a:ln>
        <a:effectLst/>
      </c:spPr>
      <c:txPr>
        <a:bodyPr rot="0" spcFirstLastPara="1" vertOverflow="ellipsis" vert="horz" wrap="square" anchor="ctr" anchorCtr="1"/>
        <a:lstStyle/>
        <a:p>
          <a:pPr>
            <a:defRPr sz="1400" b="0" i="0" u="none" strike="noStrike" kern="1200" spc="0" baseline="0">
              <a:ln>
                <a:solidFill>
                  <a:schemeClr val="tx1">
                    <a:alpha val="85000"/>
                  </a:schemeClr>
                </a:solidFill>
              </a:ln>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9882180400363067E-2"/>
          <c:y val="0.17088637966359133"/>
          <c:w val="0.95011781959963693"/>
          <c:h val="0.81196312106455693"/>
        </c:manualLayout>
      </c:layout>
      <c:lineChart>
        <c:grouping val="standard"/>
        <c:varyColors val="0"/>
        <c:ser>
          <c:idx val="0"/>
          <c:order val="0"/>
          <c:tx>
            <c:strRef>
              <c:f>'line chart'!$B$3</c:f>
              <c:strCache>
                <c:ptCount val="1"/>
                <c:pt idx="0">
                  <c:v>Month</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'line chart'!$B$4:$B$16</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8AD5-405A-A186-B6B99BE0BC77}"/>
            </c:ext>
          </c:extLst>
        </c:ser>
        <c:ser>
          <c:idx val="1"/>
          <c:order val="1"/>
          <c:tx>
            <c:strRef>
              <c:f>'line chart'!$C$3</c:f>
              <c:strCache>
                <c:ptCount val="1"/>
                <c:pt idx="0">
                  <c:v>Qty Sold</c:v>
                </c:pt>
              </c:strCache>
            </c:strRef>
          </c:tx>
          <c:spPr>
            <a:ln w="44450" cap="rnd">
              <a:solidFill>
                <a:srgbClr val="00B0F0">
                  <a:alpha val="97000"/>
                </a:srgbClr>
              </a:solidFill>
              <a:round/>
            </a:ln>
            <a:effectLst/>
          </c:spPr>
          <c:marker>
            <c:symbol val="circle"/>
            <c:size val="7"/>
            <c:spPr>
              <a:solidFill>
                <a:srgbClr val="002060"/>
              </a:solidFill>
              <a:ln w="9525">
                <a:solidFill>
                  <a:schemeClr val="accent2"/>
                </a:solidFill>
              </a:ln>
              <a:effectLst/>
            </c:spPr>
          </c:marker>
          <c:dPt>
            <c:idx val="0"/>
            <c:marker>
              <c:symbol val="circle"/>
              <c:size val="12"/>
              <c:spPr>
                <a:solidFill>
                  <a:srgbClr val="FF0000"/>
                </a:solidFill>
                <a:ln w="9525">
                  <a:solidFill>
                    <a:schemeClr val="accent1"/>
                  </a:solidFill>
                </a:ln>
                <a:effectLst/>
              </c:spPr>
            </c:marker>
            <c:bubble3D val="0"/>
            <c:extLst>
              <c:ext xmlns:c16="http://schemas.microsoft.com/office/drawing/2014/chart" uri="{C3380CC4-5D6E-409C-BE32-E72D297353CC}">
                <c16:uniqueId val="{00000004-8AD5-405A-A186-B6B99BE0BC7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'line chart'!$C$4:$C$16</c:f>
              <c:numCache>
                <c:formatCode>General</c:formatCode>
                <c:ptCount val="13"/>
                <c:pt idx="0">
                  <c:v>879</c:v>
                </c:pt>
                <c:pt idx="1">
                  <c:v>0</c:v>
                </c:pt>
                <c:pt idx="2">
                  <c:v>0</c:v>
                </c:pt>
                <c:pt idx="3">
                  <c:v>0</c:v>
                </c:pt>
                <c:pt idx="4">
                  <c:v>0</c:v>
                </c:pt>
                <c:pt idx="5">
                  <c:v>0</c:v>
                </c:pt>
                <c:pt idx="6">
                  <c:v>65</c:v>
                </c:pt>
                <c:pt idx="7">
                  <c:v>0</c:v>
                </c:pt>
                <c:pt idx="8">
                  <c:v>0</c:v>
                </c:pt>
                <c:pt idx="9">
                  <c:v>334</c:v>
                </c:pt>
                <c:pt idx="10">
                  <c:v>0</c:v>
                </c:pt>
                <c:pt idx="11">
                  <c:v>0</c:v>
                </c:pt>
                <c:pt idx="12">
                  <c:v>0</c:v>
                </c:pt>
              </c:numCache>
            </c:numRef>
          </c:val>
          <c:smooth val="1"/>
          <c:extLst>
            <c:ext xmlns:c16="http://schemas.microsoft.com/office/drawing/2014/chart" uri="{C3380CC4-5D6E-409C-BE32-E72D297353CC}">
              <c16:uniqueId val="{00000001-8AD5-405A-A186-B6B99BE0BC77}"/>
            </c:ext>
          </c:extLst>
        </c:ser>
        <c:ser>
          <c:idx val="2"/>
          <c:order val="2"/>
          <c:tx>
            <c:strRef>
              <c:f>'line chart'!$D$3</c:f>
              <c:strCache>
                <c:ptCount val="1"/>
                <c:pt idx="0">
                  <c:v>NAX QNTY</c:v>
                </c:pt>
              </c:strCache>
            </c:strRef>
          </c:tx>
          <c:spPr>
            <a:ln w="28575" cap="rnd">
              <a:solidFill>
                <a:schemeClr val="accent3"/>
              </a:solidFill>
              <a:round/>
            </a:ln>
            <a:effectLst/>
          </c:spPr>
          <c:marker>
            <c:symbol val="circle"/>
            <c:size val="11"/>
            <c:spPr>
              <a:solidFill>
                <a:srgbClr val="00B050"/>
              </a:solidFill>
              <a:ln w="9525">
                <a:noFill/>
              </a:ln>
              <a:effectLst/>
            </c:spPr>
          </c:marker>
          <c:val>
            <c:numRef>
              <c:f>'line chart'!$D$4:$D$16</c:f>
              <c:numCache>
                <c:formatCode>General</c:formatCode>
                <c:ptCount val="13"/>
                <c:pt idx="0">
                  <c:v>879</c:v>
                </c:pt>
                <c:pt idx="1">
                  <c:v>#N/A</c:v>
                </c:pt>
                <c:pt idx="2">
                  <c:v>#N/A</c:v>
                </c:pt>
                <c:pt idx="3">
                  <c:v>#N/A</c:v>
                </c:pt>
                <c:pt idx="4">
                  <c:v>#N/A</c:v>
                </c:pt>
                <c:pt idx="5">
                  <c:v>#N/A</c:v>
                </c:pt>
                <c:pt idx="6">
                  <c:v>#N/A</c:v>
                </c:pt>
                <c:pt idx="7">
                  <c:v>#N/A</c:v>
                </c:pt>
                <c:pt idx="8">
                  <c:v>#N/A</c:v>
                </c:pt>
                <c:pt idx="9">
                  <c:v>#N/A</c:v>
                </c:pt>
                <c:pt idx="10">
                  <c:v>#N/A</c:v>
                </c:pt>
                <c:pt idx="11">
                  <c:v>#N/A</c:v>
                </c:pt>
                <c:pt idx="12">
                  <c:v>#N/A</c:v>
                </c:pt>
              </c:numCache>
            </c:numRef>
          </c:val>
          <c:smooth val="0"/>
          <c:extLst>
            <c:ext xmlns:c16="http://schemas.microsoft.com/office/drawing/2014/chart" uri="{C3380CC4-5D6E-409C-BE32-E72D297353CC}">
              <c16:uniqueId val="{00000002-8AD5-405A-A186-B6B99BE0BC77}"/>
            </c:ext>
          </c:extLst>
        </c:ser>
        <c:ser>
          <c:idx val="3"/>
          <c:order val="3"/>
          <c:tx>
            <c:strRef>
              <c:f>'line chart'!$E$3</c:f>
              <c:strCache>
                <c:ptCount val="1"/>
                <c:pt idx="0">
                  <c:v>MIN QNTY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'line chart'!$E$4:$E$16</c:f>
              <c:numCache>
                <c:formatCode>General</c:formatCode>
                <c:ptCount val="13"/>
                <c:pt idx="0">
                  <c:v>0</c:v>
                </c:pt>
                <c:pt idx="1">
                  <c:v>0</c:v>
                </c:pt>
                <c:pt idx="2">
                  <c:v>#N/A</c:v>
                </c:pt>
                <c:pt idx="3">
                  <c:v>0</c:v>
                </c:pt>
                <c:pt idx="4">
                  <c:v>0</c:v>
                </c:pt>
                <c:pt idx="5">
                  <c:v>#N/A</c:v>
                </c:pt>
                <c:pt idx="6">
                  <c:v>0</c:v>
                </c:pt>
                <c:pt idx="7">
                  <c:v>0</c:v>
                </c:pt>
                <c:pt idx="8">
                  <c:v>0</c:v>
                </c:pt>
                <c:pt idx="9">
                  <c:v>0</c:v>
                </c:pt>
                <c:pt idx="10">
                  <c:v>0</c:v>
                </c:pt>
                <c:pt idx="11">
                  <c:v>0</c:v>
                </c:pt>
                <c:pt idx="12">
                  <c:v>0</c:v>
                </c:pt>
              </c:numCache>
            </c:numRef>
          </c:val>
          <c:smooth val="0"/>
          <c:extLst>
            <c:ext xmlns:c16="http://schemas.microsoft.com/office/drawing/2014/chart" uri="{C3380CC4-5D6E-409C-BE32-E72D297353CC}">
              <c16:uniqueId val="{00000003-8AD5-405A-A186-B6B99BE0BC77}"/>
            </c:ext>
          </c:extLst>
        </c:ser>
        <c:dLbls>
          <c:showLegendKey val="0"/>
          <c:showVal val="0"/>
          <c:showCatName val="0"/>
          <c:showSerName val="0"/>
          <c:showPercent val="0"/>
          <c:showBubbleSize val="0"/>
        </c:dLbls>
        <c:marker val="1"/>
        <c:smooth val="0"/>
        <c:axId val="2072961376"/>
        <c:axId val="2072958496"/>
      </c:lineChart>
      <c:catAx>
        <c:axId val="207296137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2958496"/>
        <c:crosses val="autoZero"/>
        <c:auto val="1"/>
        <c:lblAlgn val="ctr"/>
        <c:lblOffset val="100"/>
        <c:noMultiLvlLbl val="0"/>
      </c:catAx>
      <c:valAx>
        <c:axId val="20729584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2961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[line chart project.xlsx]pivot!PivotTable1</c:name>
    <c:fmtId val="2"/>
  </c:pivotSource>
  <c:chart>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pivotFmt>
      <c:pivotFmt>
        <c:idx val="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pivotFmt>
      <c:pivotFmt>
        <c:idx val="2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pivotFmt>
      <c:pivotFmt>
        <c:idx val="3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pivotFmt>
      <c:pivotFmt>
        <c:idx val="4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pivotFmt>
    </c:pivotFmts>
    <c:plotArea>
      <c:layout/>
      <c:barChart>
        <c:barDir val="col"/>
        <c:grouping val="clustered"/>
        <c:varyColors val="0"/>
        <c:ser>
          <c:idx val="0"/>
          <c:order val="0"/>
          <c:tx>
            <c:strRef>
              <c:f>pivot!$B$4:$B$5</c:f>
              <c:strCache>
                <c:ptCount val="1"/>
                <c:pt idx="0">
                  <c:v>Clothing</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cat>
            <c:multiLvlStrRef>
              <c:f>pivot!$A$6:$A$20</c:f>
              <c:multiLvlStrCache>
                <c:ptCount val="10"/>
                <c:lvl>
                  <c:pt idx="0">
                    <c:v>1003</c:v>
                  </c:pt>
                  <c:pt idx="1">
                    <c:v>1007</c:v>
                  </c:pt>
                  <c:pt idx="2">
                    <c:v>1004</c:v>
                  </c:pt>
                  <c:pt idx="3">
                    <c:v>1008</c:v>
                  </c:pt>
                  <c:pt idx="4">
                    <c:v>1002</c:v>
                  </c:pt>
                  <c:pt idx="5">
                    <c:v>1006</c:v>
                  </c:pt>
                  <c:pt idx="6">
                    <c:v>1010</c:v>
                  </c:pt>
                  <c:pt idx="7">
                    <c:v>1001</c:v>
                  </c:pt>
                  <c:pt idx="8">
                    <c:v>1005</c:v>
                  </c:pt>
                  <c:pt idx="9">
                    <c:v>1009</c:v>
                  </c:pt>
                </c:lvl>
                <c:lvl>
                  <c:pt idx="0">
                    <c:v>Aman</c:v>
                  </c:pt>
                  <c:pt idx="2">
                    <c:v>Neha</c:v>
                  </c:pt>
                  <c:pt idx="4">
                    <c:v>Priya</c:v>
                  </c:pt>
                  <c:pt idx="7">
                    <c:v>Raj</c:v>
                  </c:pt>
                </c:lvl>
              </c:multiLvlStrCache>
            </c:multiLvlStrRef>
          </c:cat>
          <c:val>
            <c:numRef>
              <c:f>pivot!$B$6:$B$20</c:f>
              <c:numCache>
                <c:formatCode>General</c:formatCode>
                <c:ptCount val="10"/>
                <c:pt idx="0">
                  <c:v>30000</c:v>
                </c:pt>
                <c:pt idx="8">
                  <c:v>22500</c:v>
                </c:pt>
                <c:pt idx="9">
                  <c:v>15000</c:v>
                </c:pt>
              </c:numCache>
            </c:numRef>
          </c:val>
          <c:extLst>
            <c:ext xmlns:c16="http://schemas.microsoft.com/office/drawing/2014/chart" uri="{C3380CC4-5D6E-409C-BE32-E72D297353CC}">
              <c16:uniqueId val="{00000000-F791-4617-A6A6-A3FBBFC47D19}"/>
            </c:ext>
          </c:extLst>
        </c:ser>
        <c:ser>
          <c:idx val="1"/>
          <c:order val="1"/>
          <c:tx>
            <c:strRef>
              <c:f>pivot!$C$4:$C$5</c:f>
              <c:strCache>
                <c:ptCount val="1"/>
                <c:pt idx="0">
                  <c:v>Electronics</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invertIfNegative val="0"/>
          <c:cat>
            <c:multiLvlStrRef>
              <c:f>pivot!$A$6:$A$20</c:f>
              <c:multiLvlStrCache>
                <c:ptCount val="10"/>
                <c:lvl>
                  <c:pt idx="0">
                    <c:v>1003</c:v>
                  </c:pt>
                  <c:pt idx="1">
                    <c:v>1007</c:v>
                  </c:pt>
                  <c:pt idx="2">
                    <c:v>1004</c:v>
                  </c:pt>
                  <c:pt idx="3">
                    <c:v>1008</c:v>
                  </c:pt>
                  <c:pt idx="4">
                    <c:v>1002</c:v>
                  </c:pt>
                  <c:pt idx="5">
                    <c:v>1006</c:v>
                  </c:pt>
                  <c:pt idx="6">
                    <c:v>1010</c:v>
                  </c:pt>
                  <c:pt idx="7">
                    <c:v>1001</c:v>
                  </c:pt>
                  <c:pt idx="8">
                    <c:v>1005</c:v>
                  </c:pt>
                  <c:pt idx="9">
                    <c:v>1009</c:v>
                  </c:pt>
                </c:lvl>
                <c:lvl>
                  <c:pt idx="0">
                    <c:v>Aman</c:v>
                  </c:pt>
                  <c:pt idx="2">
                    <c:v>Neha</c:v>
                  </c:pt>
                  <c:pt idx="4">
                    <c:v>Priya</c:v>
                  </c:pt>
                  <c:pt idx="7">
                    <c:v>Raj</c:v>
                  </c:pt>
                </c:lvl>
              </c:multiLvlStrCache>
            </c:multiLvlStrRef>
          </c:cat>
          <c:val>
            <c:numRef>
              <c:f>pivot!$C$6:$C$20</c:f>
              <c:numCache>
                <c:formatCode>General</c:formatCode>
                <c:ptCount val="10"/>
                <c:pt idx="1">
                  <c:v>15000</c:v>
                </c:pt>
                <c:pt idx="2">
                  <c:v>17500</c:v>
                </c:pt>
                <c:pt idx="6">
                  <c:v>20000</c:v>
                </c:pt>
                <c:pt idx="7">
                  <c:v>25000</c:v>
                </c:pt>
              </c:numCache>
            </c:numRef>
          </c:val>
          <c:extLst>
            <c:ext xmlns:c16="http://schemas.microsoft.com/office/drawing/2014/chart" uri="{C3380CC4-5D6E-409C-BE32-E72D297353CC}">
              <c16:uniqueId val="{00000001-F791-4617-A6A6-A3FBBFC47D19}"/>
            </c:ext>
          </c:extLst>
        </c:ser>
        <c:ser>
          <c:idx val="2"/>
          <c:order val="2"/>
          <c:tx>
            <c:strRef>
              <c:f>pivot!$D$4:$D$5</c:f>
              <c:strCache>
                <c:ptCount val="1"/>
                <c:pt idx="0">
                  <c:v>Furniture</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c:spPr>
          <c:invertIfNegative val="0"/>
          <c:cat>
            <c:multiLvlStrRef>
              <c:f>pivot!$A$6:$A$20</c:f>
              <c:multiLvlStrCache>
                <c:ptCount val="10"/>
                <c:lvl>
                  <c:pt idx="0">
                    <c:v>1003</c:v>
                  </c:pt>
                  <c:pt idx="1">
                    <c:v>1007</c:v>
                  </c:pt>
                  <c:pt idx="2">
                    <c:v>1004</c:v>
                  </c:pt>
                  <c:pt idx="3">
                    <c:v>1008</c:v>
                  </c:pt>
                  <c:pt idx="4">
                    <c:v>1002</c:v>
                  </c:pt>
                  <c:pt idx="5">
                    <c:v>1006</c:v>
                  </c:pt>
                  <c:pt idx="6">
                    <c:v>1010</c:v>
                  </c:pt>
                  <c:pt idx="7">
                    <c:v>1001</c:v>
                  </c:pt>
                  <c:pt idx="8">
                    <c:v>1005</c:v>
                  </c:pt>
                  <c:pt idx="9">
                    <c:v>1009</c:v>
                  </c:pt>
                </c:lvl>
                <c:lvl>
                  <c:pt idx="0">
                    <c:v>Aman</c:v>
                  </c:pt>
                  <c:pt idx="2">
                    <c:v>Neha</c:v>
                  </c:pt>
                  <c:pt idx="4">
                    <c:v>Priya</c:v>
                  </c:pt>
                  <c:pt idx="7">
                    <c:v>Raj</c:v>
                  </c:pt>
                </c:lvl>
              </c:multiLvlStrCache>
            </c:multiLvlStrRef>
          </c:cat>
          <c:val>
            <c:numRef>
              <c:f>pivot!$D$6:$D$20</c:f>
              <c:numCache>
                <c:formatCode>General</c:formatCode>
                <c:ptCount val="10"/>
                <c:pt idx="3">
                  <c:v>12000</c:v>
                </c:pt>
                <c:pt idx="4">
                  <c:v>20000</c:v>
                </c:pt>
                <c:pt idx="5">
                  <c:v>16000</c:v>
                </c:pt>
              </c:numCache>
            </c:numRef>
          </c:val>
          <c:extLst>
            <c:ext xmlns:c16="http://schemas.microsoft.com/office/drawing/2014/chart" uri="{C3380CC4-5D6E-409C-BE32-E72D297353CC}">
              <c16:uniqueId val="{0000000A-F791-4617-A6A6-A3FBBFC47D19}"/>
            </c:ext>
          </c:extLst>
        </c:ser>
        <c:dLbls>
          <c:showLegendKey val="0"/>
          <c:showVal val="0"/>
          <c:showCatName val="0"/>
          <c:showSerName val="0"/>
          <c:showPercent val="0"/>
          <c:showBubbleSize val="0"/>
        </c:dLbls>
        <c:gapWidth val="100"/>
        <c:overlap val="-24"/>
        <c:axId val="1858340096"/>
        <c:axId val="1858341056"/>
      </c:barChart>
      <c:catAx>
        <c:axId val="1858340096"/>
        <c:scaling>
          <c:orientation val="minMax"/>
        </c:scaling>
        <c:delete val="1"/>
        <c:axPos val="b"/>
        <c:numFmt formatCode="General" sourceLinked="1"/>
        <c:majorTickMark val="none"/>
        <c:minorTickMark val="none"/>
        <c:tickLblPos val="nextTo"/>
        <c:crossAx val="1858341056"/>
        <c:crosses val="autoZero"/>
        <c:auto val="1"/>
        <c:lblAlgn val="ctr"/>
        <c:lblOffset val="100"/>
        <c:noMultiLvlLbl val="0"/>
      </c:catAx>
      <c:valAx>
        <c:axId val="18583410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58340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[line chart project.xlsx]pivot!PivotTable1</c:name>
    <c:fmtId val="5"/>
  </c:pivotSource>
  <c:chart>
    <c:autoTitleDeleted val="1"/>
    <c:pivotFmts>
      <c:pivotFmt>
        <c:idx val="0"/>
        <c:dLbl>
          <c:idx val="0"/>
          <c:dLblPos val="inEnd"/>
          <c:showLegendKey val="0"/>
          <c:showVal val="1"/>
          <c:showCatName val="0"/>
          <c:showSerName val="0"/>
          <c:showPercent val="1"/>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1"/>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1"/>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1"/>
          <c:showBubbleSize val="0"/>
          <c:extLst>
            <c:ext xmlns:c15="http://schemas.microsoft.com/office/drawing/2012/chart" uri="{CE6537A1-D6FC-4f65-9D91-7224C49458BB}"/>
          </c:extLst>
        </c:dLbl>
      </c:pivotFmt>
      <c:pivotFmt>
        <c:idx val="4"/>
      </c:pivotFmt>
      <c:pivotFmt>
        <c:idx val="5"/>
      </c:pivotFmt>
      <c:pivotFmt>
        <c:idx val="6"/>
      </c:pivotFmt>
      <c:pivotFmt>
        <c:idx val="7"/>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8"/>
        <c:spPr>
          <a:gradFill rotWithShape="1">
            <a:gsLst>
              <a:gs pos="0">
                <a:schemeClr val="accent2">
                  <a:shade val="42000"/>
                  <a:shade val="51000"/>
                  <a:satMod val="130000"/>
                </a:schemeClr>
              </a:gs>
              <a:gs pos="80000">
                <a:schemeClr val="accent2">
                  <a:shade val="42000"/>
                  <a:shade val="93000"/>
                  <a:satMod val="130000"/>
                </a:schemeClr>
              </a:gs>
              <a:gs pos="100000">
                <a:schemeClr val="accent2">
                  <a:shade val="42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2">
                  <a:shade val="55000"/>
                  <a:shade val="51000"/>
                  <a:satMod val="130000"/>
                </a:schemeClr>
              </a:gs>
              <a:gs pos="80000">
                <a:schemeClr val="accent2">
                  <a:shade val="55000"/>
                  <a:shade val="93000"/>
                  <a:satMod val="130000"/>
                </a:schemeClr>
              </a:gs>
              <a:gs pos="100000">
                <a:schemeClr val="accent2">
                  <a:shade val="5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2">
                  <a:shade val="68000"/>
                  <a:shade val="51000"/>
                  <a:satMod val="130000"/>
                </a:schemeClr>
              </a:gs>
              <a:gs pos="80000">
                <a:schemeClr val="accent2">
                  <a:shade val="68000"/>
                  <a:shade val="93000"/>
                  <a:satMod val="130000"/>
                </a:schemeClr>
              </a:gs>
              <a:gs pos="100000">
                <a:schemeClr val="accent2">
                  <a:shade val="68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2">
                  <a:shade val="80000"/>
                  <a:shade val="51000"/>
                  <a:satMod val="130000"/>
                </a:schemeClr>
              </a:gs>
              <a:gs pos="80000">
                <a:schemeClr val="accent2">
                  <a:shade val="80000"/>
                  <a:shade val="93000"/>
                  <a:satMod val="130000"/>
                </a:schemeClr>
              </a:gs>
              <a:gs pos="100000">
                <a:schemeClr val="accent2">
                  <a:shade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2">
                  <a:shade val="93000"/>
                  <a:shade val="51000"/>
                  <a:satMod val="130000"/>
                </a:schemeClr>
              </a:gs>
              <a:gs pos="80000">
                <a:schemeClr val="accent2">
                  <a:shade val="93000"/>
                  <a:shade val="93000"/>
                  <a:satMod val="130000"/>
                </a:schemeClr>
              </a:gs>
              <a:gs pos="100000">
                <a:schemeClr val="accent2">
                  <a:shade val="93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
        <c:spPr>
          <a:gradFill rotWithShape="1">
            <a:gsLst>
              <a:gs pos="0">
                <a:schemeClr val="accent2">
                  <a:tint val="94000"/>
                  <a:shade val="51000"/>
                  <a:satMod val="130000"/>
                </a:schemeClr>
              </a:gs>
              <a:gs pos="80000">
                <a:schemeClr val="accent2">
                  <a:tint val="94000"/>
                  <a:shade val="93000"/>
                  <a:satMod val="130000"/>
                </a:schemeClr>
              </a:gs>
              <a:gs pos="100000">
                <a:schemeClr val="accent2">
                  <a:tint val="94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spPr>
          <a:gradFill rotWithShape="1">
            <a:gsLst>
              <a:gs pos="0">
                <a:schemeClr val="accent2">
                  <a:tint val="81000"/>
                  <a:shade val="51000"/>
                  <a:satMod val="130000"/>
                </a:schemeClr>
              </a:gs>
              <a:gs pos="80000">
                <a:schemeClr val="accent2">
                  <a:tint val="81000"/>
                  <a:shade val="93000"/>
                  <a:satMod val="130000"/>
                </a:schemeClr>
              </a:gs>
              <a:gs pos="100000">
                <a:schemeClr val="accent2">
                  <a:tint val="81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5"/>
        <c:spPr>
          <a:gradFill rotWithShape="1">
            <a:gsLst>
              <a:gs pos="0">
                <a:schemeClr val="accent2">
                  <a:tint val="69000"/>
                  <a:shade val="51000"/>
                  <a:satMod val="130000"/>
                </a:schemeClr>
              </a:gs>
              <a:gs pos="80000">
                <a:schemeClr val="accent2">
                  <a:tint val="69000"/>
                  <a:shade val="93000"/>
                  <a:satMod val="130000"/>
                </a:schemeClr>
              </a:gs>
              <a:gs pos="100000">
                <a:schemeClr val="accent2">
                  <a:tint val="69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6"/>
        <c:spPr>
          <a:gradFill rotWithShape="1">
            <a:gsLst>
              <a:gs pos="0">
                <a:schemeClr val="accent2">
                  <a:tint val="56000"/>
                  <a:shade val="51000"/>
                  <a:satMod val="130000"/>
                </a:schemeClr>
              </a:gs>
              <a:gs pos="80000">
                <a:schemeClr val="accent2">
                  <a:tint val="56000"/>
                  <a:shade val="93000"/>
                  <a:satMod val="130000"/>
                </a:schemeClr>
              </a:gs>
              <a:gs pos="100000">
                <a:schemeClr val="accent2">
                  <a:tint val="56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7"/>
        <c:spPr>
          <a:gradFill rotWithShape="1">
            <a:gsLst>
              <a:gs pos="0">
                <a:schemeClr val="accent2">
                  <a:tint val="43000"/>
                  <a:shade val="51000"/>
                  <a:satMod val="130000"/>
                </a:schemeClr>
              </a:gs>
              <a:gs pos="80000">
                <a:schemeClr val="accent2">
                  <a:tint val="43000"/>
                  <a:shade val="93000"/>
                  <a:satMod val="130000"/>
                </a:schemeClr>
              </a:gs>
              <a:gs pos="100000">
                <a:schemeClr val="accent2">
                  <a:tint val="43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8"/>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9"/>
        <c:spPr>
          <a:gradFill rotWithShape="1">
            <a:gsLst>
              <a:gs pos="0">
                <a:schemeClr val="accent2">
                  <a:shade val="42000"/>
                  <a:shade val="51000"/>
                  <a:satMod val="130000"/>
                </a:schemeClr>
              </a:gs>
              <a:gs pos="80000">
                <a:schemeClr val="accent2">
                  <a:shade val="42000"/>
                  <a:shade val="93000"/>
                  <a:satMod val="130000"/>
                </a:schemeClr>
              </a:gs>
              <a:gs pos="100000">
                <a:schemeClr val="accent2">
                  <a:shade val="42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0"/>
        <c:spPr>
          <a:gradFill rotWithShape="1">
            <a:gsLst>
              <a:gs pos="0">
                <a:schemeClr val="accent2">
                  <a:shade val="55000"/>
                  <a:shade val="51000"/>
                  <a:satMod val="130000"/>
                </a:schemeClr>
              </a:gs>
              <a:gs pos="80000">
                <a:schemeClr val="accent2">
                  <a:shade val="55000"/>
                  <a:shade val="93000"/>
                  <a:satMod val="130000"/>
                </a:schemeClr>
              </a:gs>
              <a:gs pos="100000">
                <a:schemeClr val="accent2">
                  <a:shade val="5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1"/>
        <c:spPr>
          <a:gradFill rotWithShape="1">
            <a:gsLst>
              <a:gs pos="0">
                <a:schemeClr val="accent2">
                  <a:shade val="68000"/>
                  <a:shade val="51000"/>
                  <a:satMod val="130000"/>
                </a:schemeClr>
              </a:gs>
              <a:gs pos="80000">
                <a:schemeClr val="accent2">
                  <a:shade val="68000"/>
                  <a:shade val="93000"/>
                  <a:satMod val="130000"/>
                </a:schemeClr>
              </a:gs>
              <a:gs pos="100000">
                <a:schemeClr val="accent2">
                  <a:shade val="68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2"/>
        <c:spPr>
          <a:gradFill rotWithShape="1">
            <a:gsLst>
              <a:gs pos="0">
                <a:schemeClr val="accent2">
                  <a:shade val="80000"/>
                  <a:shade val="51000"/>
                  <a:satMod val="130000"/>
                </a:schemeClr>
              </a:gs>
              <a:gs pos="80000">
                <a:schemeClr val="accent2">
                  <a:shade val="80000"/>
                  <a:shade val="93000"/>
                  <a:satMod val="130000"/>
                </a:schemeClr>
              </a:gs>
              <a:gs pos="100000">
                <a:schemeClr val="accent2">
                  <a:shade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3"/>
        <c:spPr>
          <a:gradFill rotWithShape="1">
            <a:gsLst>
              <a:gs pos="0">
                <a:schemeClr val="accent2">
                  <a:shade val="93000"/>
                  <a:shade val="51000"/>
                  <a:satMod val="130000"/>
                </a:schemeClr>
              </a:gs>
              <a:gs pos="80000">
                <a:schemeClr val="accent2">
                  <a:shade val="93000"/>
                  <a:shade val="93000"/>
                  <a:satMod val="130000"/>
                </a:schemeClr>
              </a:gs>
              <a:gs pos="100000">
                <a:schemeClr val="accent2">
                  <a:shade val="93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4"/>
        <c:spPr>
          <a:gradFill rotWithShape="1">
            <a:gsLst>
              <a:gs pos="0">
                <a:schemeClr val="accent2">
                  <a:tint val="94000"/>
                  <a:shade val="51000"/>
                  <a:satMod val="130000"/>
                </a:schemeClr>
              </a:gs>
              <a:gs pos="80000">
                <a:schemeClr val="accent2">
                  <a:tint val="94000"/>
                  <a:shade val="93000"/>
                  <a:satMod val="130000"/>
                </a:schemeClr>
              </a:gs>
              <a:gs pos="100000">
                <a:schemeClr val="accent2">
                  <a:tint val="94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5"/>
        <c:spPr>
          <a:gradFill rotWithShape="1">
            <a:gsLst>
              <a:gs pos="0">
                <a:schemeClr val="accent2">
                  <a:tint val="81000"/>
                  <a:shade val="51000"/>
                  <a:satMod val="130000"/>
                </a:schemeClr>
              </a:gs>
              <a:gs pos="80000">
                <a:schemeClr val="accent2">
                  <a:tint val="81000"/>
                  <a:shade val="93000"/>
                  <a:satMod val="130000"/>
                </a:schemeClr>
              </a:gs>
              <a:gs pos="100000">
                <a:schemeClr val="accent2">
                  <a:tint val="81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6"/>
        <c:spPr>
          <a:gradFill rotWithShape="1">
            <a:gsLst>
              <a:gs pos="0">
                <a:schemeClr val="accent2">
                  <a:tint val="69000"/>
                  <a:shade val="51000"/>
                  <a:satMod val="130000"/>
                </a:schemeClr>
              </a:gs>
              <a:gs pos="80000">
                <a:schemeClr val="accent2">
                  <a:tint val="69000"/>
                  <a:shade val="93000"/>
                  <a:satMod val="130000"/>
                </a:schemeClr>
              </a:gs>
              <a:gs pos="100000">
                <a:schemeClr val="accent2">
                  <a:tint val="69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7"/>
        <c:spPr>
          <a:gradFill rotWithShape="1">
            <a:gsLst>
              <a:gs pos="0">
                <a:schemeClr val="accent2">
                  <a:tint val="56000"/>
                  <a:shade val="51000"/>
                  <a:satMod val="130000"/>
                </a:schemeClr>
              </a:gs>
              <a:gs pos="80000">
                <a:schemeClr val="accent2">
                  <a:tint val="56000"/>
                  <a:shade val="93000"/>
                  <a:satMod val="130000"/>
                </a:schemeClr>
              </a:gs>
              <a:gs pos="100000">
                <a:schemeClr val="accent2">
                  <a:tint val="56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8"/>
        <c:spPr>
          <a:gradFill rotWithShape="1">
            <a:gsLst>
              <a:gs pos="0">
                <a:schemeClr val="accent2">
                  <a:tint val="43000"/>
                  <a:shade val="51000"/>
                  <a:satMod val="130000"/>
                </a:schemeClr>
              </a:gs>
              <a:gs pos="80000">
                <a:schemeClr val="accent2">
                  <a:tint val="43000"/>
                  <a:shade val="93000"/>
                  <a:satMod val="130000"/>
                </a:schemeClr>
              </a:gs>
              <a:gs pos="100000">
                <a:schemeClr val="accent2">
                  <a:tint val="43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9"/>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30"/>
        <c:spPr>
          <a:gradFill rotWithShape="1">
            <a:gsLst>
              <a:gs pos="0">
                <a:schemeClr val="accent2">
                  <a:shade val="42000"/>
                  <a:shade val="51000"/>
                  <a:satMod val="130000"/>
                </a:schemeClr>
              </a:gs>
              <a:gs pos="80000">
                <a:schemeClr val="accent2">
                  <a:shade val="42000"/>
                  <a:shade val="93000"/>
                  <a:satMod val="130000"/>
                </a:schemeClr>
              </a:gs>
              <a:gs pos="100000">
                <a:schemeClr val="accent2">
                  <a:shade val="42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1"/>
        <c:spPr>
          <a:gradFill rotWithShape="1">
            <a:gsLst>
              <a:gs pos="0">
                <a:schemeClr val="accent2">
                  <a:shade val="55000"/>
                  <a:shade val="51000"/>
                  <a:satMod val="130000"/>
                </a:schemeClr>
              </a:gs>
              <a:gs pos="80000">
                <a:schemeClr val="accent2">
                  <a:shade val="55000"/>
                  <a:shade val="93000"/>
                  <a:satMod val="130000"/>
                </a:schemeClr>
              </a:gs>
              <a:gs pos="100000">
                <a:schemeClr val="accent2">
                  <a:shade val="5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2"/>
        <c:spPr>
          <a:gradFill rotWithShape="1">
            <a:gsLst>
              <a:gs pos="0">
                <a:schemeClr val="accent2">
                  <a:shade val="68000"/>
                  <a:shade val="51000"/>
                  <a:satMod val="130000"/>
                </a:schemeClr>
              </a:gs>
              <a:gs pos="80000">
                <a:schemeClr val="accent2">
                  <a:shade val="68000"/>
                  <a:shade val="93000"/>
                  <a:satMod val="130000"/>
                </a:schemeClr>
              </a:gs>
              <a:gs pos="100000">
                <a:schemeClr val="accent2">
                  <a:shade val="68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3"/>
        <c:spPr>
          <a:gradFill rotWithShape="1">
            <a:gsLst>
              <a:gs pos="0">
                <a:schemeClr val="accent2">
                  <a:shade val="80000"/>
                  <a:shade val="51000"/>
                  <a:satMod val="130000"/>
                </a:schemeClr>
              </a:gs>
              <a:gs pos="80000">
                <a:schemeClr val="accent2">
                  <a:shade val="80000"/>
                  <a:shade val="93000"/>
                  <a:satMod val="130000"/>
                </a:schemeClr>
              </a:gs>
              <a:gs pos="100000">
                <a:schemeClr val="accent2">
                  <a:shade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4"/>
        <c:spPr>
          <a:gradFill rotWithShape="1">
            <a:gsLst>
              <a:gs pos="0">
                <a:schemeClr val="accent2">
                  <a:shade val="93000"/>
                  <a:shade val="51000"/>
                  <a:satMod val="130000"/>
                </a:schemeClr>
              </a:gs>
              <a:gs pos="80000">
                <a:schemeClr val="accent2">
                  <a:shade val="93000"/>
                  <a:shade val="93000"/>
                  <a:satMod val="130000"/>
                </a:schemeClr>
              </a:gs>
              <a:gs pos="100000">
                <a:schemeClr val="accent2">
                  <a:shade val="93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5"/>
        <c:spPr>
          <a:gradFill rotWithShape="1">
            <a:gsLst>
              <a:gs pos="0">
                <a:schemeClr val="accent2">
                  <a:tint val="94000"/>
                  <a:shade val="51000"/>
                  <a:satMod val="130000"/>
                </a:schemeClr>
              </a:gs>
              <a:gs pos="80000">
                <a:schemeClr val="accent2">
                  <a:tint val="94000"/>
                  <a:shade val="93000"/>
                  <a:satMod val="130000"/>
                </a:schemeClr>
              </a:gs>
              <a:gs pos="100000">
                <a:schemeClr val="accent2">
                  <a:tint val="94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6"/>
        <c:spPr>
          <a:gradFill rotWithShape="1">
            <a:gsLst>
              <a:gs pos="0">
                <a:schemeClr val="accent2">
                  <a:tint val="81000"/>
                  <a:shade val="51000"/>
                  <a:satMod val="130000"/>
                </a:schemeClr>
              </a:gs>
              <a:gs pos="80000">
                <a:schemeClr val="accent2">
                  <a:tint val="81000"/>
                  <a:shade val="93000"/>
                  <a:satMod val="130000"/>
                </a:schemeClr>
              </a:gs>
              <a:gs pos="100000">
                <a:schemeClr val="accent2">
                  <a:tint val="81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7"/>
        <c:spPr>
          <a:gradFill rotWithShape="1">
            <a:gsLst>
              <a:gs pos="0">
                <a:schemeClr val="accent2">
                  <a:tint val="69000"/>
                  <a:shade val="51000"/>
                  <a:satMod val="130000"/>
                </a:schemeClr>
              </a:gs>
              <a:gs pos="80000">
                <a:schemeClr val="accent2">
                  <a:tint val="69000"/>
                  <a:shade val="93000"/>
                  <a:satMod val="130000"/>
                </a:schemeClr>
              </a:gs>
              <a:gs pos="100000">
                <a:schemeClr val="accent2">
                  <a:tint val="69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8"/>
        <c:spPr>
          <a:gradFill rotWithShape="1">
            <a:gsLst>
              <a:gs pos="0">
                <a:schemeClr val="accent2">
                  <a:tint val="56000"/>
                  <a:shade val="51000"/>
                  <a:satMod val="130000"/>
                </a:schemeClr>
              </a:gs>
              <a:gs pos="80000">
                <a:schemeClr val="accent2">
                  <a:tint val="56000"/>
                  <a:shade val="93000"/>
                  <a:satMod val="130000"/>
                </a:schemeClr>
              </a:gs>
              <a:gs pos="100000">
                <a:schemeClr val="accent2">
                  <a:tint val="56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9"/>
        <c:spPr>
          <a:gradFill rotWithShape="1">
            <a:gsLst>
              <a:gs pos="0">
                <a:schemeClr val="accent2">
                  <a:tint val="43000"/>
                  <a:shade val="51000"/>
                  <a:satMod val="130000"/>
                </a:schemeClr>
              </a:gs>
              <a:gs pos="80000">
                <a:schemeClr val="accent2">
                  <a:tint val="43000"/>
                  <a:shade val="93000"/>
                  <a:satMod val="130000"/>
                </a:schemeClr>
              </a:gs>
              <a:gs pos="100000">
                <a:schemeClr val="accent2">
                  <a:tint val="43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41"/>
        <c:spPr>
          <a:gradFill rotWithShape="1">
            <a:gsLst>
              <a:gs pos="0">
                <a:schemeClr val="accent2">
                  <a:shade val="42000"/>
                  <a:shade val="51000"/>
                  <a:satMod val="130000"/>
                </a:schemeClr>
              </a:gs>
              <a:gs pos="80000">
                <a:schemeClr val="accent2">
                  <a:shade val="42000"/>
                  <a:shade val="93000"/>
                  <a:satMod val="130000"/>
                </a:schemeClr>
              </a:gs>
              <a:gs pos="100000">
                <a:schemeClr val="accent2">
                  <a:shade val="42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2"/>
        <c:spPr>
          <a:gradFill rotWithShape="1">
            <a:gsLst>
              <a:gs pos="0">
                <a:schemeClr val="accent2">
                  <a:shade val="55000"/>
                  <a:shade val="51000"/>
                  <a:satMod val="130000"/>
                </a:schemeClr>
              </a:gs>
              <a:gs pos="80000">
                <a:schemeClr val="accent2">
                  <a:shade val="55000"/>
                  <a:shade val="93000"/>
                  <a:satMod val="130000"/>
                </a:schemeClr>
              </a:gs>
              <a:gs pos="100000">
                <a:schemeClr val="accent2">
                  <a:shade val="5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3"/>
        <c:spPr>
          <a:gradFill rotWithShape="1">
            <a:gsLst>
              <a:gs pos="0">
                <a:schemeClr val="accent2">
                  <a:shade val="68000"/>
                  <a:shade val="51000"/>
                  <a:satMod val="130000"/>
                </a:schemeClr>
              </a:gs>
              <a:gs pos="80000">
                <a:schemeClr val="accent2">
                  <a:shade val="68000"/>
                  <a:shade val="93000"/>
                  <a:satMod val="130000"/>
                </a:schemeClr>
              </a:gs>
              <a:gs pos="100000">
                <a:schemeClr val="accent2">
                  <a:shade val="68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4"/>
        <c:spPr>
          <a:gradFill rotWithShape="1">
            <a:gsLst>
              <a:gs pos="0">
                <a:schemeClr val="accent2">
                  <a:shade val="80000"/>
                  <a:shade val="51000"/>
                  <a:satMod val="130000"/>
                </a:schemeClr>
              </a:gs>
              <a:gs pos="80000">
                <a:schemeClr val="accent2">
                  <a:shade val="80000"/>
                  <a:shade val="93000"/>
                  <a:satMod val="130000"/>
                </a:schemeClr>
              </a:gs>
              <a:gs pos="100000">
                <a:schemeClr val="accent2">
                  <a:shade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5"/>
        <c:spPr>
          <a:gradFill rotWithShape="1">
            <a:gsLst>
              <a:gs pos="0">
                <a:schemeClr val="accent2">
                  <a:shade val="93000"/>
                  <a:shade val="51000"/>
                  <a:satMod val="130000"/>
                </a:schemeClr>
              </a:gs>
              <a:gs pos="80000">
                <a:schemeClr val="accent2">
                  <a:shade val="93000"/>
                  <a:shade val="93000"/>
                  <a:satMod val="130000"/>
                </a:schemeClr>
              </a:gs>
              <a:gs pos="100000">
                <a:schemeClr val="accent2">
                  <a:shade val="93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6"/>
        <c:spPr>
          <a:gradFill rotWithShape="1">
            <a:gsLst>
              <a:gs pos="0">
                <a:schemeClr val="accent2">
                  <a:tint val="94000"/>
                  <a:shade val="51000"/>
                  <a:satMod val="130000"/>
                </a:schemeClr>
              </a:gs>
              <a:gs pos="80000">
                <a:schemeClr val="accent2">
                  <a:tint val="94000"/>
                  <a:shade val="93000"/>
                  <a:satMod val="130000"/>
                </a:schemeClr>
              </a:gs>
              <a:gs pos="100000">
                <a:schemeClr val="accent2">
                  <a:tint val="94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7"/>
        <c:spPr>
          <a:gradFill rotWithShape="1">
            <a:gsLst>
              <a:gs pos="0">
                <a:schemeClr val="accent2">
                  <a:tint val="81000"/>
                  <a:shade val="51000"/>
                  <a:satMod val="130000"/>
                </a:schemeClr>
              </a:gs>
              <a:gs pos="80000">
                <a:schemeClr val="accent2">
                  <a:tint val="81000"/>
                  <a:shade val="93000"/>
                  <a:satMod val="130000"/>
                </a:schemeClr>
              </a:gs>
              <a:gs pos="100000">
                <a:schemeClr val="accent2">
                  <a:tint val="81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8"/>
        <c:spPr>
          <a:gradFill rotWithShape="1">
            <a:gsLst>
              <a:gs pos="0">
                <a:schemeClr val="accent2">
                  <a:tint val="69000"/>
                  <a:shade val="51000"/>
                  <a:satMod val="130000"/>
                </a:schemeClr>
              </a:gs>
              <a:gs pos="80000">
                <a:schemeClr val="accent2">
                  <a:tint val="69000"/>
                  <a:shade val="93000"/>
                  <a:satMod val="130000"/>
                </a:schemeClr>
              </a:gs>
              <a:gs pos="100000">
                <a:schemeClr val="accent2">
                  <a:tint val="69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9"/>
        <c:spPr>
          <a:gradFill rotWithShape="1">
            <a:gsLst>
              <a:gs pos="0">
                <a:schemeClr val="accent2">
                  <a:tint val="56000"/>
                  <a:shade val="51000"/>
                  <a:satMod val="130000"/>
                </a:schemeClr>
              </a:gs>
              <a:gs pos="80000">
                <a:schemeClr val="accent2">
                  <a:tint val="56000"/>
                  <a:shade val="93000"/>
                  <a:satMod val="130000"/>
                </a:schemeClr>
              </a:gs>
              <a:gs pos="100000">
                <a:schemeClr val="accent2">
                  <a:tint val="56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0"/>
        <c:spPr>
          <a:gradFill rotWithShape="1">
            <a:gsLst>
              <a:gs pos="0">
                <a:schemeClr val="accent2">
                  <a:tint val="43000"/>
                  <a:shade val="51000"/>
                  <a:satMod val="130000"/>
                </a:schemeClr>
              </a:gs>
              <a:gs pos="80000">
                <a:schemeClr val="accent2">
                  <a:tint val="43000"/>
                  <a:shade val="93000"/>
                  <a:satMod val="130000"/>
                </a:schemeClr>
              </a:gs>
              <a:gs pos="100000">
                <a:schemeClr val="accent2">
                  <a:tint val="43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4"/>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5"/>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7"/>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8"/>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9"/>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61"/>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2"/>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3"/>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6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s>
    <c:plotArea>
      <c:layout/>
      <c:pieChart>
        <c:varyColors val="1"/>
        <c:ser>
          <c:idx val="0"/>
          <c:order val="0"/>
          <c:tx>
            <c:strRef>
              <c:f>pivot!$B$4:$B$5</c:f>
              <c:strCache>
                <c:ptCount val="1"/>
                <c:pt idx="0">
                  <c:v>Clothing</c:v>
                </c:pt>
              </c:strCache>
            </c:strRef>
          </c:tx>
          <c:dPt>
            <c:idx val="0"/>
            <c:bubble3D val="0"/>
            <c:spPr>
              <a:gradFill rotWithShape="1">
                <a:gsLst>
                  <a:gs pos="0">
                    <a:schemeClr val="accent2">
                      <a:shade val="42000"/>
                      <a:shade val="51000"/>
                      <a:satMod val="130000"/>
                    </a:schemeClr>
                  </a:gs>
                  <a:gs pos="80000">
                    <a:schemeClr val="accent2">
                      <a:shade val="42000"/>
                      <a:shade val="93000"/>
                      <a:satMod val="130000"/>
                    </a:schemeClr>
                  </a:gs>
                  <a:gs pos="100000">
                    <a:schemeClr val="accent2">
                      <a:shade val="42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3762-4F8D-A5D7-A5EBB053CB69}"/>
              </c:ext>
            </c:extLst>
          </c:dPt>
          <c:dPt>
            <c:idx val="1"/>
            <c:bubble3D val="0"/>
            <c:spPr>
              <a:gradFill rotWithShape="1">
                <a:gsLst>
                  <a:gs pos="0">
                    <a:schemeClr val="accent2">
                      <a:shade val="55000"/>
                      <a:shade val="51000"/>
                      <a:satMod val="130000"/>
                    </a:schemeClr>
                  </a:gs>
                  <a:gs pos="80000">
                    <a:schemeClr val="accent2">
                      <a:shade val="55000"/>
                      <a:shade val="93000"/>
                      <a:satMod val="130000"/>
                    </a:schemeClr>
                  </a:gs>
                  <a:gs pos="100000">
                    <a:schemeClr val="accent2">
                      <a:shade val="5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3762-4F8D-A5D7-A5EBB053CB69}"/>
              </c:ext>
            </c:extLst>
          </c:dPt>
          <c:dPt>
            <c:idx val="2"/>
            <c:bubble3D val="0"/>
            <c:spPr>
              <a:gradFill rotWithShape="1">
                <a:gsLst>
                  <a:gs pos="0">
                    <a:schemeClr val="accent2">
                      <a:shade val="68000"/>
                      <a:shade val="51000"/>
                      <a:satMod val="130000"/>
                    </a:schemeClr>
                  </a:gs>
                  <a:gs pos="80000">
                    <a:schemeClr val="accent2">
                      <a:shade val="68000"/>
                      <a:shade val="93000"/>
                      <a:satMod val="130000"/>
                    </a:schemeClr>
                  </a:gs>
                  <a:gs pos="100000">
                    <a:schemeClr val="accent2">
                      <a:shade val="68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3762-4F8D-A5D7-A5EBB053CB69}"/>
              </c:ext>
            </c:extLst>
          </c:dPt>
          <c:dPt>
            <c:idx val="3"/>
            <c:bubble3D val="0"/>
            <c:spPr>
              <a:gradFill rotWithShape="1">
                <a:gsLst>
                  <a:gs pos="0">
                    <a:schemeClr val="accent2">
                      <a:shade val="80000"/>
                      <a:shade val="51000"/>
                      <a:satMod val="130000"/>
                    </a:schemeClr>
                  </a:gs>
                  <a:gs pos="80000">
                    <a:schemeClr val="accent2">
                      <a:shade val="80000"/>
                      <a:shade val="93000"/>
                      <a:satMod val="130000"/>
                    </a:schemeClr>
                  </a:gs>
                  <a:gs pos="100000">
                    <a:schemeClr val="accent2">
                      <a:shade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3762-4F8D-A5D7-A5EBB053CB69}"/>
              </c:ext>
            </c:extLst>
          </c:dPt>
          <c:dPt>
            <c:idx val="4"/>
            <c:bubble3D val="0"/>
            <c:spPr>
              <a:gradFill rotWithShape="1">
                <a:gsLst>
                  <a:gs pos="0">
                    <a:schemeClr val="accent2">
                      <a:shade val="93000"/>
                      <a:shade val="51000"/>
                      <a:satMod val="130000"/>
                    </a:schemeClr>
                  </a:gs>
                  <a:gs pos="80000">
                    <a:schemeClr val="accent2">
                      <a:shade val="93000"/>
                      <a:shade val="93000"/>
                      <a:satMod val="130000"/>
                    </a:schemeClr>
                  </a:gs>
                  <a:gs pos="100000">
                    <a:schemeClr val="accent2">
                      <a:shade val="93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3762-4F8D-A5D7-A5EBB053CB69}"/>
              </c:ext>
            </c:extLst>
          </c:dPt>
          <c:dPt>
            <c:idx val="5"/>
            <c:bubble3D val="0"/>
            <c:spPr>
              <a:gradFill rotWithShape="1">
                <a:gsLst>
                  <a:gs pos="0">
                    <a:schemeClr val="accent2">
                      <a:tint val="94000"/>
                      <a:shade val="51000"/>
                      <a:satMod val="130000"/>
                    </a:schemeClr>
                  </a:gs>
                  <a:gs pos="80000">
                    <a:schemeClr val="accent2">
                      <a:tint val="94000"/>
                      <a:shade val="93000"/>
                      <a:satMod val="130000"/>
                    </a:schemeClr>
                  </a:gs>
                  <a:gs pos="100000">
                    <a:schemeClr val="accent2">
                      <a:tint val="94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3762-4F8D-A5D7-A5EBB053CB69}"/>
              </c:ext>
            </c:extLst>
          </c:dPt>
          <c:dPt>
            <c:idx val="6"/>
            <c:bubble3D val="0"/>
            <c:spPr>
              <a:gradFill rotWithShape="1">
                <a:gsLst>
                  <a:gs pos="0">
                    <a:schemeClr val="accent2">
                      <a:tint val="81000"/>
                      <a:shade val="51000"/>
                      <a:satMod val="130000"/>
                    </a:schemeClr>
                  </a:gs>
                  <a:gs pos="80000">
                    <a:schemeClr val="accent2">
                      <a:tint val="81000"/>
                      <a:shade val="93000"/>
                      <a:satMod val="130000"/>
                    </a:schemeClr>
                  </a:gs>
                  <a:gs pos="100000">
                    <a:schemeClr val="accent2">
                      <a:tint val="81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D-3762-4F8D-A5D7-A5EBB053CB69}"/>
              </c:ext>
            </c:extLst>
          </c:dPt>
          <c:dPt>
            <c:idx val="7"/>
            <c:bubble3D val="0"/>
            <c:spPr>
              <a:gradFill rotWithShape="1">
                <a:gsLst>
                  <a:gs pos="0">
                    <a:schemeClr val="accent2">
                      <a:tint val="69000"/>
                      <a:shade val="51000"/>
                      <a:satMod val="130000"/>
                    </a:schemeClr>
                  </a:gs>
                  <a:gs pos="80000">
                    <a:schemeClr val="accent2">
                      <a:tint val="69000"/>
                      <a:shade val="93000"/>
                      <a:satMod val="130000"/>
                    </a:schemeClr>
                  </a:gs>
                  <a:gs pos="100000">
                    <a:schemeClr val="accent2">
                      <a:tint val="69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F-3762-4F8D-A5D7-A5EBB053CB69}"/>
              </c:ext>
            </c:extLst>
          </c:dPt>
          <c:dPt>
            <c:idx val="8"/>
            <c:bubble3D val="0"/>
            <c:spPr>
              <a:gradFill rotWithShape="1">
                <a:gsLst>
                  <a:gs pos="0">
                    <a:schemeClr val="accent2">
                      <a:tint val="56000"/>
                      <a:shade val="51000"/>
                      <a:satMod val="130000"/>
                    </a:schemeClr>
                  </a:gs>
                  <a:gs pos="80000">
                    <a:schemeClr val="accent2">
                      <a:tint val="56000"/>
                      <a:shade val="93000"/>
                      <a:satMod val="130000"/>
                    </a:schemeClr>
                  </a:gs>
                  <a:gs pos="100000">
                    <a:schemeClr val="accent2">
                      <a:tint val="56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1-3762-4F8D-A5D7-A5EBB053CB69}"/>
              </c:ext>
            </c:extLst>
          </c:dPt>
          <c:dPt>
            <c:idx val="9"/>
            <c:bubble3D val="0"/>
            <c:spPr>
              <a:gradFill rotWithShape="1">
                <a:gsLst>
                  <a:gs pos="0">
                    <a:schemeClr val="accent2">
                      <a:tint val="43000"/>
                      <a:shade val="51000"/>
                      <a:satMod val="130000"/>
                    </a:schemeClr>
                  </a:gs>
                  <a:gs pos="80000">
                    <a:schemeClr val="accent2">
                      <a:tint val="43000"/>
                      <a:shade val="93000"/>
                      <a:satMod val="130000"/>
                    </a:schemeClr>
                  </a:gs>
                  <a:gs pos="100000">
                    <a:schemeClr val="accent2">
                      <a:tint val="43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3-3762-4F8D-A5D7-A5EBB053CB6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pivot!$A$6:$A$20</c:f>
              <c:multiLvlStrCache>
                <c:ptCount val="10"/>
                <c:lvl>
                  <c:pt idx="0">
                    <c:v>1003</c:v>
                  </c:pt>
                  <c:pt idx="1">
                    <c:v>1007</c:v>
                  </c:pt>
                  <c:pt idx="2">
                    <c:v>1004</c:v>
                  </c:pt>
                  <c:pt idx="3">
                    <c:v>1008</c:v>
                  </c:pt>
                  <c:pt idx="4">
                    <c:v>1002</c:v>
                  </c:pt>
                  <c:pt idx="5">
                    <c:v>1006</c:v>
                  </c:pt>
                  <c:pt idx="6">
                    <c:v>1010</c:v>
                  </c:pt>
                  <c:pt idx="7">
                    <c:v>1001</c:v>
                  </c:pt>
                  <c:pt idx="8">
                    <c:v>1005</c:v>
                  </c:pt>
                  <c:pt idx="9">
                    <c:v>1009</c:v>
                  </c:pt>
                </c:lvl>
                <c:lvl>
                  <c:pt idx="0">
                    <c:v>Aman</c:v>
                  </c:pt>
                  <c:pt idx="2">
                    <c:v>Neha</c:v>
                  </c:pt>
                  <c:pt idx="4">
                    <c:v>Priya</c:v>
                  </c:pt>
                  <c:pt idx="7">
                    <c:v>Raj</c:v>
                  </c:pt>
                </c:lvl>
              </c:multiLvlStrCache>
            </c:multiLvlStrRef>
          </c:cat>
          <c:val>
            <c:numRef>
              <c:f>pivot!$B$6:$B$20</c:f>
              <c:numCache>
                <c:formatCode>General</c:formatCode>
                <c:ptCount val="10"/>
                <c:pt idx="0">
                  <c:v>30000</c:v>
                </c:pt>
                <c:pt idx="8">
                  <c:v>22500</c:v>
                </c:pt>
                <c:pt idx="9">
                  <c:v>15000</c:v>
                </c:pt>
              </c:numCache>
            </c:numRef>
          </c:val>
          <c:extLst>
            <c:ext xmlns:c16="http://schemas.microsoft.com/office/drawing/2014/chart" uri="{C3380CC4-5D6E-409C-BE32-E72D297353CC}">
              <c16:uniqueId val="{00000050-A8FE-40BD-BE67-2F48FB446CA3}"/>
            </c:ext>
          </c:extLst>
        </c:ser>
        <c:ser>
          <c:idx val="1"/>
          <c:order val="1"/>
          <c:tx>
            <c:strRef>
              <c:f>pivot!$C$4:$C$5</c:f>
              <c:strCache>
                <c:ptCount val="1"/>
                <c:pt idx="0">
                  <c:v>Electronics</c:v>
                </c:pt>
              </c:strCache>
            </c:strRef>
          </c:tx>
          <c:dPt>
            <c:idx val="0"/>
            <c:bubble3D val="0"/>
            <c:spPr>
              <a:gradFill rotWithShape="1">
                <a:gsLst>
                  <a:gs pos="0">
                    <a:schemeClr val="accent2">
                      <a:shade val="42000"/>
                      <a:shade val="51000"/>
                      <a:satMod val="130000"/>
                    </a:schemeClr>
                  </a:gs>
                  <a:gs pos="80000">
                    <a:schemeClr val="accent2">
                      <a:shade val="42000"/>
                      <a:shade val="93000"/>
                      <a:satMod val="130000"/>
                    </a:schemeClr>
                  </a:gs>
                  <a:gs pos="100000">
                    <a:schemeClr val="accent2">
                      <a:shade val="42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5-3762-4F8D-A5D7-A5EBB053CB69}"/>
              </c:ext>
            </c:extLst>
          </c:dPt>
          <c:dPt>
            <c:idx val="1"/>
            <c:bubble3D val="0"/>
            <c:spPr>
              <a:gradFill rotWithShape="1">
                <a:gsLst>
                  <a:gs pos="0">
                    <a:schemeClr val="accent2">
                      <a:shade val="55000"/>
                      <a:shade val="51000"/>
                      <a:satMod val="130000"/>
                    </a:schemeClr>
                  </a:gs>
                  <a:gs pos="80000">
                    <a:schemeClr val="accent2">
                      <a:shade val="55000"/>
                      <a:shade val="93000"/>
                      <a:satMod val="130000"/>
                    </a:schemeClr>
                  </a:gs>
                  <a:gs pos="100000">
                    <a:schemeClr val="accent2">
                      <a:shade val="5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7-3762-4F8D-A5D7-A5EBB053CB69}"/>
              </c:ext>
            </c:extLst>
          </c:dPt>
          <c:dPt>
            <c:idx val="2"/>
            <c:bubble3D val="0"/>
            <c:spPr>
              <a:gradFill rotWithShape="1">
                <a:gsLst>
                  <a:gs pos="0">
                    <a:schemeClr val="accent2">
                      <a:shade val="68000"/>
                      <a:shade val="51000"/>
                      <a:satMod val="130000"/>
                    </a:schemeClr>
                  </a:gs>
                  <a:gs pos="80000">
                    <a:schemeClr val="accent2">
                      <a:shade val="68000"/>
                      <a:shade val="93000"/>
                      <a:satMod val="130000"/>
                    </a:schemeClr>
                  </a:gs>
                  <a:gs pos="100000">
                    <a:schemeClr val="accent2">
                      <a:shade val="68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9-3762-4F8D-A5D7-A5EBB053CB69}"/>
              </c:ext>
            </c:extLst>
          </c:dPt>
          <c:dPt>
            <c:idx val="3"/>
            <c:bubble3D val="0"/>
            <c:spPr>
              <a:gradFill rotWithShape="1">
                <a:gsLst>
                  <a:gs pos="0">
                    <a:schemeClr val="accent2">
                      <a:shade val="80000"/>
                      <a:shade val="51000"/>
                      <a:satMod val="130000"/>
                    </a:schemeClr>
                  </a:gs>
                  <a:gs pos="80000">
                    <a:schemeClr val="accent2">
                      <a:shade val="80000"/>
                      <a:shade val="93000"/>
                      <a:satMod val="130000"/>
                    </a:schemeClr>
                  </a:gs>
                  <a:gs pos="100000">
                    <a:schemeClr val="accent2">
                      <a:shade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B-3762-4F8D-A5D7-A5EBB053CB69}"/>
              </c:ext>
            </c:extLst>
          </c:dPt>
          <c:dPt>
            <c:idx val="4"/>
            <c:bubble3D val="0"/>
            <c:spPr>
              <a:gradFill rotWithShape="1">
                <a:gsLst>
                  <a:gs pos="0">
                    <a:schemeClr val="accent2">
                      <a:shade val="93000"/>
                      <a:shade val="51000"/>
                      <a:satMod val="130000"/>
                    </a:schemeClr>
                  </a:gs>
                  <a:gs pos="80000">
                    <a:schemeClr val="accent2">
                      <a:shade val="93000"/>
                      <a:shade val="93000"/>
                      <a:satMod val="130000"/>
                    </a:schemeClr>
                  </a:gs>
                  <a:gs pos="100000">
                    <a:schemeClr val="accent2">
                      <a:shade val="93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D-3762-4F8D-A5D7-A5EBB053CB69}"/>
              </c:ext>
            </c:extLst>
          </c:dPt>
          <c:dPt>
            <c:idx val="5"/>
            <c:bubble3D val="0"/>
            <c:spPr>
              <a:gradFill rotWithShape="1">
                <a:gsLst>
                  <a:gs pos="0">
                    <a:schemeClr val="accent2">
                      <a:tint val="94000"/>
                      <a:shade val="51000"/>
                      <a:satMod val="130000"/>
                    </a:schemeClr>
                  </a:gs>
                  <a:gs pos="80000">
                    <a:schemeClr val="accent2">
                      <a:tint val="94000"/>
                      <a:shade val="93000"/>
                      <a:satMod val="130000"/>
                    </a:schemeClr>
                  </a:gs>
                  <a:gs pos="100000">
                    <a:schemeClr val="accent2">
                      <a:tint val="94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F-3762-4F8D-A5D7-A5EBB053CB69}"/>
              </c:ext>
            </c:extLst>
          </c:dPt>
          <c:dPt>
            <c:idx val="6"/>
            <c:bubble3D val="0"/>
            <c:spPr>
              <a:gradFill rotWithShape="1">
                <a:gsLst>
                  <a:gs pos="0">
                    <a:schemeClr val="accent2">
                      <a:tint val="81000"/>
                      <a:shade val="51000"/>
                      <a:satMod val="130000"/>
                    </a:schemeClr>
                  </a:gs>
                  <a:gs pos="80000">
                    <a:schemeClr val="accent2">
                      <a:tint val="81000"/>
                      <a:shade val="93000"/>
                      <a:satMod val="130000"/>
                    </a:schemeClr>
                  </a:gs>
                  <a:gs pos="100000">
                    <a:schemeClr val="accent2">
                      <a:tint val="81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1-3762-4F8D-A5D7-A5EBB053CB69}"/>
              </c:ext>
            </c:extLst>
          </c:dPt>
          <c:dPt>
            <c:idx val="7"/>
            <c:bubble3D val="0"/>
            <c:spPr>
              <a:gradFill rotWithShape="1">
                <a:gsLst>
                  <a:gs pos="0">
                    <a:schemeClr val="accent2">
                      <a:tint val="69000"/>
                      <a:shade val="51000"/>
                      <a:satMod val="130000"/>
                    </a:schemeClr>
                  </a:gs>
                  <a:gs pos="80000">
                    <a:schemeClr val="accent2">
                      <a:tint val="69000"/>
                      <a:shade val="93000"/>
                      <a:satMod val="130000"/>
                    </a:schemeClr>
                  </a:gs>
                  <a:gs pos="100000">
                    <a:schemeClr val="accent2">
                      <a:tint val="69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3-3762-4F8D-A5D7-A5EBB053CB69}"/>
              </c:ext>
            </c:extLst>
          </c:dPt>
          <c:dPt>
            <c:idx val="8"/>
            <c:bubble3D val="0"/>
            <c:spPr>
              <a:gradFill rotWithShape="1">
                <a:gsLst>
                  <a:gs pos="0">
                    <a:schemeClr val="accent2">
                      <a:tint val="56000"/>
                      <a:shade val="51000"/>
                      <a:satMod val="130000"/>
                    </a:schemeClr>
                  </a:gs>
                  <a:gs pos="80000">
                    <a:schemeClr val="accent2">
                      <a:tint val="56000"/>
                      <a:shade val="93000"/>
                      <a:satMod val="130000"/>
                    </a:schemeClr>
                  </a:gs>
                  <a:gs pos="100000">
                    <a:schemeClr val="accent2">
                      <a:tint val="56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5-3762-4F8D-A5D7-A5EBB053CB69}"/>
              </c:ext>
            </c:extLst>
          </c:dPt>
          <c:dPt>
            <c:idx val="9"/>
            <c:bubble3D val="0"/>
            <c:spPr>
              <a:gradFill rotWithShape="1">
                <a:gsLst>
                  <a:gs pos="0">
                    <a:schemeClr val="accent2">
                      <a:tint val="43000"/>
                      <a:shade val="51000"/>
                      <a:satMod val="130000"/>
                    </a:schemeClr>
                  </a:gs>
                  <a:gs pos="80000">
                    <a:schemeClr val="accent2">
                      <a:tint val="43000"/>
                      <a:shade val="93000"/>
                      <a:satMod val="130000"/>
                    </a:schemeClr>
                  </a:gs>
                  <a:gs pos="100000">
                    <a:schemeClr val="accent2">
                      <a:tint val="43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7-3762-4F8D-A5D7-A5EBB053CB6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pivot!$A$6:$A$20</c:f>
              <c:multiLvlStrCache>
                <c:ptCount val="10"/>
                <c:lvl>
                  <c:pt idx="0">
                    <c:v>1003</c:v>
                  </c:pt>
                  <c:pt idx="1">
                    <c:v>1007</c:v>
                  </c:pt>
                  <c:pt idx="2">
                    <c:v>1004</c:v>
                  </c:pt>
                  <c:pt idx="3">
                    <c:v>1008</c:v>
                  </c:pt>
                  <c:pt idx="4">
                    <c:v>1002</c:v>
                  </c:pt>
                  <c:pt idx="5">
                    <c:v>1006</c:v>
                  </c:pt>
                  <c:pt idx="6">
                    <c:v>1010</c:v>
                  </c:pt>
                  <c:pt idx="7">
                    <c:v>1001</c:v>
                  </c:pt>
                  <c:pt idx="8">
                    <c:v>1005</c:v>
                  </c:pt>
                  <c:pt idx="9">
                    <c:v>1009</c:v>
                  </c:pt>
                </c:lvl>
                <c:lvl>
                  <c:pt idx="0">
                    <c:v>Aman</c:v>
                  </c:pt>
                  <c:pt idx="2">
                    <c:v>Neha</c:v>
                  </c:pt>
                  <c:pt idx="4">
                    <c:v>Priya</c:v>
                  </c:pt>
                  <c:pt idx="7">
                    <c:v>Raj</c:v>
                  </c:pt>
                </c:lvl>
              </c:multiLvlStrCache>
            </c:multiLvlStrRef>
          </c:cat>
          <c:val>
            <c:numRef>
              <c:f>pivot!$C$6:$C$20</c:f>
              <c:numCache>
                <c:formatCode>General</c:formatCode>
                <c:ptCount val="10"/>
                <c:pt idx="1">
                  <c:v>15000</c:v>
                </c:pt>
                <c:pt idx="2">
                  <c:v>17500</c:v>
                </c:pt>
                <c:pt idx="6">
                  <c:v>20000</c:v>
                </c:pt>
                <c:pt idx="7">
                  <c:v>25000</c:v>
                </c:pt>
              </c:numCache>
            </c:numRef>
          </c:val>
          <c:extLst>
            <c:ext xmlns:c16="http://schemas.microsoft.com/office/drawing/2014/chart" uri="{C3380CC4-5D6E-409C-BE32-E72D297353CC}">
              <c16:uniqueId val="{00000051-A8FE-40BD-BE67-2F48FB446CA3}"/>
            </c:ext>
          </c:extLst>
        </c:ser>
        <c:ser>
          <c:idx val="2"/>
          <c:order val="2"/>
          <c:tx>
            <c:strRef>
              <c:f>pivot!$D$4:$D$5</c:f>
              <c:strCache>
                <c:ptCount val="1"/>
                <c:pt idx="0">
                  <c:v>Furniture</c:v>
                </c:pt>
              </c:strCache>
            </c:strRef>
          </c:tx>
          <c:dPt>
            <c:idx val="0"/>
            <c:bubble3D val="0"/>
            <c:spPr>
              <a:gradFill rotWithShape="1">
                <a:gsLst>
                  <a:gs pos="0">
                    <a:schemeClr val="accent2">
                      <a:shade val="42000"/>
                      <a:shade val="51000"/>
                      <a:satMod val="130000"/>
                    </a:schemeClr>
                  </a:gs>
                  <a:gs pos="80000">
                    <a:schemeClr val="accent2">
                      <a:shade val="42000"/>
                      <a:shade val="93000"/>
                      <a:satMod val="130000"/>
                    </a:schemeClr>
                  </a:gs>
                  <a:gs pos="100000">
                    <a:schemeClr val="accent2">
                      <a:shade val="42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9-3762-4F8D-A5D7-A5EBB053CB69}"/>
              </c:ext>
            </c:extLst>
          </c:dPt>
          <c:dPt>
            <c:idx val="1"/>
            <c:bubble3D val="0"/>
            <c:spPr>
              <a:gradFill rotWithShape="1">
                <a:gsLst>
                  <a:gs pos="0">
                    <a:schemeClr val="accent2">
                      <a:shade val="55000"/>
                      <a:shade val="51000"/>
                      <a:satMod val="130000"/>
                    </a:schemeClr>
                  </a:gs>
                  <a:gs pos="80000">
                    <a:schemeClr val="accent2">
                      <a:shade val="55000"/>
                      <a:shade val="93000"/>
                      <a:satMod val="130000"/>
                    </a:schemeClr>
                  </a:gs>
                  <a:gs pos="100000">
                    <a:schemeClr val="accent2">
                      <a:shade val="5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B-3762-4F8D-A5D7-A5EBB053CB69}"/>
              </c:ext>
            </c:extLst>
          </c:dPt>
          <c:dPt>
            <c:idx val="2"/>
            <c:bubble3D val="0"/>
            <c:spPr>
              <a:gradFill rotWithShape="1">
                <a:gsLst>
                  <a:gs pos="0">
                    <a:schemeClr val="accent2">
                      <a:shade val="68000"/>
                      <a:shade val="51000"/>
                      <a:satMod val="130000"/>
                    </a:schemeClr>
                  </a:gs>
                  <a:gs pos="80000">
                    <a:schemeClr val="accent2">
                      <a:shade val="68000"/>
                      <a:shade val="93000"/>
                      <a:satMod val="130000"/>
                    </a:schemeClr>
                  </a:gs>
                  <a:gs pos="100000">
                    <a:schemeClr val="accent2">
                      <a:shade val="68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D-3762-4F8D-A5D7-A5EBB053CB69}"/>
              </c:ext>
            </c:extLst>
          </c:dPt>
          <c:dPt>
            <c:idx val="3"/>
            <c:bubble3D val="0"/>
            <c:spPr>
              <a:gradFill rotWithShape="1">
                <a:gsLst>
                  <a:gs pos="0">
                    <a:schemeClr val="accent2">
                      <a:shade val="80000"/>
                      <a:shade val="51000"/>
                      <a:satMod val="130000"/>
                    </a:schemeClr>
                  </a:gs>
                  <a:gs pos="80000">
                    <a:schemeClr val="accent2">
                      <a:shade val="80000"/>
                      <a:shade val="93000"/>
                      <a:satMod val="130000"/>
                    </a:schemeClr>
                  </a:gs>
                  <a:gs pos="100000">
                    <a:schemeClr val="accent2">
                      <a:shade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F-3762-4F8D-A5D7-A5EBB053CB69}"/>
              </c:ext>
            </c:extLst>
          </c:dPt>
          <c:dPt>
            <c:idx val="4"/>
            <c:bubble3D val="0"/>
            <c:spPr>
              <a:gradFill rotWithShape="1">
                <a:gsLst>
                  <a:gs pos="0">
                    <a:schemeClr val="accent2">
                      <a:shade val="93000"/>
                      <a:shade val="51000"/>
                      <a:satMod val="130000"/>
                    </a:schemeClr>
                  </a:gs>
                  <a:gs pos="80000">
                    <a:schemeClr val="accent2">
                      <a:shade val="93000"/>
                      <a:shade val="93000"/>
                      <a:satMod val="130000"/>
                    </a:schemeClr>
                  </a:gs>
                  <a:gs pos="100000">
                    <a:schemeClr val="accent2">
                      <a:shade val="93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1-3762-4F8D-A5D7-A5EBB053CB69}"/>
              </c:ext>
            </c:extLst>
          </c:dPt>
          <c:dPt>
            <c:idx val="5"/>
            <c:bubble3D val="0"/>
            <c:spPr>
              <a:gradFill rotWithShape="1">
                <a:gsLst>
                  <a:gs pos="0">
                    <a:schemeClr val="accent2">
                      <a:tint val="94000"/>
                      <a:shade val="51000"/>
                      <a:satMod val="130000"/>
                    </a:schemeClr>
                  </a:gs>
                  <a:gs pos="80000">
                    <a:schemeClr val="accent2">
                      <a:tint val="94000"/>
                      <a:shade val="93000"/>
                      <a:satMod val="130000"/>
                    </a:schemeClr>
                  </a:gs>
                  <a:gs pos="100000">
                    <a:schemeClr val="accent2">
                      <a:tint val="94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3-3762-4F8D-A5D7-A5EBB053CB69}"/>
              </c:ext>
            </c:extLst>
          </c:dPt>
          <c:dPt>
            <c:idx val="6"/>
            <c:bubble3D val="0"/>
            <c:spPr>
              <a:gradFill rotWithShape="1">
                <a:gsLst>
                  <a:gs pos="0">
                    <a:schemeClr val="accent2">
                      <a:tint val="81000"/>
                      <a:shade val="51000"/>
                      <a:satMod val="130000"/>
                    </a:schemeClr>
                  </a:gs>
                  <a:gs pos="80000">
                    <a:schemeClr val="accent2">
                      <a:tint val="81000"/>
                      <a:shade val="93000"/>
                      <a:satMod val="130000"/>
                    </a:schemeClr>
                  </a:gs>
                  <a:gs pos="100000">
                    <a:schemeClr val="accent2">
                      <a:tint val="81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5-3762-4F8D-A5D7-A5EBB053CB69}"/>
              </c:ext>
            </c:extLst>
          </c:dPt>
          <c:dPt>
            <c:idx val="7"/>
            <c:bubble3D val="0"/>
            <c:spPr>
              <a:gradFill rotWithShape="1">
                <a:gsLst>
                  <a:gs pos="0">
                    <a:schemeClr val="accent2">
                      <a:tint val="69000"/>
                      <a:shade val="51000"/>
                      <a:satMod val="130000"/>
                    </a:schemeClr>
                  </a:gs>
                  <a:gs pos="80000">
                    <a:schemeClr val="accent2">
                      <a:tint val="69000"/>
                      <a:shade val="93000"/>
                      <a:satMod val="130000"/>
                    </a:schemeClr>
                  </a:gs>
                  <a:gs pos="100000">
                    <a:schemeClr val="accent2">
                      <a:tint val="69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7-3762-4F8D-A5D7-A5EBB053CB69}"/>
              </c:ext>
            </c:extLst>
          </c:dPt>
          <c:dPt>
            <c:idx val="8"/>
            <c:bubble3D val="0"/>
            <c:spPr>
              <a:gradFill rotWithShape="1">
                <a:gsLst>
                  <a:gs pos="0">
                    <a:schemeClr val="accent2">
                      <a:tint val="56000"/>
                      <a:shade val="51000"/>
                      <a:satMod val="130000"/>
                    </a:schemeClr>
                  </a:gs>
                  <a:gs pos="80000">
                    <a:schemeClr val="accent2">
                      <a:tint val="56000"/>
                      <a:shade val="93000"/>
                      <a:satMod val="130000"/>
                    </a:schemeClr>
                  </a:gs>
                  <a:gs pos="100000">
                    <a:schemeClr val="accent2">
                      <a:tint val="56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9-3762-4F8D-A5D7-A5EBB053CB69}"/>
              </c:ext>
            </c:extLst>
          </c:dPt>
          <c:dPt>
            <c:idx val="9"/>
            <c:bubble3D val="0"/>
            <c:spPr>
              <a:gradFill rotWithShape="1">
                <a:gsLst>
                  <a:gs pos="0">
                    <a:schemeClr val="accent2">
                      <a:tint val="43000"/>
                      <a:shade val="51000"/>
                      <a:satMod val="130000"/>
                    </a:schemeClr>
                  </a:gs>
                  <a:gs pos="80000">
                    <a:schemeClr val="accent2">
                      <a:tint val="43000"/>
                      <a:shade val="93000"/>
                      <a:satMod val="130000"/>
                    </a:schemeClr>
                  </a:gs>
                  <a:gs pos="100000">
                    <a:schemeClr val="accent2">
                      <a:tint val="43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B-3762-4F8D-A5D7-A5EBB053CB6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pivot!$A$6:$A$20</c:f>
              <c:multiLvlStrCache>
                <c:ptCount val="10"/>
                <c:lvl>
                  <c:pt idx="0">
                    <c:v>1003</c:v>
                  </c:pt>
                  <c:pt idx="1">
                    <c:v>1007</c:v>
                  </c:pt>
                  <c:pt idx="2">
                    <c:v>1004</c:v>
                  </c:pt>
                  <c:pt idx="3">
                    <c:v>1008</c:v>
                  </c:pt>
                  <c:pt idx="4">
                    <c:v>1002</c:v>
                  </c:pt>
                  <c:pt idx="5">
                    <c:v>1006</c:v>
                  </c:pt>
                  <c:pt idx="6">
                    <c:v>1010</c:v>
                  </c:pt>
                  <c:pt idx="7">
                    <c:v>1001</c:v>
                  </c:pt>
                  <c:pt idx="8">
                    <c:v>1005</c:v>
                  </c:pt>
                  <c:pt idx="9">
                    <c:v>1009</c:v>
                  </c:pt>
                </c:lvl>
                <c:lvl>
                  <c:pt idx="0">
                    <c:v>Aman</c:v>
                  </c:pt>
                  <c:pt idx="2">
                    <c:v>Neha</c:v>
                  </c:pt>
                  <c:pt idx="4">
                    <c:v>Priya</c:v>
                  </c:pt>
                  <c:pt idx="7">
                    <c:v>Raj</c:v>
                  </c:pt>
                </c:lvl>
              </c:multiLvlStrCache>
            </c:multiLvlStrRef>
          </c:cat>
          <c:val>
            <c:numRef>
              <c:f>pivot!$D$6:$D$20</c:f>
              <c:numCache>
                <c:formatCode>General</c:formatCode>
                <c:ptCount val="10"/>
                <c:pt idx="3">
                  <c:v>12000</c:v>
                </c:pt>
                <c:pt idx="4">
                  <c:v>20000</c:v>
                </c:pt>
                <c:pt idx="5">
                  <c:v>16000</c:v>
                </c:pt>
              </c:numCache>
            </c:numRef>
          </c:val>
          <c:extLst>
            <c:ext xmlns:c16="http://schemas.microsoft.com/office/drawing/2014/chart" uri="{C3380CC4-5D6E-409C-BE32-E72D297353CC}">
              <c16:uniqueId val="{0000005A-A8FE-40BD-BE67-2F48FB446CA3}"/>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[line chart project.xlsx]pivot!PivotTable1</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pivotFmt>
      <c:pivotFmt>
        <c:idx val="1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pivotFmt>
    </c:pivotFmts>
    <c:plotArea>
      <c:layout>
        <c:manualLayout>
          <c:layoutTarget val="inner"/>
          <c:xMode val="edge"/>
          <c:yMode val="edge"/>
          <c:x val="5.0505050505050504E-2"/>
          <c:y val="0.25220893189877985"/>
          <c:w val="0.72853535353535348"/>
          <c:h val="0.58606319248261907"/>
        </c:manualLayout>
      </c:layout>
      <c:areaChart>
        <c:grouping val="standard"/>
        <c:varyColors val="0"/>
        <c:ser>
          <c:idx val="0"/>
          <c:order val="0"/>
          <c:tx>
            <c:strRef>
              <c:f>pivot!$B$4:$B$5</c:f>
              <c:strCache>
                <c:ptCount val="1"/>
                <c:pt idx="0">
                  <c:v>Clothing</c:v>
                </c:pt>
              </c:strCache>
            </c:strRef>
          </c:tx>
          <c:spPr>
            <a:solidFill>
              <a:schemeClr val="accent1"/>
            </a:solidFill>
            <a:ln w="25400">
              <a:noFill/>
            </a:ln>
            <a:effectLst/>
          </c:spPr>
          <c:cat>
            <c:multiLvlStrRef>
              <c:f>pivot!$A$6:$A$20</c:f>
              <c:multiLvlStrCache>
                <c:ptCount val="10"/>
                <c:lvl>
                  <c:pt idx="0">
                    <c:v>1003</c:v>
                  </c:pt>
                  <c:pt idx="1">
                    <c:v>1007</c:v>
                  </c:pt>
                  <c:pt idx="2">
                    <c:v>1004</c:v>
                  </c:pt>
                  <c:pt idx="3">
                    <c:v>1008</c:v>
                  </c:pt>
                  <c:pt idx="4">
                    <c:v>1002</c:v>
                  </c:pt>
                  <c:pt idx="5">
                    <c:v>1006</c:v>
                  </c:pt>
                  <c:pt idx="6">
                    <c:v>1010</c:v>
                  </c:pt>
                  <c:pt idx="7">
                    <c:v>1001</c:v>
                  </c:pt>
                  <c:pt idx="8">
                    <c:v>1005</c:v>
                  </c:pt>
                  <c:pt idx="9">
                    <c:v>1009</c:v>
                  </c:pt>
                </c:lvl>
                <c:lvl>
                  <c:pt idx="0">
                    <c:v>Aman</c:v>
                  </c:pt>
                  <c:pt idx="2">
                    <c:v>Neha</c:v>
                  </c:pt>
                  <c:pt idx="4">
                    <c:v>Priya</c:v>
                  </c:pt>
                  <c:pt idx="7">
                    <c:v>Raj</c:v>
                  </c:pt>
                </c:lvl>
              </c:multiLvlStrCache>
            </c:multiLvlStrRef>
          </c:cat>
          <c:val>
            <c:numRef>
              <c:f>pivot!$B$6:$B$20</c:f>
              <c:numCache>
                <c:formatCode>General</c:formatCode>
                <c:ptCount val="10"/>
                <c:pt idx="0">
                  <c:v>30000</c:v>
                </c:pt>
                <c:pt idx="8">
                  <c:v>22500</c:v>
                </c:pt>
                <c:pt idx="9">
                  <c:v>15000</c:v>
                </c:pt>
              </c:numCache>
            </c:numRef>
          </c:val>
          <c:extLst>
            <c:ext xmlns:c16="http://schemas.microsoft.com/office/drawing/2014/chart" uri="{C3380CC4-5D6E-409C-BE32-E72D297353CC}">
              <c16:uniqueId val="{00000000-3F49-4BB8-AD0D-4B079B91D2AE}"/>
            </c:ext>
          </c:extLst>
        </c:ser>
        <c:ser>
          <c:idx val="1"/>
          <c:order val="1"/>
          <c:tx>
            <c:strRef>
              <c:f>pivot!$C$4:$C$5</c:f>
              <c:strCache>
                <c:ptCount val="1"/>
                <c:pt idx="0">
                  <c:v>Electronics</c:v>
                </c:pt>
              </c:strCache>
            </c:strRef>
          </c:tx>
          <c:spPr>
            <a:solidFill>
              <a:schemeClr val="accent2"/>
            </a:solidFill>
            <a:ln>
              <a:noFill/>
            </a:ln>
            <a:effectLst/>
          </c:spPr>
          <c:cat>
            <c:multiLvlStrRef>
              <c:f>pivot!$A$6:$A$20</c:f>
              <c:multiLvlStrCache>
                <c:ptCount val="10"/>
                <c:lvl>
                  <c:pt idx="0">
                    <c:v>1003</c:v>
                  </c:pt>
                  <c:pt idx="1">
                    <c:v>1007</c:v>
                  </c:pt>
                  <c:pt idx="2">
                    <c:v>1004</c:v>
                  </c:pt>
                  <c:pt idx="3">
                    <c:v>1008</c:v>
                  </c:pt>
                  <c:pt idx="4">
                    <c:v>1002</c:v>
                  </c:pt>
                  <c:pt idx="5">
                    <c:v>1006</c:v>
                  </c:pt>
                  <c:pt idx="6">
                    <c:v>1010</c:v>
                  </c:pt>
                  <c:pt idx="7">
                    <c:v>1001</c:v>
                  </c:pt>
                  <c:pt idx="8">
                    <c:v>1005</c:v>
                  </c:pt>
                  <c:pt idx="9">
                    <c:v>1009</c:v>
                  </c:pt>
                </c:lvl>
                <c:lvl>
                  <c:pt idx="0">
                    <c:v>Aman</c:v>
                  </c:pt>
                  <c:pt idx="2">
                    <c:v>Neha</c:v>
                  </c:pt>
                  <c:pt idx="4">
                    <c:v>Priya</c:v>
                  </c:pt>
                  <c:pt idx="7">
                    <c:v>Raj</c:v>
                  </c:pt>
                </c:lvl>
              </c:multiLvlStrCache>
            </c:multiLvlStrRef>
          </c:cat>
          <c:val>
            <c:numRef>
              <c:f>pivot!$C$6:$C$20</c:f>
              <c:numCache>
                <c:formatCode>General</c:formatCode>
                <c:ptCount val="10"/>
                <c:pt idx="1">
                  <c:v>15000</c:v>
                </c:pt>
                <c:pt idx="2">
                  <c:v>17500</c:v>
                </c:pt>
                <c:pt idx="6">
                  <c:v>20000</c:v>
                </c:pt>
                <c:pt idx="7">
                  <c:v>25000</c:v>
                </c:pt>
              </c:numCache>
            </c:numRef>
          </c:val>
          <c:extLst>
            <c:ext xmlns:c16="http://schemas.microsoft.com/office/drawing/2014/chart" uri="{C3380CC4-5D6E-409C-BE32-E72D297353CC}">
              <c16:uniqueId val="{00000001-3F49-4BB8-AD0D-4B079B91D2AE}"/>
            </c:ext>
          </c:extLst>
        </c:ser>
        <c:ser>
          <c:idx val="2"/>
          <c:order val="2"/>
          <c:tx>
            <c:strRef>
              <c:f>pivot!$D$4:$D$5</c:f>
              <c:strCache>
                <c:ptCount val="1"/>
                <c:pt idx="0">
                  <c:v>Furniture</c:v>
                </c:pt>
              </c:strCache>
            </c:strRef>
          </c:tx>
          <c:spPr>
            <a:solidFill>
              <a:schemeClr val="accent3"/>
            </a:solidFill>
            <a:ln w="25400">
              <a:noFill/>
            </a:ln>
            <a:effectLst/>
          </c:spPr>
          <c:cat>
            <c:multiLvlStrRef>
              <c:f>pivot!$A$6:$A$20</c:f>
              <c:multiLvlStrCache>
                <c:ptCount val="10"/>
                <c:lvl>
                  <c:pt idx="0">
                    <c:v>1003</c:v>
                  </c:pt>
                  <c:pt idx="1">
                    <c:v>1007</c:v>
                  </c:pt>
                  <c:pt idx="2">
                    <c:v>1004</c:v>
                  </c:pt>
                  <c:pt idx="3">
                    <c:v>1008</c:v>
                  </c:pt>
                  <c:pt idx="4">
                    <c:v>1002</c:v>
                  </c:pt>
                  <c:pt idx="5">
                    <c:v>1006</c:v>
                  </c:pt>
                  <c:pt idx="6">
                    <c:v>1010</c:v>
                  </c:pt>
                  <c:pt idx="7">
                    <c:v>1001</c:v>
                  </c:pt>
                  <c:pt idx="8">
                    <c:v>1005</c:v>
                  </c:pt>
                  <c:pt idx="9">
                    <c:v>1009</c:v>
                  </c:pt>
                </c:lvl>
                <c:lvl>
                  <c:pt idx="0">
                    <c:v>Aman</c:v>
                  </c:pt>
                  <c:pt idx="2">
                    <c:v>Neha</c:v>
                  </c:pt>
                  <c:pt idx="4">
                    <c:v>Priya</c:v>
                  </c:pt>
                  <c:pt idx="7">
                    <c:v>Raj</c:v>
                  </c:pt>
                </c:lvl>
              </c:multiLvlStrCache>
            </c:multiLvlStrRef>
          </c:cat>
          <c:val>
            <c:numRef>
              <c:f>pivot!$D$6:$D$20</c:f>
              <c:numCache>
                <c:formatCode>General</c:formatCode>
                <c:ptCount val="10"/>
                <c:pt idx="3">
                  <c:v>12000</c:v>
                </c:pt>
                <c:pt idx="4">
                  <c:v>20000</c:v>
                </c:pt>
                <c:pt idx="5">
                  <c:v>16000</c:v>
                </c:pt>
              </c:numCache>
            </c:numRef>
          </c:val>
          <c:extLst>
            <c:ext xmlns:c16="http://schemas.microsoft.com/office/drawing/2014/chart" uri="{C3380CC4-5D6E-409C-BE32-E72D297353CC}">
              <c16:uniqueId val="{0000000A-3F49-4BB8-AD0D-4B079B91D2AE}"/>
            </c:ext>
          </c:extLst>
        </c:ser>
        <c:dLbls>
          <c:showLegendKey val="0"/>
          <c:showVal val="0"/>
          <c:showCatName val="0"/>
          <c:showSerName val="0"/>
          <c:showPercent val="0"/>
          <c:showBubbleSize val="0"/>
        </c:dLbls>
        <c:axId val="1837627008"/>
        <c:axId val="1837621248"/>
      </c:areaChart>
      <c:catAx>
        <c:axId val="1837627008"/>
        <c:scaling>
          <c:orientation val="minMax"/>
        </c:scaling>
        <c:delete val="1"/>
        <c:axPos val="b"/>
        <c:numFmt formatCode="General" sourceLinked="1"/>
        <c:majorTickMark val="out"/>
        <c:minorTickMark val="none"/>
        <c:tickLblPos val="nextTo"/>
        <c:crossAx val="1837621248"/>
        <c:crosses val="autoZero"/>
        <c:auto val="1"/>
        <c:lblAlgn val="ctr"/>
        <c:lblOffset val="100"/>
        <c:noMultiLvlLbl val="0"/>
      </c:catAx>
      <c:valAx>
        <c:axId val="1837621248"/>
        <c:scaling>
          <c:orientation val="minMax"/>
        </c:scaling>
        <c:delete val="1"/>
        <c:axPos val="l"/>
        <c:numFmt formatCode="General" sourceLinked="1"/>
        <c:majorTickMark val="none"/>
        <c:minorTickMark val="none"/>
        <c:tickLblPos val="nextTo"/>
        <c:crossAx val="183762700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dLbls>
          <c:showLegendKey val="0"/>
          <c:showVal val="0"/>
          <c:showCatName val="0"/>
          <c:showSerName val="0"/>
          <c:showPercent val="0"/>
          <c:showBubbleSize val="0"/>
        </c:dLbls>
        <c:gapWidth val="219"/>
        <c:overlap val="-27"/>
        <c:axId val="1878669728"/>
        <c:axId val="1878653408"/>
      </c:barChart>
      <c:catAx>
        <c:axId val="18786697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8653408"/>
        <c:crosses val="autoZero"/>
        <c:auto val="1"/>
        <c:lblAlgn val="ctr"/>
        <c:lblOffset val="100"/>
        <c:noMultiLvlLbl val="0"/>
      </c:catAx>
      <c:valAx>
        <c:axId val="1878653408"/>
        <c:scaling>
          <c:orientation val="minMax"/>
          <c:max val="1"/>
        </c:scaling>
        <c:delete val="1"/>
        <c:axPos val="l"/>
        <c:numFmt formatCode="0%" sourceLinked="1"/>
        <c:majorTickMark val="none"/>
        <c:minorTickMark val="none"/>
        <c:tickLblPos val="nextTo"/>
        <c:crossAx val="187866972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barChart>
        <c:barDir val="col"/>
        <c:grouping val="clustered"/>
        <c:varyColors val="0"/>
        <c:dLbls>
          <c:showLegendKey val="0"/>
          <c:showVal val="0"/>
          <c:showCatName val="0"/>
          <c:showSerName val="0"/>
          <c:showPercent val="0"/>
          <c:showBubbleSize val="0"/>
        </c:dLbls>
        <c:gapWidth val="219"/>
        <c:overlap val="-27"/>
        <c:axId val="1953194320"/>
        <c:axId val="1953202480"/>
      </c:barChart>
      <c:catAx>
        <c:axId val="195319432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202480"/>
        <c:crosses val="autoZero"/>
        <c:auto val="1"/>
        <c:lblAlgn val="ctr"/>
        <c:lblOffset val="100"/>
        <c:noMultiLvlLbl val="0"/>
      </c:catAx>
      <c:valAx>
        <c:axId val="1953202480"/>
        <c:scaling>
          <c:orientation val="minMax"/>
          <c:max val="1"/>
        </c:scaling>
        <c:delete val="1"/>
        <c:axPos val="l"/>
        <c:numFmt formatCode="0%" sourceLinked="1"/>
        <c:majorTickMark val="none"/>
        <c:minorTickMark val="none"/>
        <c:tickLblPos val="nextTo"/>
        <c:crossAx val="195319432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1946187885934548"/>
          <c:w val="1"/>
          <c:h val="0.80430175841753682"/>
        </c:manualLayout>
      </c:layout>
      <c:barChart>
        <c:barDir val="col"/>
        <c:grouping val="clustered"/>
        <c:varyColors val="0"/>
        <c:ser>
          <c:idx val="0"/>
          <c:order val="0"/>
          <c:spPr>
            <a:solidFill>
              <a:schemeClr val="tx2">
                <a:lumMod val="60000"/>
                <a:lumOff val="40000"/>
              </a:schemeClr>
            </a:solidFill>
            <a:ln>
              <a:noFill/>
            </a:ln>
            <a:effectLst/>
          </c:spPr>
          <c:invertIfNegative val="0"/>
          <c:val>
            <c:numRef>
              <c:f>'custmomer satisfection'!$M$2</c:f>
              <c:numCache>
                <c:formatCode>0%</c:formatCode>
                <c:ptCount val="1"/>
                <c:pt idx="0">
                  <c:v>1</c:v>
                </c:pt>
              </c:numCache>
            </c:numRef>
          </c:val>
          <c:extLst>
            <c:ext xmlns:c16="http://schemas.microsoft.com/office/drawing/2014/chart" uri="{C3380CC4-5D6E-409C-BE32-E72D297353CC}">
              <c16:uniqueId val="{00000000-068C-4A99-B5AB-E62C975DE82E}"/>
            </c:ext>
          </c:extLst>
        </c:ser>
        <c:dLbls>
          <c:showLegendKey val="0"/>
          <c:showVal val="0"/>
          <c:showCatName val="0"/>
          <c:showSerName val="0"/>
          <c:showPercent val="0"/>
          <c:showBubbleSize val="0"/>
        </c:dLbls>
        <c:gapWidth val="219"/>
        <c:overlap val="-27"/>
        <c:axId val="228066848"/>
        <c:axId val="228065408"/>
      </c:barChart>
      <c:catAx>
        <c:axId val="228066848"/>
        <c:scaling>
          <c:orientation val="minMax"/>
        </c:scaling>
        <c:delete val="1"/>
        <c:axPos val="b"/>
        <c:majorTickMark val="out"/>
        <c:minorTickMark val="none"/>
        <c:tickLblPos val="nextTo"/>
        <c:crossAx val="228065408"/>
        <c:crosses val="autoZero"/>
        <c:auto val="1"/>
        <c:lblAlgn val="ctr"/>
        <c:lblOffset val="100"/>
        <c:noMultiLvlLbl val="0"/>
      </c:catAx>
      <c:valAx>
        <c:axId val="228065408"/>
        <c:scaling>
          <c:orientation val="minMax"/>
          <c:max val="1"/>
        </c:scaling>
        <c:delete val="1"/>
        <c:axPos val="l"/>
        <c:numFmt formatCode="0%" sourceLinked="1"/>
        <c:majorTickMark val="out"/>
        <c:minorTickMark val="none"/>
        <c:tickLblPos val="nextTo"/>
        <c:crossAx val="22806684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7.2235535775419371E-2"/>
          <c:w val="1"/>
          <c:h val="0.92668517884539792"/>
        </c:manualLayout>
      </c:layout>
      <c:barChart>
        <c:barDir val="col"/>
        <c:grouping val="clustered"/>
        <c:varyColors val="0"/>
        <c:ser>
          <c:idx val="0"/>
          <c:order val="0"/>
          <c:spPr>
            <a:solidFill>
              <a:schemeClr val="accent3">
                <a:lumMod val="75000"/>
              </a:schemeClr>
            </a:solidFill>
            <a:ln>
              <a:noFill/>
            </a:ln>
            <a:effectLst/>
          </c:spPr>
          <c:invertIfNegative val="0"/>
          <c:val>
            <c:numRef>
              <c:f>'custmomer satisfection'!$M$3</c:f>
              <c:numCache>
                <c:formatCode>0%</c:formatCode>
                <c:ptCount val="1"/>
                <c:pt idx="0">
                  <c:v>1</c:v>
                </c:pt>
              </c:numCache>
            </c:numRef>
          </c:val>
          <c:extLst>
            <c:ext xmlns:c16="http://schemas.microsoft.com/office/drawing/2014/chart" uri="{C3380CC4-5D6E-409C-BE32-E72D297353CC}">
              <c16:uniqueId val="{00000000-068C-4A99-B5AB-E62C975DE82E}"/>
            </c:ext>
          </c:extLst>
        </c:ser>
        <c:dLbls>
          <c:showLegendKey val="0"/>
          <c:showVal val="0"/>
          <c:showCatName val="0"/>
          <c:showSerName val="0"/>
          <c:showPercent val="0"/>
          <c:showBubbleSize val="0"/>
        </c:dLbls>
        <c:gapWidth val="219"/>
        <c:overlap val="-27"/>
        <c:axId val="228066848"/>
        <c:axId val="228065408"/>
      </c:barChart>
      <c:catAx>
        <c:axId val="228066848"/>
        <c:scaling>
          <c:orientation val="minMax"/>
        </c:scaling>
        <c:delete val="1"/>
        <c:axPos val="b"/>
        <c:majorTickMark val="out"/>
        <c:minorTickMark val="none"/>
        <c:tickLblPos val="nextTo"/>
        <c:crossAx val="228065408"/>
        <c:crosses val="autoZero"/>
        <c:auto val="1"/>
        <c:lblAlgn val="ctr"/>
        <c:lblOffset val="100"/>
        <c:noMultiLvlLbl val="0"/>
      </c:catAx>
      <c:valAx>
        <c:axId val="228065408"/>
        <c:scaling>
          <c:orientation val="minMax"/>
          <c:max val="1"/>
        </c:scaling>
        <c:delete val="1"/>
        <c:axPos val="l"/>
        <c:numFmt formatCode="0%" sourceLinked="1"/>
        <c:majorTickMark val="out"/>
        <c:minorTickMark val="none"/>
        <c:tickLblPos val="nextTo"/>
        <c:crossAx val="22806684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5">
  <a:schemeClr val="accent2"/>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 id="17">
  <a:schemeClr val="accent4"/>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7.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image" Target="../media/image4.png"/><Relationship Id="rId5" Type="http://schemas.openxmlformats.org/officeDocument/2006/relationships/image" Target="../media/image3.png"/><Relationship Id="rId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0</xdr:col>
      <xdr:colOff>0</xdr:colOff>
      <xdr:row>11</xdr:row>
      <xdr:rowOff>121920</xdr:rowOff>
    </xdr:from>
    <xdr:to>
      <xdr:col>5</xdr:col>
      <xdr:colOff>716280</xdr:colOff>
      <xdr:row>27</xdr:row>
      <xdr:rowOff>167640</xdr:rowOff>
    </xdr:to>
    <xdr:graphicFrame macro="">
      <xdr:nvGraphicFramePr>
        <xdr:cNvPr id="2" name="Chart 1">
          <a:extLst>
            <a:ext uri="{FF2B5EF4-FFF2-40B4-BE49-F238E27FC236}">
              <a16:creationId xmlns:a16="http://schemas.microsoft.com/office/drawing/2014/main" id="{4F650575-98B3-78B0-2BC9-C72E218A4F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996315</xdr:colOff>
      <xdr:row>4</xdr:row>
      <xdr:rowOff>123825</xdr:rowOff>
    </xdr:from>
    <xdr:to>
      <xdr:col>6</xdr:col>
      <xdr:colOff>419100</xdr:colOff>
      <xdr:row>10</xdr:row>
      <xdr:rowOff>180975</xdr:rowOff>
    </xdr:to>
    <mc:AlternateContent xmlns:mc="http://schemas.openxmlformats.org/markup-compatibility/2006">
      <mc:Choice xmlns:a14="http://schemas.microsoft.com/office/drawing/2010/main" Requires="a14">
        <xdr:graphicFrame macro="">
          <xdr:nvGraphicFramePr>
            <xdr:cNvPr id="3" name="STATE">
              <a:extLst>
                <a:ext uri="{FF2B5EF4-FFF2-40B4-BE49-F238E27FC236}">
                  <a16:creationId xmlns:a16="http://schemas.microsoft.com/office/drawing/2014/main" id="{51F58B0C-2FF3-7D8C-F574-ED99EC464BF8}"/>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3082290" y="885825"/>
              <a:ext cx="2461260" cy="1200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1257300</xdr:colOff>
      <xdr:row>13</xdr:row>
      <xdr:rowOff>121920</xdr:rowOff>
    </xdr:from>
    <xdr:to>
      <xdr:col>10</xdr:col>
      <xdr:colOff>60960</xdr:colOff>
      <xdr:row>26</xdr:row>
      <xdr:rowOff>160020</xdr:rowOff>
    </xdr:to>
    <xdr:graphicFrame macro="">
      <xdr:nvGraphicFramePr>
        <xdr:cNvPr id="5" name="Chart 4">
          <a:extLst>
            <a:ext uri="{FF2B5EF4-FFF2-40B4-BE49-F238E27FC236}">
              <a16:creationId xmlns:a16="http://schemas.microsoft.com/office/drawing/2014/main" id="{019FA88F-DD17-03B1-6FB9-DBA5D423C8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53340</xdr:colOff>
      <xdr:row>1</xdr:row>
      <xdr:rowOff>2</xdr:rowOff>
    </xdr:from>
    <xdr:to>
      <xdr:col>6</xdr:col>
      <xdr:colOff>1264920</xdr:colOff>
      <xdr:row>4</xdr:row>
      <xdr:rowOff>161926</xdr:rowOff>
    </xdr:to>
    <mc:AlternateContent xmlns:mc="http://schemas.openxmlformats.org/markup-compatibility/2006" xmlns:a14="http://schemas.microsoft.com/office/drawing/2010/main">
      <mc:Choice Requires="a14">
        <xdr:graphicFrame macro="">
          <xdr:nvGraphicFramePr>
            <xdr:cNvPr id="9" name="STATE 1">
              <a:extLst>
                <a:ext uri="{FF2B5EF4-FFF2-40B4-BE49-F238E27FC236}">
                  <a16:creationId xmlns:a16="http://schemas.microsoft.com/office/drawing/2014/main" id="{0DD8568B-DF08-7C8F-8328-B73AFA02D488}"/>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mlns="">
        <xdr:sp macro="" textlink="">
          <xdr:nvSpPr>
            <xdr:cNvPr id="0" name=""/>
            <xdr:cNvSpPr>
              <a:spLocks noTextEdit="1"/>
            </xdr:cNvSpPr>
          </xdr:nvSpPr>
          <xdr:spPr>
            <a:xfrm>
              <a:off x="3223260" y="182881"/>
              <a:ext cx="3268980" cy="5714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167640</xdr:colOff>
      <xdr:row>0</xdr:row>
      <xdr:rowOff>99060</xdr:rowOff>
    </xdr:from>
    <xdr:to>
      <xdr:col>15</xdr:col>
      <xdr:colOff>389489</xdr:colOff>
      <xdr:row>2</xdr:row>
      <xdr:rowOff>120109</xdr:rowOff>
    </xdr:to>
    <xdr:pic>
      <xdr:nvPicPr>
        <xdr:cNvPr id="2" name="Picture 1">
          <a:extLst>
            <a:ext uri="{FF2B5EF4-FFF2-40B4-BE49-F238E27FC236}">
              <a16:creationId xmlns:a16="http://schemas.microsoft.com/office/drawing/2014/main" id="{A49C6F44-9309-C427-9D29-0AE885BD2F2E}"/>
            </a:ext>
          </a:extLst>
        </xdr:cNvPr>
        <xdr:cNvPicPr>
          <a:picLocks noChangeAspect="1"/>
        </xdr:cNvPicPr>
      </xdr:nvPicPr>
      <xdr:blipFill rotWithShape="1">
        <a:blip xmlns:r="http://schemas.openxmlformats.org/officeDocument/2006/relationships" r:embed="rId1"/>
        <a:srcRect t="25912"/>
        <a:stretch>
          <a:fillRect/>
        </a:stretch>
      </xdr:blipFill>
      <xdr:spPr>
        <a:xfrm>
          <a:off x="6164580" y="99060"/>
          <a:ext cx="6230219" cy="5011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342900</xdr:colOff>
      <xdr:row>1</xdr:row>
      <xdr:rowOff>15240</xdr:rowOff>
    </xdr:from>
    <xdr:to>
      <xdr:col>5</xdr:col>
      <xdr:colOff>0</xdr:colOff>
      <xdr:row>13</xdr:row>
      <xdr:rowOff>173699</xdr:rowOff>
    </xdr:to>
    <xdr:pic>
      <xdr:nvPicPr>
        <xdr:cNvPr id="2" name="Picture 1">
          <a:extLst>
            <a:ext uri="{FF2B5EF4-FFF2-40B4-BE49-F238E27FC236}">
              <a16:creationId xmlns:a16="http://schemas.microsoft.com/office/drawing/2014/main" id="{05482C84-FDCD-B8EF-160E-19C3995B5765}"/>
            </a:ext>
          </a:extLst>
        </xdr:cNvPr>
        <xdr:cNvPicPr>
          <a:picLocks noChangeAspect="1"/>
        </xdr:cNvPicPr>
      </xdr:nvPicPr>
      <xdr:blipFill rotWithShape="1">
        <a:blip xmlns:r="http://schemas.openxmlformats.org/officeDocument/2006/relationships" r:embed="rId1"/>
        <a:srcRect l="-1852" t="-1235" r="50926" b="1235"/>
        <a:stretch>
          <a:fillRect/>
        </a:stretch>
      </xdr:blipFill>
      <xdr:spPr>
        <a:xfrm>
          <a:off x="952500" y="198120"/>
          <a:ext cx="2095500" cy="246731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622935</xdr:colOff>
      <xdr:row>1</xdr:row>
      <xdr:rowOff>110490</xdr:rowOff>
    </xdr:from>
    <xdr:to>
      <xdr:col>11</xdr:col>
      <xdr:colOff>592455</xdr:colOff>
      <xdr:row>25</xdr:row>
      <xdr:rowOff>49530</xdr:rowOff>
    </xdr:to>
    <xdr:graphicFrame macro="">
      <xdr:nvGraphicFramePr>
        <xdr:cNvPr id="4" name="Chart 3">
          <a:extLst>
            <a:ext uri="{FF2B5EF4-FFF2-40B4-BE49-F238E27FC236}">
              <a16:creationId xmlns:a16="http://schemas.microsoft.com/office/drawing/2014/main" id="{3C961FBF-D29D-06DE-5284-EB644B9E35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327660</xdr:colOff>
      <xdr:row>1</xdr:row>
      <xdr:rowOff>139065</xdr:rowOff>
    </xdr:from>
    <xdr:to>
      <xdr:col>11</xdr:col>
      <xdr:colOff>502920</xdr:colOff>
      <xdr:row>13</xdr:row>
      <xdr:rowOff>17145</xdr:rowOff>
    </xdr:to>
    <xdr:graphicFrame macro="">
      <xdr:nvGraphicFramePr>
        <xdr:cNvPr id="5" name="Chart 2">
          <a:extLst>
            <a:ext uri="{FF2B5EF4-FFF2-40B4-BE49-F238E27FC236}">
              <a16:creationId xmlns:a16="http://schemas.microsoft.com/office/drawing/2014/main" id="{62CED873-3E20-CC2C-02B9-598AA729FB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219075</xdr:colOff>
      <xdr:row>0</xdr:row>
      <xdr:rowOff>57150</xdr:rowOff>
    </xdr:from>
    <xdr:to>
      <xdr:col>11</xdr:col>
      <xdr:colOff>314325</xdr:colOff>
      <xdr:row>15</xdr:row>
      <xdr:rowOff>142875</xdr:rowOff>
    </xdr:to>
    <xdr:graphicFrame macro="">
      <xdr:nvGraphicFramePr>
        <xdr:cNvPr id="2" name="Chart 1">
          <a:extLst>
            <a:ext uri="{FF2B5EF4-FFF2-40B4-BE49-F238E27FC236}">
              <a16:creationId xmlns:a16="http://schemas.microsoft.com/office/drawing/2014/main" id="{E9220683-ECCC-A8BD-9850-090F298D42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466726</xdr:colOff>
      <xdr:row>15</xdr:row>
      <xdr:rowOff>49530</xdr:rowOff>
    </xdr:from>
    <xdr:to>
      <xdr:col>19</xdr:col>
      <xdr:colOff>161926</xdr:colOff>
      <xdr:row>26</xdr:row>
      <xdr:rowOff>161925</xdr:rowOff>
    </xdr:to>
    <xdr:graphicFrame macro="">
      <xdr:nvGraphicFramePr>
        <xdr:cNvPr id="4" name="Chart 1">
          <a:extLst>
            <a:ext uri="{FF2B5EF4-FFF2-40B4-BE49-F238E27FC236}">
              <a16:creationId xmlns:a16="http://schemas.microsoft.com/office/drawing/2014/main" id="{EA664914-4469-6C10-3DE5-406A2E9327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927735</xdr:colOff>
      <xdr:row>16</xdr:row>
      <xdr:rowOff>34291</xdr:rowOff>
    </xdr:from>
    <xdr:to>
      <xdr:col>3</xdr:col>
      <xdr:colOff>38100</xdr:colOff>
      <xdr:row>26</xdr:row>
      <xdr:rowOff>161925</xdr:rowOff>
    </xdr:to>
    <mc:AlternateContent xmlns:mc="http://schemas.openxmlformats.org/markup-compatibility/2006" xmlns:a14="http://schemas.microsoft.com/office/drawing/2010/main">
      <mc:Choice Requires="a14">
        <xdr:graphicFrame macro="">
          <xdr:nvGraphicFramePr>
            <xdr:cNvPr id="6" name="Year">
              <a:extLst>
                <a:ext uri="{FF2B5EF4-FFF2-40B4-BE49-F238E27FC236}">
                  <a16:creationId xmlns:a16="http://schemas.microsoft.com/office/drawing/2014/main" id="{3F418EA3-F504-61E0-9979-77B78DBF5E87}"/>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765935" y="3082291"/>
              <a:ext cx="967740" cy="20326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76200</xdr:colOff>
      <xdr:row>21</xdr:row>
      <xdr:rowOff>57150</xdr:rowOff>
    </xdr:from>
    <xdr:to>
      <xdr:col>11</xdr:col>
      <xdr:colOff>400050</xdr:colOff>
      <xdr:row>26</xdr:row>
      <xdr:rowOff>161926</xdr:rowOff>
    </xdr:to>
    <mc:AlternateContent xmlns:mc="http://schemas.openxmlformats.org/markup-compatibility/2006" xmlns:a14="http://schemas.microsoft.com/office/drawing/2010/main">
      <mc:Choice Requires="a14">
        <xdr:graphicFrame macro="">
          <xdr:nvGraphicFramePr>
            <xdr:cNvPr id="7" name="Quantity">
              <a:extLst>
                <a:ext uri="{FF2B5EF4-FFF2-40B4-BE49-F238E27FC236}">
                  <a16:creationId xmlns:a16="http://schemas.microsoft.com/office/drawing/2014/main" id="{D0FC5E0D-8BE2-C9CB-D88C-18B732D0C98A}"/>
                </a:ext>
              </a:extLst>
            </xdr:cNvPr>
            <xdr:cNvGraphicFramePr/>
          </xdr:nvGraphicFramePr>
          <xdr:xfrm>
            <a:off x="0" y="0"/>
            <a:ext cx="0" cy="0"/>
          </xdr:xfrm>
          <a:graphic>
            <a:graphicData uri="http://schemas.microsoft.com/office/drawing/2010/slicer">
              <sle:slicer xmlns:sle="http://schemas.microsoft.com/office/drawing/2010/slicer" name="Quantity"/>
            </a:graphicData>
          </a:graphic>
        </xdr:graphicFrame>
      </mc:Choice>
      <mc:Fallback xmlns="">
        <xdr:sp macro="" textlink="">
          <xdr:nvSpPr>
            <xdr:cNvPr id="0" name=""/>
            <xdr:cNvSpPr>
              <a:spLocks noTextEdit="1"/>
            </xdr:cNvSpPr>
          </xdr:nvSpPr>
          <xdr:spPr>
            <a:xfrm>
              <a:off x="2771775" y="4057650"/>
              <a:ext cx="5229225" cy="10572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70485</xdr:colOff>
      <xdr:row>15</xdr:row>
      <xdr:rowOff>180977</xdr:rowOff>
    </xdr:from>
    <xdr:to>
      <xdr:col>11</xdr:col>
      <xdr:colOff>419100</xdr:colOff>
      <xdr:row>21</xdr:row>
      <xdr:rowOff>47625</xdr:rowOff>
    </xdr:to>
    <mc:AlternateContent xmlns:mc="http://schemas.openxmlformats.org/markup-compatibility/2006" xmlns:a14="http://schemas.microsoft.com/office/drawing/2010/main">
      <mc:Choice Requires="a14">
        <xdr:graphicFrame macro="">
          <xdr:nvGraphicFramePr>
            <xdr:cNvPr id="8" name="Price">
              <a:extLst>
                <a:ext uri="{FF2B5EF4-FFF2-40B4-BE49-F238E27FC236}">
                  <a16:creationId xmlns:a16="http://schemas.microsoft.com/office/drawing/2014/main" id="{264EA461-D8A8-2907-0456-AD709B665198}"/>
                </a:ext>
              </a:extLst>
            </xdr:cNvPr>
            <xdr:cNvGraphicFramePr/>
          </xdr:nvGraphicFramePr>
          <xdr:xfrm>
            <a:off x="0" y="0"/>
            <a:ext cx="0" cy="0"/>
          </xdr:xfrm>
          <a:graphic>
            <a:graphicData uri="http://schemas.microsoft.com/office/drawing/2010/slicer">
              <sle:slicer xmlns:sle="http://schemas.microsoft.com/office/drawing/2010/slicer" name="Price"/>
            </a:graphicData>
          </a:graphic>
        </xdr:graphicFrame>
      </mc:Choice>
      <mc:Fallback xmlns="">
        <xdr:sp macro="" textlink="">
          <xdr:nvSpPr>
            <xdr:cNvPr id="0" name=""/>
            <xdr:cNvSpPr>
              <a:spLocks noTextEdit="1"/>
            </xdr:cNvSpPr>
          </xdr:nvSpPr>
          <xdr:spPr>
            <a:xfrm>
              <a:off x="2766060" y="3038477"/>
              <a:ext cx="5253990" cy="10096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390525</xdr:colOff>
      <xdr:row>0</xdr:row>
      <xdr:rowOff>66675</xdr:rowOff>
    </xdr:from>
    <xdr:to>
      <xdr:col>19</xdr:col>
      <xdr:colOff>167640</xdr:colOff>
      <xdr:row>14</xdr:row>
      <xdr:rowOff>180975</xdr:rowOff>
    </xdr:to>
    <xdr:graphicFrame macro="">
      <xdr:nvGraphicFramePr>
        <xdr:cNvPr id="5" name="Chart 1">
          <a:extLst>
            <a:ext uri="{FF2B5EF4-FFF2-40B4-BE49-F238E27FC236}">
              <a16:creationId xmlns:a16="http://schemas.microsoft.com/office/drawing/2014/main" id="{B0665B02-662E-B9EB-DA1F-A5FA52BA50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8</xdr:col>
      <xdr:colOff>161925</xdr:colOff>
      <xdr:row>0</xdr:row>
      <xdr:rowOff>131445</xdr:rowOff>
    </xdr:from>
    <xdr:to>
      <xdr:col>20</xdr:col>
      <xdr:colOff>805815</xdr:colOff>
      <xdr:row>23</xdr:row>
      <xdr:rowOff>104775</xdr:rowOff>
    </xdr:to>
    <xdr:graphicFrame macro="">
      <xdr:nvGraphicFramePr>
        <xdr:cNvPr id="7" name="Chart 6">
          <a:extLst>
            <a:ext uri="{FF2B5EF4-FFF2-40B4-BE49-F238E27FC236}">
              <a16:creationId xmlns:a16="http://schemas.microsoft.com/office/drawing/2014/main" id="{6847BDAA-69AB-10A2-3906-C520FF8877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49530</xdr:colOff>
      <xdr:row>0</xdr:row>
      <xdr:rowOff>43815</xdr:rowOff>
    </xdr:from>
    <xdr:to>
      <xdr:col>8</xdr:col>
      <xdr:colOff>428625</xdr:colOff>
      <xdr:row>15</xdr:row>
      <xdr:rowOff>28575</xdr:rowOff>
    </xdr:to>
    <xdr:graphicFrame macro="">
      <xdr:nvGraphicFramePr>
        <xdr:cNvPr id="2" name="Chart 1">
          <a:extLst>
            <a:ext uri="{FF2B5EF4-FFF2-40B4-BE49-F238E27FC236}">
              <a16:creationId xmlns:a16="http://schemas.microsoft.com/office/drawing/2014/main" id="{5CE6D008-7CB7-F593-02AC-000E8CAE67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548639</xdr:colOff>
      <xdr:row>0</xdr:row>
      <xdr:rowOff>85725</xdr:rowOff>
    </xdr:from>
    <xdr:to>
      <xdr:col>17</xdr:col>
      <xdr:colOff>542924</xdr:colOff>
      <xdr:row>14</xdr:row>
      <xdr:rowOff>152400</xdr:rowOff>
    </xdr:to>
    <xdr:graphicFrame macro="">
      <xdr:nvGraphicFramePr>
        <xdr:cNvPr id="3" name="Chart 2">
          <a:extLst>
            <a:ext uri="{FF2B5EF4-FFF2-40B4-BE49-F238E27FC236}">
              <a16:creationId xmlns:a16="http://schemas.microsoft.com/office/drawing/2014/main" id="{B6009E10-C781-3EB9-3CAB-A021FC975F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76201</xdr:colOff>
      <xdr:row>15</xdr:row>
      <xdr:rowOff>57151</xdr:rowOff>
    </xdr:from>
    <xdr:to>
      <xdr:col>8</xdr:col>
      <xdr:colOff>504825</xdr:colOff>
      <xdr:row>28</xdr:row>
      <xdr:rowOff>76201</xdr:rowOff>
    </xdr:to>
    <xdr:graphicFrame macro="">
      <xdr:nvGraphicFramePr>
        <xdr:cNvPr id="4" name="Chart 1">
          <a:extLst>
            <a:ext uri="{FF2B5EF4-FFF2-40B4-BE49-F238E27FC236}">
              <a16:creationId xmlns:a16="http://schemas.microsoft.com/office/drawing/2014/main" id="{433DB2BF-0896-B46A-52EB-FA1AA824E4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929640</xdr:colOff>
      <xdr:row>4</xdr:row>
      <xdr:rowOff>121920</xdr:rowOff>
    </xdr:from>
    <xdr:to>
      <xdr:col>2</xdr:col>
      <xdr:colOff>335280</xdr:colOff>
      <xdr:row>17</xdr:row>
      <xdr:rowOff>7620</xdr:rowOff>
    </xdr:to>
    <xdr:sp macro="" textlink="">
      <xdr:nvSpPr>
        <xdr:cNvPr id="2" name="Rectangle: Rounded Corners 1">
          <a:extLst>
            <a:ext uri="{FF2B5EF4-FFF2-40B4-BE49-F238E27FC236}">
              <a16:creationId xmlns:a16="http://schemas.microsoft.com/office/drawing/2014/main" id="{04BE969F-BB68-194A-FA57-C43A9CEA9C79}"/>
            </a:ext>
          </a:extLst>
        </xdr:cNvPr>
        <xdr:cNvSpPr/>
      </xdr:nvSpPr>
      <xdr:spPr>
        <a:xfrm>
          <a:off x="929640" y="1028700"/>
          <a:ext cx="2369820" cy="226314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304800</xdr:colOff>
      <xdr:row>4</xdr:row>
      <xdr:rowOff>167640</xdr:rowOff>
    </xdr:from>
    <xdr:to>
      <xdr:col>8</xdr:col>
      <xdr:colOff>236220</xdr:colOff>
      <xdr:row>17</xdr:row>
      <xdr:rowOff>53340</xdr:rowOff>
    </xdr:to>
    <xdr:sp macro="" textlink="">
      <xdr:nvSpPr>
        <xdr:cNvPr id="3" name="Rectangle: Rounded Corners 2">
          <a:extLst>
            <a:ext uri="{FF2B5EF4-FFF2-40B4-BE49-F238E27FC236}">
              <a16:creationId xmlns:a16="http://schemas.microsoft.com/office/drawing/2014/main" id="{4BB8DFA7-25FA-7F69-B65C-F3E7110CAA60}"/>
            </a:ext>
          </a:extLst>
        </xdr:cNvPr>
        <xdr:cNvSpPr/>
      </xdr:nvSpPr>
      <xdr:spPr>
        <a:xfrm>
          <a:off x="4488180" y="1074420"/>
          <a:ext cx="2369820" cy="226314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866775</xdr:colOff>
      <xdr:row>6</xdr:row>
      <xdr:rowOff>95250</xdr:rowOff>
    </xdr:from>
    <xdr:to>
      <xdr:col>2</xdr:col>
      <xdr:colOff>361950</xdr:colOff>
      <xdr:row>17</xdr:row>
      <xdr:rowOff>66675</xdr:rowOff>
    </xdr:to>
    <xdr:graphicFrame macro="">
      <xdr:nvGraphicFramePr>
        <xdr:cNvPr id="11" name="Chart 10">
          <a:extLst>
            <a:ext uri="{FF2B5EF4-FFF2-40B4-BE49-F238E27FC236}">
              <a16:creationId xmlns:a16="http://schemas.microsoft.com/office/drawing/2014/main" id="{A7E971DA-C8E9-B7BC-F3A1-3830D867B1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205740</xdr:colOff>
      <xdr:row>4</xdr:row>
      <xdr:rowOff>180976</xdr:rowOff>
    </xdr:from>
    <xdr:to>
      <xdr:col>8</xdr:col>
      <xdr:colOff>396240</xdr:colOff>
      <xdr:row>17</xdr:row>
      <xdr:rowOff>30480</xdr:rowOff>
    </xdr:to>
    <xdr:graphicFrame macro="">
      <xdr:nvGraphicFramePr>
        <xdr:cNvPr id="12" name="Chart 11">
          <a:extLst>
            <a:ext uri="{FF2B5EF4-FFF2-40B4-BE49-F238E27FC236}">
              <a16:creationId xmlns:a16="http://schemas.microsoft.com/office/drawing/2014/main" id="{50130979-5B76-7E0F-2243-B06C4FECCC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1038224</xdr:colOff>
      <xdr:row>5</xdr:row>
      <xdr:rowOff>19050</xdr:rowOff>
    </xdr:from>
    <xdr:to>
      <xdr:col>2</xdr:col>
      <xdr:colOff>66675</xdr:colOff>
      <xdr:row>16</xdr:row>
      <xdr:rowOff>180975</xdr:rowOff>
    </xdr:to>
    <xdr:graphicFrame macro="">
      <xdr:nvGraphicFramePr>
        <xdr:cNvPr id="7" name="Chart 6">
          <a:extLst>
            <a:ext uri="{FF2B5EF4-FFF2-40B4-BE49-F238E27FC236}">
              <a16:creationId xmlns:a16="http://schemas.microsoft.com/office/drawing/2014/main" id="{7EC6F91E-7BF3-A92D-4BE3-93DBB1A13B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476251</xdr:colOff>
      <xdr:row>6</xdr:row>
      <xdr:rowOff>95249</xdr:rowOff>
    </xdr:from>
    <xdr:to>
      <xdr:col>8</xdr:col>
      <xdr:colOff>85725</xdr:colOff>
      <xdr:row>16</xdr:row>
      <xdr:rowOff>161924</xdr:rowOff>
    </xdr:to>
    <xdr:graphicFrame macro="">
      <xdr:nvGraphicFramePr>
        <xdr:cNvPr id="8" name="Chart 7">
          <a:extLst>
            <a:ext uri="{FF2B5EF4-FFF2-40B4-BE49-F238E27FC236}">
              <a16:creationId xmlns:a16="http://schemas.microsoft.com/office/drawing/2014/main" id="{C6012083-DC6B-A1BE-627F-6ED3133443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847724</xdr:colOff>
      <xdr:row>5</xdr:row>
      <xdr:rowOff>95249</xdr:rowOff>
    </xdr:from>
    <xdr:to>
      <xdr:col>2</xdr:col>
      <xdr:colOff>276225</xdr:colOff>
      <xdr:row>18</xdr:row>
      <xdr:rowOff>200024</xdr:rowOff>
    </xdr:to>
    <xdr:pic>
      <xdr:nvPicPr>
        <xdr:cNvPr id="18" name="Picture 17">
          <a:extLst>
            <a:ext uri="{FF2B5EF4-FFF2-40B4-BE49-F238E27FC236}">
              <a16:creationId xmlns:a16="http://schemas.microsoft.com/office/drawing/2014/main" id="{2DBFD2F1-B073-4D6E-D6BC-06C9BBD39A2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47724" y="1209674"/>
          <a:ext cx="2305051" cy="2581275"/>
        </a:xfrm>
        <a:prstGeom prst="rect">
          <a:avLst/>
        </a:prstGeom>
      </xdr:spPr>
    </xdr:pic>
    <xdr:clientData/>
  </xdr:twoCellAnchor>
  <xdr:twoCellAnchor>
    <xdr:from>
      <xdr:col>0</xdr:col>
      <xdr:colOff>1581151</xdr:colOff>
      <xdr:row>17</xdr:row>
      <xdr:rowOff>19050</xdr:rowOff>
    </xdr:from>
    <xdr:to>
      <xdr:col>1</xdr:col>
      <xdr:colOff>676276</xdr:colOff>
      <xdr:row>18</xdr:row>
      <xdr:rowOff>180975</xdr:rowOff>
    </xdr:to>
    <xdr:sp macro="" textlink="">
      <xdr:nvSpPr>
        <xdr:cNvPr id="9" name="TextBox 8">
          <a:extLst>
            <a:ext uri="{FF2B5EF4-FFF2-40B4-BE49-F238E27FC236}">
              <a16:creationId xmlns:a16="http://schemas.microsoft.com/office/drawing/2014/main" id="{B0DAC3A7-8488-3ED9-D18F-839E1ABE529C}"/>
            </a:ext>
          </a:extLst>
        </xdr:cNvPr>
        <xdr:cNvSpPr txBox="1"/>
      </xdr:nvSpPr>
      <xdr:spPr>
        <a:xfrm>
          <a:off x="1581151" y="3419475"/>
          <a:ext cx="78105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mens</a:t>
          </a:r>
          <a:endParaRPr lang="en-US" sz="1100" b="1"/>
        </a:p>
      </xdr:txBody>
    </xdr:sp>
    <xdr:clientData/>
  </xdr:twoCellAnchor>
  <xdr:twoCellAnchor>
    <xdr:from>
      <xdr:col>5</xdr:col>
      <xdr:colOff>552449</xdr:colOff>
      <xdr:row>17</xdr:row>
      <xdr:rowOff>76200</xdr:rowOff>
    </xdr:from>
    <xdr:to>
      <xdr:col>7</xdr:col>
      <xdr:colOff>276224</xdr:colOff>
      <xdr:row>18</xdr:row>
      <xdr:rowOff>219075</xdr:rowOff>
    </xdr:to>
    <xdr:sp macro="" textlink="">
      <xdr:nvSpPr>
        <xdr:cNvPr id="10" name="TextBox 9">
          <a:extLst>
            <a:ext uri="{FF2B5EF4-FFF2-40B4-BE49-F238E27FC236}">
              <a16:creationId xmlns:a16="http://schemas.microsoft.com/office/drawing/2014/main" id="{0AD1F67D-C299-46B8-92C2-1D5FF6FC187B}"/>
            </a:ext>
          </a:extLst>
        </xdr:cNvPr>
        <xdr:cNvSpPr txBox="1"/>
      </xdr:nvSpPr>
      <xdr:spPr>
        <a:xfrm>
          <a:off x="5200649" y="3476625"/>
          <a:ext cx="9048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womens</a:t>
          </a:r>
          <a:endParaRPr lang="en-US" sz="1100" b="1"/>
        </a:p>
      </xdr:txBody>
    </xdr:sp>
    <xdr:clientData/>
  </xdr:twoCellAnchor>
  <xdr:twoCellAnchor editAs="oneCell">
    <xdr:from>
      <xdr:col>4</xdr:col>
      <xdr:colOff>123826</xdr:colOff>
      <xdr:row>3</xdr:row>
      <xdr:rowOff>57149</xdr:rowOff>
    </xdr:from>
    <xdr:to>
      <xdr:col>8</xdr:col>
      <xdr:colOff>447676</xdr:colOff>
      <xdr:row>20</xdr:row>
      <xdr:rowOff>19049</xdr:rowOff>
    </xdr:to>
    <xdr:pic>
      <xdr:nvPicPr>
        <xdr:cNvPr id="22" name="Picture 21">
          <a:extLst>
            <a:ext uri="{FF2B5EF4-FFF2-40B4-BE49-F238E27FC236}">
              <a16:creationId xmlns:a16="http://schemas.microsoft.com/office/drawing/2014/main" id="{2772F01C-F90D-6741-DAD5-179455CB64D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181476" y="790574"/>
          <a:ext cx="2686050" cy="330517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user/AppData/Local/Microsoft/Windows/INetCache/IE/L59UZX2L/MYTABLE1%5b1%5d.xlsx%5d.xlsx%5d.xlsx%5d.xlsx%5d.xlsx%5d.xlsx%5d.xlsx%5d.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user/AppData/Local/Microsoft/Windows/INetCache/IE/L59UZX2L/MYTABLE1%5b1%5d.xlsx%5d.xlsx%5d.xlsx%5d.xlsx%5d.xlsx%5d.xlsx%5d.xlsx%5d.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Users/user/AppData/Local/Microsoft/Windows/INetCache/IE/L59UZX2L/MYTABLE1%5b1%5d.xlsx%5d.xlsx%5d.xlsx%5d.xlsx%5d.xlsx%5d.xlsx%5d.xlsx%5d.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openxmlformats.org/officeDocument/2006/relationships/externalLinkPath" Target="/Users/user/AppData/Local/Microsoft/Windows/INetCache/IE/L59UZX2L/MYTABLE1%5b1%5d.xlsx%5d.xlsx%5d.xlsx%5d.xlsx%5d.xlsx%5d.xlsx%5d.xlsx%5d.xlsx" TargetMode="External"/><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2" Type="http://schemas.openxmlformats.org/officeDocument/2006/relationships/externalLinkPath" Target="/Users/user/AppData/Local/Microsoft/Windows/INetCache/IE/L59UZX2L/MYTABLE1%5b1%5d.xlsx%5d.xlsx%5d.xlsx%5d.xlsx%5d.xlsx%5d.xlsx%5d.xlsx%5d.xlsx" TargetMode="External"/><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wlikar Rupesh" refreshedDate="45870.738543171297" createdVersion="8" refreshedVersion="8" minRefreshableVersion="3" recordCount="17" xr:uid="{67B54F3E-08FD-4542-BF18-7FF6F10251AF}">
  <cacheSource type="worksheet">
    <worksheetSource ref="A1:E18" sheet=".xlsx].xlsx].xlsx].xlsx].xlsx].xlsx].xlsx].xlsx]Sheet1" r:id="rId2"/>
  </cacheSource>
  <cacheFields count="5">
    <cacheField name="Supplier Name" numFmtId="0">
      <sharedItems/>
    </cacheField>
    <cacheField name="CITY_NAME" numFmtId="0">
      <sharedItems count="13">
        <s v="Kanpur"/>
        <s v="Nagpur"/>
        <s v="Aligarh"/>
        <s v="Jalandhar"/>
        <s v="Henryet"/>
        <s v="Allahabad"/>
        <s v="Lucknow"/>
        <s v="Kochi"/>
        <s v="Farmville"/>
        <s v="Bristol"/>
        <s v="Mumbai"/>
        <s v="Gorakhpur"/>
        <s v="Kozhikode"/>
      </sharedItems>
    </cacheField>
    <cacheField name="STATE" numFmtId="0">
      <sharedItems count="7">
        <s v="Uttar Pradesh"/>
        <s v="Maharashtra"/>
        <s v="Punjab"/>
        <s v="----"/>
        <s v="Kerala"/>
        <s v="MO"/>
        <s v="FL"/>
      </sharedItems>
    </cacheField>
    <cacheField name="COUNT" numFmtId="0">
      <sharedItems count="2">
        <s v="India"/>
        <s v="Canada"/>
      </sharedItems>
    </cacheField>
    <cacheField name="No. of orders" numFmtId="0">
      <sharedItems containsSemiMixedTypes="0" containsString="0" containsNumber="1" containsInteger="1" minValue="9" maxValue="50"/>
    </cacheField>
  </cacheFields>
  <extLst>
    <ext xmlns:x14="http://schemas.microsoft.com/office/spreadsheetml/2009/9/main" uri="{725AE2AE-9491-48be-B2B4-4EB974FC3084}">
      <x14:pivotCacheDefinition pivotCacheId="191397330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wlikar Rupesh" refreshedDate="45870.897152199075" createdVersion="8" refreshedVersion="8" minRefreshableVersion="3" recordCount="17" xr:uid="{8B02B42C-274F-417F-979C-60771509AD5F}">
  <cacheSource type="worksheet">
    <worksheetSource ref="A1:F18" sheet=".xlsx].xlsx].xlsx].xlsx].xlsx].xlsx].xlsx].xlsx]Sheet1" r:id="rId2"/>
  </cacheSource>
  <cacheFields count="6">
    <cacheField name="Supplier Name" numFmtId="0">
      <sharedItems/>
    </cacheField>
    <cacheField name="CITY_NAME" numFmtId="0">
      <sharedItems/>
    </cacheField>
    <cacheField name="STATE" numFmtId="0">
      <sharedItems count="7">
        <s v="Uttar Pradesh"/>
        <s v="Maharashtra"/>
        <s v="Punjab"/>
        <s v="----"/>
        <s v="Kerala"/>
        <s v="MO"/>
        <s v="FL"/>
      </sharedItems>
    </cacheField>
    <cacheField name="COUNT" numFmtId="0">
      <sharedItems count="2">
        <s v="India"/>
        <s v="Canada"/>
      </sharedItems>
    </cacheField>
    <cacheField name="No. of orders" numFmtId="0">
      <sharedItems containsSemiMixedTypes="0" containsString="0" containsNumber="1" containsInteger="1" minValue="9" maxValue="50"/>
    </cacheField>
    <cacheField name="SALARY" numFmtId="0">
      <sharedItems containsSemiMixedTypes="0" containsString="0" containsNumber="1" containsInteger="1" minValue="5000" maxValue="45000"/>
    </cacheField>
  </cacheFields>
  <extLst>
    <ext xmlns:x14="http://schemas.microsoft.com/office/spreadsheetml/2009/9/main" uri="{725AE2AE-9491-48be-B2B4-4EB974FC3084}">
      <x14:pivotCacheDefinition pivotCacheId="3555091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wlikar Rupesh" refreshedDate="45871.834745370368" createdVersion="8" refreshedVersion="8" minRefreshableVersion="3" recordCount="5" xr:uid="{F24F1E8B-B02E-43EF-8CD7-4F4828E59BC7}">
  <cacheSource type="worksheet">
    <worksheetSource ref="A1:D6" sheet=".xlsx].xlsx].xlsx].xlsx].xlsx].xlsx].xlsx].xlsx]Sheet2" r:id="rId2"/>
  </cacheSource>
  <cacheFields count="7">
    <cacheField name="date" numFmtId="14">
      <sharedItems containsSemiMixedTypes="0" containsNonDate="0" containsDate="1" containsString="0" minDate="2020-03-04T00:00:00" maxDate="2024-01-05T00:00:00" count="5">
        <d v="2024-01-02T00:00:00"/>
        <d v="2024-01-03T00:00:00"/>
        <d v="2024-01-04T00:00:00"/>
        <d v="2023-02-05T00:00:00"/>
        <d v="2020-03-04T00:00:00"/>
      </sharedItems>
      <fieldGroup par="6"/>
    </cacheField>
    <cacheField name="name" numFmtId="0">
      <sharedItems count="5">
        <s v="ninja"/>
        <s v="hatodi"/>
        <s v="hathi"/>
        <s v="doremon"/>
        <s v="shaktiman"/>
      </sharedItems>
    </cacheField>
    <cacheField name="dept" numFmtId="0">
      <sharedItems count="3">
        <s v="production"/>
        <s v="sales"/>
        <s v="mfg"/>
      </sharedItems>
    </cacheField>
    <cacheField name="wages" numFmtId="0">
      <sharedItems containsSemiMixedTypes="0" containsString="0" containsNumber="1" containsInteger="1" minValue="200" maxValue="500"/>
    </cacheField>
    <cacheField name="Months (date)" numFmtId="0" databaseField="0">
      <fieldGroup base="0">
        <rangePr groupBy="months" startDate="2020-03-04T00:00:00" endDate="2024-01-05T00:00:00"/>
        <groupItems count="14">
          <s v="&lt;3/4/2020"/>
          <s v="Jan"/>
          <s v="Feb"/>
          <s v="Mar"/>
          <s v="Apr"/>
          <s v="May"/>
          <s v="Jun"/>
          <s v="Jul"/>
          <s v="Aug"/>
          <s v="Sep"/>
          <s v="Oct"/>
          <s v="Nov"/>
          <s v="Dec"/>
          <s v="&gt;1/5/2024"/>
        </groupItems>
      </fieldGroup>
    </cacheField>
    <cacheField name="Quarters (date)" numFmtId="0" databaseField="0">
      <fieldGroup base="0">
        <rangePr groupBy="quarters" startDate="2020-03-04T00:00:00" endDate="2024-01-05T00:00:00"/>
        <groupItems count="6">
          <s v="&lt;3/4/2020"/>
          <s v="Qtr1"/>
          <s v="Qtr2"/>
          <s v="Qtr3"/>
          <s v="Qtr4"/>
          <s v="&gt;1/5/2024"/>
        </groupItems>
      </fieldGroup>
    </cacheField>
    <cacheField name="Years (date)" numFmtId="0" databaseField="0">
      <fieldGroup base="0">
        <rangePr groupBy="years" startDate="2020-03-04T00:00:00" endDate="2024-01-05T00:00:00"/>
        <groupItems count="7">
          <s v="&lt;3/4/2020"/>
          <s v="2020"/>
          <s v="2021"/>
          <s v="2022"/>
          <s v="2023"/>
          <s v="2024"/>
          <s v="&gt;1/5/2024"/>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wlikar Rupesh" refreshedDate="45871.985468865743" createdVersion="8" refreshedVersion="8" minRefreshableVersion="3" recordCount="20" xr:uid="{E5658FCF-1802-483B-B01D-C10B701CE52D}">
  <cacheSource type="worksheet">
    <worksheetSource ref="A1:E21" sheet=".xlsx].xlsx].xlsx].xlsx].xlsx].xlsx].xlsx].xlsx]Sheet3" r:id="rId2"/>
  </cacheSource>
  <cacheFields count="5">
    <cacheField name="Year" numFmtId="0">
      <sharedItems containsSemiMixedTypes="0" containsString="0" containsNumber="1" containsInteger="1" minValue="2017" maxValue="2021" count="5">
        <n v="2019"/>
        <n v="2020"/>
        <n v="2021"/>
        <n v="2017"/>
        <n v="2018"/>
      </sharedItems>
    </cacheField>
    <cacheField name="Car" numFmtId="0">
      <sharedItems count="8">
        <s v="Suzuki"/>
        <s v="Hyundai"/>
        <s v="Nissan"/>
        <s v="BMW"/>
        <s v="Ford"/>
        <s v="Ferrari"/>
        <s v="Mercedes"/>
        <s v="amborghin"/>
      </sharedItems>
    </cacheField>
    <cacheField name="Type" numFmtId="0">
      <sharedItems count="6">
        <s v="Coupe"/>
        <s v="Hatch-Back"/>
        <s v="Cruiser"/>
        <s v="GT"/>
        <s v="SUV"/>
        <s v="Sports"/>
      </sharedItems>
    </cacheField>
    <cacheField name="Quantity" numFmtId="0">
      <sharedItems containsSemiMixedTypes="0" containsString="0" containsNumber="1" containsInteger="1" minValue="1" maxValue="7" count="7">
        <n v="3"/>
        <n v="5"/>
        <n v="6"/>
        <n v="4"/>
        <n v="1"/>
        <n v="2"/>
        <n v="7"/>
      </sharedItems>
    </cacheField>
    <cacheField name="Price" numFmtId="0">
      <sharedItems containsSemiMixedTypes="0" containsString="0" containsNumber="1" containsInteger="1" minValue="35000" maxValue="350000" count="13">
        <n v="35000"/>
        <n v="85000"/>
        <n v="150000"/>
        <n v="50000"/>
        <n v="125000"/>
        <n v="120000"/>
        <n v="250000"/>
        <n v="40000"/>
        <n v="220000"/>
        <n v="300000"/>
        <n v="170000"/>
        <n v="350000"/>
        <n v="80000"/>
      </sharedItems>
    </cacheField>
  </cacheFields>
  <extLst>
    <ext xmlns:x14="http://schemas.microsoft.com/office/spreadsheetml/2009/9/main" uri="{725AE2AE-9491-48be-B2B4-4EB974FC3084}">
      <x14:pivotCacheDefinition pivotCacheId="1147526809"/>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wlikar Rupesh" refreshedDate="45873.691270254632" createdVersion="8" refreshedVersion="8" minRefreshableVersion="3" recordCount="5" xr:uid="{9C58CA79-B87E-4389-9720-D2F712279A4A}">
  <cacheSource type="worksheet">
    <worksheetSource ref="A1:J6" sheet=".xlsx].xlsx].xlsx].xlsx].xlsx].xlsx].xlsx].xlsx]Sheet18" r:id="rId2"/>
  </cacheSource>
  <cacheFields count="10">
    <cacheField name="Farmer ID" numFmtId="0">
      <sharedItems count="5">
        <s v="F001"/>
        <s v="F002"/>
        <s v="F003"/>
        <s v="F004"/>
        <s v="F005"/>
      </sharedItems>
    </cacheField>
    <cacheField name="Name" numFmtId="0">
      <sharedItems/>
    </cacheField>
    <cacheField name="Village" numFmtId="0">
      <sharedItems/>
    </cacheField>
    <cacheField name="Crop Type" numFmtId="0">
      <sharedItems count="4">
        <s v="Wheat"/>
        <s v="Rice"/>
        <s v="Cotton"/>
        <s v="Maize"/>
      </sharedItems>
    </cacheField>
    <cacheField name="Land Size (Acres)" numFmtId="0">
      <sharedItems containsSemiMixedTypes="0" containsString="0" containsNumber="1" minValue="1.5" maxValue="3"/>
    </cacheField>
    <cacheField name="Scheme Enrolled" numFmtId="0">
      <sharedItems/>
    </cacheField>
    <cacheField name="Subsidy Received" numFmtId="0">
      <sharedItems/>
    </cacheField>
    <cacheField name="Yield (kg)" numFmtId="0">
      <sharedItems containsSemiMixedTypes="0" containsString="0" containsNumber="1" containsInteger="1" minValue="1400" maxValue="2200" count="5">
        <n v="1800"/>
        <n v="1500"/>
        <n v="2200"/>
        <n v="1600"/>
        <n v="1400"/>
      </sharedItems>
    </cacheField>
    <cacheField name="Training Attended" numFmtId="0">
      <sharedItems/>
    </cacheField>
    <cacheField name="Complaint Status" numFmtId="0">
      <sharedItems count="3">
        <s v="Resolved"/>
        <s v="Pending"/>
        <s v="None"/>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s v="Transurban (USA) Development Ltd."/>
    <x v="0"/>
    <x v="0"/>
    <x v="0"/>
    <n v="9"/>
  </r>
  <r>
    <s v="COX TRACTOR COMPANY Ltd."/>
    <x v="1"/>
    <x v="1"/>
    <x v="0"/>
    <n v="50"/>
  </r>
  <r>
    <s v="Rolling Stock Pictures Ltd."/>
    <x v="2"/>
    <x v="0"/>
    <x v="0"/>
    <n v="26"/>
  </r>
  <r>
    <s v="Shirts &amp; Other Stuff Ltd."/>
    <x v="3"/>
    <x v="2"/>
    <x v="0"/>
    <n v="28"/>
  </r>
  <r>
    <s v="ERAC - Clean Air Ltd"/>
    <x v="4"/>
    <x v="3"/>
    <x v="0"/>
    <n v="48"/>
  </r>
  <r>
    <s v="Four Square Industrial Constructors Ltd"/>
    <x v="5"/>
    <x v="0"/>
    <x v="0"/>
    <n v="48"/>
  </r>
  <r>
    <s v="Green Shield"/>
    <x v="2"/>
    <x v="0"/>
    <x v="0"/>
    <n v="24"/>
  </r>
  <r>
    <s v="EZS Language Resource"/>
    <x v="6"/>
    <x v="0"/>
    <x v="0"/>
    <n v="34"/>
  </r>
  <r>
    <s v="Silver Dollar Optical Corporation"/>
    <x v="7"/>
    <x v="4"/>
    <x v="0"/>
    <n v="10"/>
  </r>
  <r>
    <s v="URS Corporation"/>
    <x v="1"/>
    <x v="1"/>
    <x v="0"/>
    <n v="28"/>
  </r>
  <r>
    <s v="Putney Mechanical Co. Ltd."/>
    <x v="8"/>
    <x v="5"/>
    <x v="1"/>
    <n v="11"/>
  </r>
  <r>
    <s v="DOMINION CARTON CORPORATION"/>
    <x v="9"/>
    <x v="6"/>
    <x v="1"/>
    <n v="29"/>
  </r>
  <r>
    <s v="Jai Welding Ltd"/>
    <x v="10"/>
    <x v="1"/>
    <x v="0"/>
    <n v="26"/>
  </r>
  <r>
    <s v="Virginia Turf Management Associates Ltd"/>
    <x v="11"/>
    <x v="0"/>
    <x v="0"/>
    <n v="42"/>
  </r>
  <r>
    <s v="Express Auto Center Ltd."/>
    <x v="5"/>
    <x v="0"/>
    <x v="0"/>
    <n v="42"/>
  </r>
  <r>
    <s v="Riesbeck Contracting Ltd."/>
    <x v="11"/>
    <x v="0"/>
    <x v="0"/>
    <n v="48"/>
  </r>
  <r>
    <s v="PROCONEX"/>
    <x v="12"/>
    <x v="4"/>
    <x v="0"/>
    <n v="2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s v="Transurban (USA) Development Ltd."/>
    <s v="Kanpur"/>
    <x v="0"/>
    <x v="0"/>
    <n v="9"/>
    <n v="5000"/>
  </r>
  <r>
    <s v="COX TRACTOR COMPANY Ltd."/>
    <s v="Nagpur"/>
    <x v="1"/>
    <x v="0"/>
    <n v="50"/>
    <n v="45000"/>
  </r>
  <r>
    <s v="Rolling Stock Pictures Ltd."/>
    <s v="Aligarh"/>
    <x v="0"/>
    <x v="0"/>
    <n v="26"/>
    <n v="43000"/>
  </r>
  <r>
    <s v="Shirts &amp; Other Stuff Ltd."/>
    <s v="Jalandhar"/>
    <x v="2"/>
    <x v="0"/>
    <n v="28"/>
    <n v="44000"/>
  </r>
  <r>
    <s v="ERAC - Clean Air Ltd"/>
    <s v="Henryet"/>
    <x v="3"/>
    <x v="0"/>
    <n v="48"/>
    <n v="30000"/>
  </r>
  <r>
    <s v="Four Square Industrial Constructors Ltd"/>
    <s v="Allahabad"/>
    <x v="0"/>
    <x v="0"/>
    <n v="48"/>
    <n v="20000"/>
  </r>
  <r>
    <s v="Green Shield"/>
    <s v="Aligarh"/>
    <x v="0"/>
    <x v="0"/>
    <n v="24"/>
    <n v="32000"/>
  </r>
  <r>
    <s v="EZS Language Resource"/>
    <s v="Lucknow"/>
    <x v="0"/>
    <x v="0"/>
    <n v="34"/>
    <n v="32000"/>
  </r>
  <r>
    <s v="Silver Dollar Optical Corporation"/>
    <s v="Kochi"/>
    <x v="4"/>
    <x v="0"/>
    <n v="10"/>
    <n v="32000"/>
  </r>
  <r>
    <s v="URS Corporation"/>
    <s v="Nagpur"/>
    <x v="1"/>
    <x v="0"/>
    <n v="28"/>
    <n v="41000"/>
  </r>
  <r>
    <s v="Putney Mechanical Co. Ltd."/>
    <s v="Farmville"/>
    <x v="5"/>
    <x v="1"/>
    <n v="11"/>
    <n v="5000"/>
  </r>
  <r>
    <s v="DOMINION CARTON CORPORATION"/>
    <s v="Bristol"/>
    <x v="6"/>
    <x v="1"/>
    <n v="29"/>
    <n v="45000"/>
  </r>
  <r>
    <s v="Jai Welding Ltd"/>
    <s v="Mumbai"/>
    <x v="1"/>
    <x v="0"/>
    <n v="26"/>
    <n v="43000"/>
  </r>
  <r>
    <s v="Virginia Turf Management Associates Ltd"/>
    <s v="Gorakhpur"/>
    <x v="0"/>
    <x v="0"/>
    <n v="42"/>
    <n v="44000"/>
  </r>
  <r>
    <s v="Express Auto Center Ltd."/>
    <s v="Allahabad"/>
    <x v="0"/>
    <x v="0"/>
    <n v="42"/>
    <n v="30000"/>
  </r>
  <r>
    <s v="Riesbeck Contracting Ltd."/>
    <s v="Gorakhpur"/>
    <x v="0"/>
    <x v="0"/>
    <n v="48"/>
    <n v="20000"/>
  </r>
  <r>
    <s v="PROCONEX"/>
    <s v="Kozhikode"/>
    <x v="4"/>
    <x v="0"/>
    <n v="27"/>
    <n v="320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x v="0"/>
    <x v="0"/>
    <n v="300"/>
  </r>
  <r>
    <x v="1"/>
    <x v="1"/>
    <x v="1"/>
    <n v="500"/>
  </r>
  <r>
    <x v="2"/>
    <x v="2"/>
    <x v="2"/>
    <n v="200"/>
  </r>
  <r>
    <x v="3"/>
    <x v="3"/>
    <x v="0"/>
    <n v="240"/>
  </r>
  <r>
    <x v="4"/>
    <x v="4"/>
    <x v="1"/>
    <n v="25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x v="0"/>
    <x v="0"/>
    <x v="0"/>
  </r>
  <r>
    <x v="0"/>
    <x v="1"/>
    <x v="1"/>
    <x v="1"/>
    <x v="1"/>
  </r>
  <r>
    <x v="1"/>
    <x v="2"/>
    <x v="2"/>
    <x v="2"/>
    <x v="2"/>
  </r>
  <r>
    <x v="1"/>
    <x v="3"/>
    <x v="3"/>
    <x v="3"/>
    <x v="1"/>
  </r>
  <r>
    <x v="2"/>
    <x v="4"/>
    <x v="4"/>
    <x v="3"/>
    <x v="3"/>
  </r>
  <r>
    <x v="2"/>
    <x v="5"/>
    <x v="5"/>
    <x v="1"/>
    <x v="4"/>
  </r>
  <r>
    <x v="3"/>
    <x v="6"/>
    <x v="3"/>
    <x v="4"/>
    <x v="5"/>
  </r>
  <r>
    <x v="3"/>
    <x v="7"/>
    <x v="5"/>
    <x v="3"/>
    <x v="6"/>
  </r>
  <r>
    <x v="4"/>
    <x v="1"/>
    <x v="0"/>
    <x v="5"/>
    <x v="7"/>
  </r>
  <r>
    <x v="4"/>
    <x v="2"/>
    <x v="3"/>
    <x v="3"/>
    <x v="8"/>
  </r>
  <r>
    <x v="0"/>
    <x v="3"/>
    <x v="5"/>
    <x v="6"/>
    <x v="5"/>
  </r>
  <r>
    <x v="0"/>
    <x v="4"/>
    <x v="1"/>
    <x v="0"/>
    <x v="0"/>
  </r>
  <r>
    <x v="1"/>
    <x v="5"/>
    <x v="5"/>
    <x v="3"/>
    <x v="9"/>
  </r>
  <r>
    <x v="1"/>
    <x v="5"/>
    <x v="5"/>
    <x v="0"/>
    <x v="6"/>
  </r>
  <r>
    <x v="2"/>
    <x v="6"/>
    <x v="3"/>
    <x v="5"/>
    <x v="10"/>
  </r>
  <r>
    <x v="2"/>
    <x v="7"/>
    <x v="4"/>
    <x v="5"/>
    <x v="11"/>
  </r>
  <r>
    <x v="3"/>
    <x v="1"/>
    <x v="4"/>
    <x v="4"/>
    <x v="12"/>
  </r>
  <r>
    <x v="4"/>
    <x v="2"/>
    <x v="5"/>
    <x v="3"/>
    <x v="9"/>
  </r>
  <r>
    <x v="4"/>
    <x v="3"/>
    <x v="4"/>
    <x v="5"/>
    <x v="2"/>
  </r>
  <r>
    <x v="4"/>
    <x v="4"/>
    <x v="3"/>
    <x v="3"/>
    <x v="1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s v="Ramesh"/>
    <s v="Rampur"/>
    <x v="0"/>
    <n v="2.5"/>
    <s v="PM-KISAN"/>
    <s v="₹6000"/>
    <x v="0"/>
    <s v="Yes"/>
    <x v="0"/>
  </r>
  <r>
    <x v="1"/>
    <s v="Sita"/>
    <s v="Lakhanpur"/>
    <x v="1"/>
    <n v="1.8"/>
    <s v="None"/>
    <s v="₹0"/>
    <x v="1"/>
    <s v="No"/>
    <x v="1"/>
  </r>
  <r>
    <x v="2"/>
    <s v="Mohan"/>
    <s v="Devgaon"/>
    <x v="2"/>
    <n v="3"/>
    <s v="Crop Insurance"/>
    <s v="₹12000"/>
    <x v="2"/>
    <s v="Yes"/>
    <x v="2"/>
  </r>
  <r>
    <x v="3"/>
    <s v="Geeta"/>
    <s v="Rampur"/>
    <x v="3"/>
    <n v="2"/>
    <s v="PM-KISAN"/>
    <s v="₹6000"/>
    <x v="3"/>
    <s v="No"/>
    <x v="0"/>
  </r>
  <r>
    <x v="4"/>
    <s v="Arjun"/>
    <s v="Lakhanpur"/>
    <x v="1"/>
    <n v="1.5"/>
    <s v="Crop Insurance"/>
    <s v="₹8000"/>
    <x v="4"/>
    <s v="Yes"/>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743A6F-1DF7-4B0D-BDE9-4A47331D5152}" name="PivotTable2"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11" firstHeaderRow="0" firstDataRow="1" firstDataCol="1"/>
  <pivotFields count="5">
    <pivotField showAll="0"/>
    <pivotField showAll="0">
      <items count="14">
        <item x="2"/>
        <item x="5"/>
        <item x="9"/>
        <item x="8"/>
        <item x="11"/>
        <item x="4"/>
        <item x="3"/>
        <item x="0"/>
        <item x="7"/>
        <item x="12"/>
        <item x="6"/>
        <item x="10"/>
        <item x="1"/>
        <item t="default"/>
      </items>
    </pivotField>
    <pivotField axis="axisRow" showAll="0">
      <items count="8">
        <item x="3"/>
        <item x="6"/>
        <item x="4"/>
        <item x="1"/>
        <item x="5"/>
        <item x="2"/>
        <item x="0"/>
        <item t="default"/>
      </items>
    </pivotField>
    <pivotField dataField="1" showAll="0"/>
    <pivotField dataField="1" showAll="0"/>
  </pivotFields>
  <rowFields count="1">
    <field x="2"/>
  </rowFields>
  <rowItems count="8">
    <i>
      <x/>
    </i>
    <i>
      <x v="1"/>
    </i>
    <i>
      <x v="2"/>
    </i>
    <i>
      <x v="3"/>
    </i>
    <i>
      <x v="4"/>
    </i>
    <i>
      <x v="5"/>
    </i>
    <i>
      <x v="6"/>
    </i>
    <i t="grand">
      <x/>
    </i>
  </rowItems>
  <colFields count="1">
    <field x="-2"/>
  </colFields>
  <colItems count="2">
    <i>
      <x/>
    </i>
    <i i="1">
      <x v="1"/>
    </i>
  </colItems>
  <dataFields count="2">
    <dataField name="Sum of No. of orders" fld="4" baseField="0" baseItem="0"/>
    <dataField name="Count of COUNT" fld="3" subtotal="count" baseField="1"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44BA87-F122-4B92-8D49-3BF0713B484A}" name="PivotTable3"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H5:J13" firstHeaderRow="0" firstDataRow="1" firstDataCol="1"/>
  <pivotFields count="6">
    <pivotField showAll="0"/>
    <pivotField showAll="0"/>
    <pivotField axis="axisRow" showAll="0">
      <items count="8">
        <item x="3"/>
        <item x="6"/>
        <item x="4"/>
        <item x="1"/>
        <item x="5"/>
        <item x="2"/>
        <item x="0"/>
        <item t="default"/>
      </items>
    </pivotField>
    <pivotField dataField="1" showAll="0">
      <items count="3">
        <item x="1"/>
        <item x="0"/>
        <item t="default"/>
      </items>
    </pivotField>
    <pivotField dataField="1" showAll="0"/>
    <pivotField showAll="0"/>
  </pivotFields>
  <rowFields count="1">
    <field x="2"/>
  </rowFields>
  <rowItems count="8">
    <i>
      <x/>
    </i>
    <i>
      <x v="1"/>
    </i>
    <i>
      <x v="2"/>
    </i>
    <i>
      <x v="3"/>
    </i>
    <i>
      <x v="4"/>
    </i>
    <i>
      <x v="5"/>
    </i>
    <i>
      <x v="6"/>
    </i>
    <i t="grand">
      <x/>
    </i>
  </rowItems>
  <colFields count="1">
    <field x="-2"/>
  </colFields>
  <colItems count="2">
    <i>
      <x/>
    </i>
    <i i="1">
      <x v="1"/>
    </i>
  </colItems>
  <dataFields count="2">
    <dataField name="Sum of No. of orders" fld="4" baseField="0" baseItem="0"/>
    <dataField name="Count of COUNT" fld="3"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244BBD2-81CA-4BDA-B46B-B312AA32314F}" name="PivotTable1"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G9" firstHeaderRow="1" firstDataRow="1" firstDataCol="1" rowPageCount="1" colPageCount="1"/>
  <pivotFields count="7">
    <pivotField axis="axisPage" numFmtId="14" multipleItemSelectionAllowed="1" showAll="0">
      <items count="6">
        <item x="4"/>
        <item x="3"/>
        <item x="0"/>
        <item x="1"/>
        <item x="2"/>
        <item t="default"/>
      </items>
    </pivotField>
    <pivotField axis="axisRow" showAll="0">
      <items count="6">
        <item x="3"/>
        <item x="2"/>
        <item x="1"/>
        <item x="0"/>
        <item x="4"/>
        <item t="default"/>
      </items>
    </pivotField>
    <pivotField showAll="0">
      <items count="4">
        <item x="2"/>
        <item x="0"/>
        <item x="1"/>
        <item t="default"/>
      </items>
    </pivotField>
    <pivotField dataField="1"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8">
        <item sd="0" x="0"/>
        <item sd="0" x="1"/>
        <item sd="0" x="2"/>
        <item sd="0" x="3"/>
        <item sd="0" x="4"/>
        <item sd="0" x="5"/>
        <item sd="0" x="6"/>
        <item t="default"/>
      </items>
    </pivotField>
  </pivotFields>
  <rowFields count="1">
    <field x="1"/>
  </rowFields>
  <rowItems count="6">
    <i>
      <x/>
    </i>
    <i>
      <x v="1"/>
    </i>
    <i>
      <x v="2"/>
    </i>
    <i>
      <x v="3"/>
    </i>
    <i>
      <x v="4"/>
    </i>
    <i t="grand">
      <x/>
    </i>
  </rowItems>
  <colItems count="1">
    <i/>
  </colItems>
  <pageFields count="1">
    <pageField fld="0" hier="-1"/>
  </pageFields>
  <dataFields count="1">
    <dataField name="Sum of wages"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29B048F-E29C-49E0-BA19-C5FDD72A66EC}" name="PivotTable1"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12" firstHeaderRow="0" firstDataRow="1" firstDataCol="1" rowPageCount="1" colPageCount="1"/>
  <pivotFields count="5">
    <pivotField axis="axisPage" multipleItemSelectionAllowed="1" showAll="0">
      <items count="6">
        <item x="3"/>
        <item x="4"/>
        <item x="0"/>
        <item x="1"/>
        <item x="2"/>
        <item t="default"/>
      </items>
    </pivotField>
    <pivotField axis="axisRow" showAll="0">
      <items count="9">
        <item sd="0" x="7"/>
        <item sd="0" x="3"/>
        <item sd="0" x="5"/>
        <item sd="0" x="4"/>
        <item sd="0" x="1"/>
        <item sd="0" x="6"/>
        <item sd="0" x="2"/>
        <item sd="0" x="0"/>
        <item t="default" sd="0"/>
      </items>
    </pivotField>
    <pivotField axis="axisRow" showAll="0">
      <items count="7">
        <item x="0"/>
        <item x="2"/>
        <item x="3"/>
        <item x="1"/>
        <item x="5"/>
        <item x="4"/>
        <item t="default"/>
      </items>
    </pivotField>
    <pivotField dataField="1" showAll="0">
      <items count="8">
        <item x="4"/>
        <item x="5"/>
        <item x="0"/>
        <item x="3"/>
        <item x="1"/>
        <item x="2"/>
        <item x="6"/>
        <item t="default"/>
      </items>
    </pivotField>
    <pivotField dataField="1" showAll="0">
      <items count="14">
        <item x="0"/>
        <item x="7"/>
        <item x="3"/>
        <item x="12"/>
        <item x="1"/>
        <item x="5"/>
        <item x="4"/>
        <item x="2"/>
        <item x="10"/>
        <item x="8"/>
        <item x="6"/>
        <item x="9"/>
        <item x="11"/>
        <item t="default"/>
      </items>
    </pivotField>
  </pivotFields>
  <rowFields count="2">
    <field x="1"/>
    <field x="2"/>
  </rowFields>
  <rowItems count="9">
    <i>
      <x/>
    </i>
    <i>
      <x v="1"/>
    </i>
    <i>
      <x v="2"/>
    </i>
    <i>
      <x v="3"/>
    </i>
    <i>
      <x v="4"/>
    </i>
    <i>
      <x v="5"/>
    </i>
    <i>
      <x v="6"/>
    </i>
    <i>
      <x v="7"/>
    </i>
    <i t="grand">
      <x/>
    </i>
  </rowItems>
  <colFields count="1">
    <field x="-2"/>
  </colFields>
  <colItems count="2">
    <i>
      <x/>
    </i>
    <i i="1">
      <x v="1"/>
    </i>
  </colItems>
  <pageFields count="1">
    <pageField fld="0" hier="-1"/>
  </pageFields>
  <dataFields count="2">
    <dataField name="Count of Quantity" fld="3" subtotal="count" baseField="2" baseItem="5"/>
    <dataField name="Sum of Price" fld="4" baseField="0" baseItem="0"/>
  </dataFields>
  <formats count="12">
    <format dxfId="131">
      <pivotArea type="all" dataOnly="0" outline="0" fieldPosition="0"/>
    </format>
    <format dxfId="130">
      <pivotArea outline="0" collapsedLevelsAreSubtotals="1" fieldPosition="0"/>
    </format>
    <format dxfId="129">
      <pivotArea field="1" type="button" dataOnly="0" labelOnly="1" outline="0" axis="axisRow" fieldPosition="0"/>
    </format>
    <format dxfId="128">
      <pivotArea dataOnly="0" labelOnly="1" fieldPosition="0">
        <references count="1">
          <reference field="1" count="0"/>
        </references>
      </pivotArea>
    </format>
    <format dxfId="127">
      <pivotArea dataOnly="0" labelOnly="1" grandRow="1" outline="0" fieldPosition="0"/>
    </format>
    <format dxfId="126">
      <pivotArea dataOnly="0" labelOnly="1" outline="0" fieldPosition="0">
        <references count="1">
          <reference field="4294967294" count="2">
            <x v="0"/>
            <x v="1"/>
          </reference>
        </references>
      </pivotArea>
    </format>
    <format dxfId="125">
      <pivotArea type="all" dataOnly="0" outline="0" fieldPosition="0"/>
    </format>
    <format dxfId="124">
      <pivotArea outline="0" collapsedLevelsAreSubtotals="1" fieldPosition="0"/>
    </format>
    <format dxfId="123">
      <pivotArea field="1" type="button" dataOnly="0" labelOnly="1" outline="0" axis="axisRow" fieldPosition="0"/>
    </format>
    <format dxfId="122">
      <pivotArea dataOnly="0" labelOnly="1" fieldPosition="0">
        <references count="1">
          <reference field="1" count="0"/>
        </references>
      </pivotArea>
    </format>
    <format dxfId="121">
      <pivotArea dataOnly="0" labelOnly="1" grandRow="1" outline="0" fieldPosition="0"/>
    </format>
    <format dxfId="120">
      <pivotArea dataOnly="0" labelOnly="1" outline="0" fieldPosition="0">
        <references count="1">
          <reference field="4294967294" count="2">
            <x v="0"/>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D8944AE-FB40-4B10-B380-C92510069383}" name="PivotTable4"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C10" firstHeaderRow="0" firstDataRow="1" firstDataCol="1" rowPageCount="1" colPageCount="1"/>
  <pivotFields count="5">
    <pivotField showAll="0">
      <items count="6">
        <item x="3"/>
        <item x="4"/>
        <item x="0"/>
        <item x="1"/>
        <item x="2"/>
        <item t="default"/>
      </items>
    </pivotField>
    <pivotField axis="axisPage" multipleItemSelectionAllowed="1" showAll="0">
      <items count="9">
        <item x="7"/>
        <item x="3"/>
        <item x="5"/>
        <item x="4"/>
        <item x="1"/>
        <item x="6"/>
        <item x="2"/>
        <item x="0"/>
        <item t="default"/>
      </items>
    </pivotField>
    <pivotField axis="axisRow" showAll="0">
      <items count="7">
        <item x="0"/>
        <item x="2"/>
        <item x="3"/>
        <item x="1"/>
        <item x="5"/>
        <item x="4"/>
        <item t="default"/>
      </items>
    </pivotField>
    <pivotField dataField="1" showAll="0">
      <items count="8">
        <item x="4"/>
        <item x="5"/>
        <item x="0"/>
        <item x="3"/>
        <item x="1"/>
        <item x="2"/>
        <item x="6"/>
        <item t="default"/>
      </items>
    </pivotField>
    <pivotField dataField="1" showAll="0">
      <items count="14">
        <item x="0"/>
        <item x="7"/>
        <item x="3"/>
        <item x="12"/>
        <item x="1"/>
        <item x="5"/>
        <item x="4"/>
        <item x="2"/>
        <item x="10"/>
        <item x="8"/>
        <item x="6"/>
        <item x="9"/>
        <item x="11"/>
        <item t="default"/>
      </items>
    </pivotField>
  </pivotFields>
  <rowFields count="1">
    <field x="2"/>
  </rowFields>
  <rowItems count="7">
    <i>
      <x/>
    </i>
    <i>
      <x v="1"/>
    </i>
    <i>
      <x v="2"/>
    </i>
    <i>
      <x v="3"/>
    </i>
    <i>
      <x v="4"/>
    </i>
    <i>
      <x v="5"/>
    </i>
    <i t="grand">
      <x/>
    </i>
  </rowItems>
  <colFields count="1">
    <field x="-2"/>
  </colFields>
  <colItems count="2">
    <i>
      <x/>
    </i>
    <i i="1">
      <x v="1"/>
    </i>
  </colItems>
  <pageFields count="1">
    <pageField fld="1" hier="-1"/>
  </pageFields>
  <dataFields count="2">
    <dataField name="Count of Quantity" fld="3" subtotal="count" baseField="1" baseItem="0"/>
    <dataField name="Sum of Price" fld="4" baseField="0" baseItem="0"/>
  </dataFields>
  <chartFormats count="48">
    <chartFormat chart="6" format="2" series="1">
      <pivotArea type="data" outline="0" fieldPosition="0">
        <references count="1">
          <reference field="4294967294" count="1" selected="0">
            <x v="0"/>
          </reference>
        </references>
      </pivotArea>
    </chartFormat>
    <chartFormat chart="6" format="3">
      <pivotArea type="data" outline="0" fieldPosition="0">
        <references count="3">
          <reference field="4294967294" count="1" selected="0">
            <x v="0"/>
          </reference>
          <reference field="1" count="1" selected="0">
            <x v="0"/>
          </reference>
          <reference field="2" count="1" selected="0">
            <x v="4"/>
          </reference>
        </references>
      </pivotArea>
    </chartFormat>
    <chartFormat chart="6" format="4">
      <pivotArea type="data" outline="0" fieldPosition="0">
        <references count="3">
          <reference field="4294967294" count="1" selected="0">
            <x v="0"/>
          </reference>
          <reference field="1" count="1" selected="0">
            <x v="0"/>
          </reference>
          <reference field="2" count="1" selected="0">
            <x v="5"/>
          </reference>
        </references>
      </pivotArea>
    </chartFormat>
    <chartFormat chart="6" format="5">
      <pivotArea type="data" outline="0" fieldPosition="0">
        <references count="3">
          <reference field="4294967294" count="1" selected="0">
            <x v="0"/>
          </reference>
          <reference field="1" count="1" selected="0">
            <x v="1"/>
          </reference>
          <reference field="2" count="1" selected="0">
            <x v="2"/>
          </reference>
        </references>
      </pivotArea>
    </chartFormat>
    <chartFormat chart="6" format="6">
      <pivotArea type="data" outline="0" fieldPosition="0">
        <references count="3">
          <reference field="4294967294" count="1" selected="0">
            <x v="0"/>
          </reference>
          <reference field="1" count="1" selected="0">
            <x v="1"/>
          </reference>
          <reference field="2" count="1" selected="0">
            <x v="4"/>
          </reference>
        </references>
      </pivotArea>
    </chartFormat>
    <chartFormat chart="6" format="7">
      <pivotArea type="data" outline="0" fieldPosition="0">
        <references count="3">
          <reference field="4294967294" count="1" selected="0">
            <x v="0"/>
          </reference>
          <reference field="1" count="1" selected="0">
            <x v="1"/>
          </reference>
          <reference field="2" count="1" selected="0">
            <x v="5"/>
          </reference>
        </references>
      </pivotArea>
    </chartFormat>
    <chartFormat chart="6" format="8">
      <pivotArea type="data" outline="0" fieldPosition="0">
        <references count="3">
          <reference field="4294967294" count="1" selected="0">
            <x v="0"/>
          </reference>
          <reference field="1" count="1" selected="0">
            <x v="2"/>
          </reference>
          <reference field="2" count="1" selected="0">
            <x v="4"/>
          </reference>
        </references>
      </pivotArea>
    </chartFormat>
    <chartFormat chart="6" format="9">
      <pivotArea type="data" outline="0" fieldPosition="0">
        <references count="3">
          <reference field="4294967294" count="1" selected="0">
            <x v="0"/>
          </reference>
          <reference field="1" count="1" selected="0">
            <x v="3"/>
          </reference>
          <reference field="2" count="1" selected="0">
            <x v="2"/>
          </reference>
        </references>
      </pivotArea>
    </chartFormat>
    <chartFormat chart="6" format="10">
      <pivotArea type="data" outline="0" fieldPosition="0">
        <references count="3">
          <reference field="4294967294" count="1" selected="0">
            <x v="0"/>
          </reference>
          <reference field="1" count="1" selected="0">
            <x v="3"/>
          </reference>
          <reference field="2" count="1" selected="0">
            <x v="3"/>
          </reference>
        </references>
      </pivotArea>
    </chartFormat>
    <chartFormat chart="6" format="11">
      <pivotArea type="data" outline="0" fieldPosition="0">
        <references count="3">
          <reference field="4294967294" count="1" selected="0">
            <x v="0"/>
          </reference>
          <reference field="1" count="1" selected="0">
            <x v="3"/>
          </reference>
          <reference field="2" count="1" selected="0">
            <x v="5"/>
          </reference>
        </references>
      </pivotArea>
    </chartFormat>
    <chartFormat chart="6" format="12">
      <pivotArea type="data" outline="0" fieldPosition="0">
        <references count="3">
          <reference field="4294967294" count="1" selected="0">
            <x v="0"/>
          </reference>
          <reference field="1" count="1" selected="0">
            <x v="4"/>
          </reference>
          <reference field="2" count="1" selected="0">
            <x v="0"/>
          </reference>
        </references>
      </pivotArea>
    </chartFormat>
    <chartFormat chart="6" format="13">
      <pivotArea type="data" outline="0" fieldPosition="0">
        <references count="3">
          <reference field="4294967294" count="1" selected="0">
            <x v="0"/>
          </reference>
          <reference field="1" count="1" selected="0">
            <x v="4"/>
          </reference>
          <reference field="2" count="1" selected="0">
            <x v="3"/>
          </reference>
        </references>
      </pivotArea>
    </chartFormat>
    <chartFormat chart="6" format="14">
      <pivotArea type="data" outline="0" fieldPosition="0">
        <references count="3">
          <reference field="4294967294" count="1" selected="0">
            <x v="0"/>
          </reference>
          <reference field="1" count="1" selected="0">
            <x v="4"/>
          </reference>
          <reference field="2" count="1" selected="0">
            <x v="5"/>
          </reference>
        </references>
      </pivotArea>
    </chartFormat>
    <chartFormat chart="6" format="15">
      <pivotArea type="data" outline="0" fieldPosition="0">
        <references count="3">
          <reference field="4294967294" count="1" selected="0">
            <x v="0"/>
          </reference>
          <reference field="1" count="1" selected="0">
            <x v="5"/>
          </reference>
          <reference field="2" count="1" selected="0">
            <x v="2"/>
          </reference>
        </references>
      </pivotArea>
    </chartFormat>
    <chartFormat chart="6" format="16">
      <pivotArea type="data" outline="0" fieldPosition="0">
        <references count="3">
          <reference field="4294967294" count="1" selected="0">
            <x v="0"/>
          </reference>
          <reference field="1" count="1" selected="0">
            <x v="6"/>
          </reference>
          <reference field="2" count="1" selected="0">
            <x v="1"/>
          </reference>
        </references>
      </pivotArea>
    </chartFormat>
    <chartFormat chart="6" format="17">
      <pivotArea type="data" outline="0" fieldPosition="0">
        <references count="3">
          <reference field="4294967294" count="1" selected="0">
            <x v="0"/>
          </reference>
          <reference field="1" count="1" selected="0">
            <x v="6"/>
          </reference>
          <reference field="2" count="1" selected="0">
            <x v="2"/>
          </reference>
        </references>
      </pivotArea>
    </chartFormat>
    <chartFormat chart="6" format="18">
      <pivotArea type="data" outline="0" fieldPosition="0">
        <references count="3">
          <reference field="4294967294" count="1" selected="0">
            <x v="0"/>
          </reference>
          <reference field="1" count="1" selected="0">
            <x v="6"/>
          </reference>
          <reference field="2" count="1" selected="0">
            <x v="4"/>
          </reference>
        </references>
      </pivotArea>
    </chartFormat>
    <chartFormat chart="6" format="19">
      <pivotArea type="data" outline="0" fieldPosition="0">
        <references count="3">
          <reference field="4294967294" count="1" selected="0">
            <x v="0"/>
          </reference>
          <reference field="1" count="1" selected="0">
            <x v="7"/>
          </reference>
          <reference field="2" count="1" selected="0">
            <x v="0"/>
          </reference>
        </references>
      </pivotArea>
    </chartFormat>
    <chartFormat chart="6" format="20" series="1">
      <pivotArea type="data" outline="0" fieldPosition="0">
        <references count="1">
          <reference field="4294967294" count="1" selected="0">
            <x v="1"/>
          </reference>
        </references>
      </pivotArea>
    </chartFormat>
    <chartFormat chart="6" format="21">
      <pivotArea type="data" outline="0" fieldPosition="0">
        <references count="3">
          <reference field="4294967294" count="1" selected="0">
            <x v="1"/>
          </reference>
          <reference field="1" count="1" selected="0">
            <x v="0"/>
          </reference>
          <reference field="2" count="1" selected="0">
            <x v="4"/>
          </reference>
        </references>
      </pivotArea>
    </chartFormat>
    <chartFormat chart="6" format="22">
      <pivotArea type="data" outline="0" fieldPosition="0">
        <references count="3">
          <reference field="4294967294" count="1" selected="0">
            <x v="1"/>
          </reference>
          <reference field="1" count="1" selected="0">
            <x v="0"/>
          </reference>
          <reference field="2" count="1" selected="0">
            <x v="5"/>
          </reference>
        </references>
      </pivotArea>
    </chartFormat>
    <chartFormat chart="6" format="23">
      <pivotArea type="data" outline="0" fieldPosition="0">
        <references count="3">
          <reference field="4294967294" count="1" selected="0">
            <x v="1"/>
          </reference>
          <reference field="1" count="1" selected="0">
            <x v="1"/>
          </reference>
          <reference field="2" count="1" selected="0">
            <x v="2"/>
          </reference>
        </references>
      </pivotArea>
    </chartFormat>
    <chartFormat chart="6" format="24">
      <pivotArea type="data" outline="0" fieldPosition="0">
        <references count="3">
          <reference field="4294967294" count="1" selected="0">
            <x v="1"/>
          </reference>
          <reference field="1" count="1" selected="0">
            <x v="1"/>
          </reference>
          <reference field="2" count="1" selected="0">
            <x v="4"/>
          </reference>
        </references>
      </pivotArea>
    </chartFormat>
    <chartFormat chart="6" format="25">
      <pivotArea type="data" outline="0" fieldPosition="0">
        <references count="3">
          <reference field="4294967294" count="1" selected="0">
            <x v="1"/>
          </reference>
          <reference field="1" count="1" selected="0">
            <x v="1"/>
          </reference>
          <reference field="2" count="1" selected="0">
            <x v="5"/>
          </reference>
        </references>
      </pivotArea>
    </chartFormat>
    <chartFormat chart="6" format="26">
      <pivotArea type="data" outline="0" fieldPosition="0">
        <references count="3">
          <reference field="4294967294" count="1" selected="0">
            <x v="1"/>
          </reference>
          <reference field="1" count="1" selected="0">
            <x v="2"/>
          </reference>
          <reference field="2" count="1" selected="0">
            <x v="4"/>
          </reference>
        </references>
      </pivotArea>
    </chartFormat>
    <chartFormat chart="6" format="27">
      <pivotArea type="data" outline="0" fieldPosition="0">
        <references count="3">
          <reference field="4294967294" count="1" selected="0">
            <x v="1"/>
          </reference>
          <reference field="1" count="1" selected="0">
            <x v="3"/>
          </reference>
          <reference field="2" count="1" selected="0">
            <x v="2"/>
          </reference>
        </references>
      </pivotArea>
    </chartFormat>
    <chartFormat chart="6" format="28">
      <pivotArea type="data" outline="0" fieldPosition="0">
        <references count="3">
          <reference field="4294967294" count="1" selected="0">
            <x v="1"/>
          </reference>
          <reference field="1" count="1" selected="0">
            <x v="3"/>
          </reference>
          <reference field="2" count="1" selected="0">
            <x v="3"/>
          </reference>
        </references>
      </pivotArea>
    </chartFormat>
    <chartFormat chart="6" format="29">
      <pivotArea type="data" outline="0" fieldPosition="0">
        <references count="3">
          <reference field="4294967294" count="1" selected="0">
            <x v="1"/>
          </reference>
          <reference field="1" count="1" selected="0">
            <x v="3"/>
          </reference>
          <reference field="2" count="1" selected="0">
            <x v="5"/>
          </reference>
        </references>
      </pivotArea>
    </chartFormat>
    <chartFormat chart="6" format="30">
      <pivotArea type="data" outline="0" fieldPosition="0">
        <references count="3">
          <reference field="4294967294" count="1" selected="0">
            <x v="1"/>
          </reference>
          <reference field="1" count="1" selected="0">
            <x v="4"/>
          </reference>
          <reference field="2" count="1" selected="0">
            <x v="0"/>
          </reference>
        </references>
      </pivotArea>
    </chartFormat>
    <chartFormat chart="6" format="31">
      <pivotArea type="data" outline="0" fieldPosition="0">
        <references count="3">
          <reference field="4294967294" count="1" selected="0">
            <x v="1"/>
          </reference>
          <reference field="1" count="1" selected="0">
            <x v="4"/>
          </reference>
          <reference field="2" count="1" selected="0">
            <x v="3"/>
          </reference>
        </references>
      </pivotArea>
    </chartFormat>
    <chartFormat chart="6" format="32">
      <pivotArea type="data" outline="0" fieldPosition="0">
        <references count="3">
          <reference field="4294967294" count="1" selected="0">
            <x v="1"/>
          </reference>
          <reference field="1" count="1" selected="0">
            <x v="4"/>
          </reference>
          <reference field="2" count="1" selected="0">
            <x v="5"/>
          </reference>
        </references>
      </pivotArea>
    </chartFormat>
    <chartFormat chart="6" format="33">
      <pivotArea type="data" outline="0" fieldPosition="0">
        <references count="3">
          <reference field="4294967294" count="1" selected="0">
            <x v="1"/>
          </reference>
          <reference field="1" count="1" selected="0">
            <x v="5"/>
          </reference>
          <reference field="2" count="1" selected="0">
            <x v="2"/>
          </reference>
        </references>
      </pivotArea>
    </chartFormat>
    <chartFormat chart="6" format="34">
      <pivotArea type="data" outline="0" fieldPosition="0">
        <references count="3">
          <reference field="4294967294" count="1" selected="0">
            <x v="1"/>
          </reference>
          <reference field="1" count="1" selected="0">
            <x v="6"/>
          </reference>
          <reference field="2" count="1" selected="0">
            <x v="1"/>
          </reference>
        </references>
      </pivotArea>
    </chartFormat>
    <chartFormat chart="6" format="35">
      <pivotArea type="data" outline="0" fieldPosition="0">
        <references count="3">
          <reference field="4294967294" count="1" selected="0">
            <x v="1"/>
          </reference>
          <reference field="1" count="1" selected="0">
            <x v="6"/>
          </reference>
          <reference field="2" count="1" selected="0">
            <x v="2"/>
          </reference>
        </references>
      </pivotArea>
    </chartFormat>
    <chartFormat chart="6" format="36">
      <pivotArea type="data" outline="0" fieldPosition="0">
        <references count="3">
          <reference field="4294967294" count="1" selected="0">
            <x v="1"/>
          </reference>
          <reference field="1" count="1" selected="0">
            <x v="6"/>
          </reference>
          <reference field="2" count="1" selected="0">
            <x v="4"/>
          </reference>
        </references>
      </pivotArea>
    </chartFormat>
    <chartFormat chart="6" format="37">
      <pivotArea type="data" outline="0" fieldPosition="0">
        <references count="3">
          <reference field="4294967294" count="1" selected="0">
            <x v="1"/>
          </reference>
          <reference field="1" count="1" selected="0">
            <x v="7"/>
          </reference>
          <reference field="2" count="1" selected="0">
            <x v="0"/>
          </reference>
        </references>
      </pivotArea>
    </chartFormat>
    <chartFormat chart="6" format="38">
      <pivotArea type="data" outline="0" fieldPosition="0">
        <references count="2">
          <reference field="4294967294" count="1" selected="0">
            <x v="0"/>
          </reference>
          <reference field="2" count="1" selected="0">
            <x v="0"/>
          </reference>
        </references>
      </pivotArea>
    </chartFormat>
    <chartFormat chart="6" format="39">
      <pivotArea type="data" outline="0" fieldPosition="0">
        <references count="2">
          <reference field="4294967294" count="1" selected="0">
            <x v="0"/>
          </reference>
          <reference field="2" count="1" selected="0">
            <x v="1"/>
          </reference>
        </references>
      </pivotArea>
    </chartFormat>
    <chartFormat chart="6" format="40">
      <pivotArea type="data" outline="0" fieldPosition="0">
        <references count="2">
          <reference field="4294967294" count="1" selected="0">
            <x v="0"/>
          </reference>
          <reference field="2" count="1" selected="0">
            <x v="2"/>
          </reference>
        </references>
      </pivotArea>
    </chartFormat>
    <chartFormat chart="6" format="41">
      <pivotArea type="data" outline="0" fieldPosition="0">
        <references count="2">
          <reference field="4294967294" count="1" selected="0">
            <x v="0"/>
          </reference>
          <reference field="2" count="1" selected="0">
            <x v="3"/>
          </reference>
        </references>
      </pivotArea>
    </chartFormat>
    <chartFormat chart="6" format="42">
      <pivotArea type="data" outline="0" fieldPosition="0">
        <references count="2">
          <reference field="4294967294" count="1" selected="0">
            <x v="0"/>
          </reference>
          <reference field="2" count="1" selected="0">
            <x v="4"/>
          </reference>
        </references>
      </pivotArea>
    </chartFormat>
    <chartFormat chart="6" format="43">
      <pivotArea type="data" outline="0" fieldPosition="0">
        <references count="2">
          <reference field="4294967294" count="1" selected="0">
            <x v="0"/>
          </reference>
          <reference field="2" count="1" selected="0">
            <x v="5"/>
          </reference>
        </references>
      </pivotArea>
    </chartFormat>
    <chartFormat chart="6" format="44">
      <pivotArea type="data" outline="0" fieldPosition="0">
        <references count="2">
          <reference field="4294967294" count="1" selected="0">
            <x v="1"/>
          </reference>
          <reference field="2" count="1" selected="0">
            <x v="0"/>
          </reference>
        </references>
      </pivotArea>
    </chartFormat>
    <chartFormat chart="6" format="45">
      <pivotArea type="data" outline="0" fieldPosition="0">
        <references count="2">
          <reference field="4294967294" count="1" selected="0">
            <x v="1"/>
          </reference>
          <reference field="2" count="1" selected="0">
            <x v="1"/>
          </reference>
        </references>
      </pivotArea>
    </chartFormat>
    <chartFormat chart="6" format="46">
      <pivotArea type="data" outline="0" fieldPosition="0">
        <references count="2">
          <reference field="4294967294" count="1" selected="0">
            <x v="1"/>
          </reference>
          <reference field="2" count="1" selected="0">
            <x v="2"/>
          </reference>
        </references>
      </pivotArea>
    </chartFormat>
    <chartFormat chart="6" format="47">
      <pivotArea type="data" outline="0" fieldPosition="0">
        <references count="2">
          <reference field="4294967294" count="1" selected="0">
            <x v="1"/>
          </reference>
          <reference field="2" count="1" selected="0">
            <x v="3"/>
          </reference>
        </references>
      </pivotArea>
    </chartFormat>
    <chartFormat chart="6" format="48">
      <pivotArea type="data" outline="0" fieldPosition="0">
        <references count="2">
          <reference field="4294967294" count="1" selected="0">
            <x v="1"/>
          </reference>
          <reference field="2" count="1" selected="0">
            <x v="4"/>
          </reference>
        </references>
      </pivotArea>
    </chartFormat>
    <chartFormat chart="6" format="49">
      <pivotArea type="data" outline="0" fieldPosition="0">
        <references count="2">
          <reference field="4294967294" count="1" selected="0">
            <x v="1"/>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AE751FE-48C6-4E4D-B285-E098E4989C05}" name="PivotTable1"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0" firstHeaderRow="1" firstDataRow="2" firstDataCol="1" rowPageCount="1" colPageCount="1"/>
  <pivotFields count="10">
    <pivotField axis="axisRow" showAll="0">
      <items count="6">
        <item x="0"/>
        <item x="1"/>
        <item x="2"/>
        <item x="3"/>
        <item x="4"/>
        <item t="default"/>
      </items>
    </pivotField>
    <pivotField showAll="0"/>
    <pivotField showAll="0"/>
    <pivotField axis="axisPage" showAll="0">
      <items count="5">
        <item x="2"/>
        <item x="3"/>
        <item x="1"/>
        <item x="0"/>
        <item t="default"/>
      </items>
    </pivotField>
    <pivotField showAll="0"/>
    <pivotField showAll="0"/>
    <pivotField showAll="0"/>
    <pivotField dataField="1" showAll="0">
      <items count="6">
        <item x="4"/>
        <item x="1"/>
        <item x="3"/>
        <item x="0"/>
        <item x="2"/>
        <item t="default"/>
      </items>
    </pivotField>
    <pivotField showAll="0"/>
    <pivotField axis="axisCol" showAll="0">
      <items count="4">
        <item x="2"/>
        <item x="1"/>
        <item x="0"/>
        <item t="default"/>
      </items>
    </pivotField>
  </pivotFields>
  <rowFields count="1">
    <field x="0"/>
  </rowFields>
  <rowItems count="6">
    <i>
      <x/>
    </i>
    <i>
      <x v="1"/>
    </i>
    <i>
      <x v="2"/>
    </i>
    <i>
      <x v="3"/>
    </i>
    <i>
      <x v="4"/>
    </i>
    <i t="grand">
      <x/>
    </i>
  </rowItems>
  <colFields count="1">
    <field x="9"/>
  </colFields>
  <colItems count="4">
    <i>
      <x/>
    </i>
    <i>
      <x v="1"/>
    </i>
    <i>
      <x v="2"/>
    </i>
    <i t="grand">
      <x/>
    </i>
  </colItems>
  <pageFields count="1">
    <pageField fld="3" hier="-1"/>
  </pageFields>
  <dataFields count="1">
    <dataField name="Sum of Yield (kg)" fld="7" baseField="0" baseItem="0"/>
  </dataField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26A2056A-FA7D-448F-9745-406672B6B39D}" sourceName="STATE">
  <pivotTables>
    <pivotTable tabId="2" name="PivotTable2"/>
  </pivotTables>
  <data>
    <tabular pivotCacheId="1913973301">
      <items count="7">
        <i x="3" s="1"/>
        <i x="6" s="1"/>
        <i x="4" s="1"/>
        <i x="1" s="1"/>
        <i x="5"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B8EC804-F2F3-401C-9B9A-55E99533E34D}" sourceName="Year">
  <pivotTables>
    <pivotTable tabId="32" name="PivotTable1"/>
    <pivotTable tabId="38" name="PivotTable4"/>
  </pivotTables>
  <data>
    <tabular pivotCacheId="1147526809">
      <items count="5">
        <i x="3" s="1"/>
        <i x="4" s="1"/>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ntity" xr10:uid="{174599A3-A2E1-40D6-8996-0FD88730A7E4}" sourceName="Quantity">
  <pivotTables>
    <pivotTable tabId="32" name="PivotTable1"/>
    <pivotTable tabId="38" name="PivotTable4"/>
  </pivotTables>
  <data>
    <tabular pivotCacheId="1147526809">
      <items count="7">
        <i x="4" s="1"/>
        <i x="5" s="1"/>
        <i x="0" s="1"/>
        <i x="3" s="1"/>
        <i x="1" s="1"/>
        <i x="2"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 xr10:uid="{554097EB-6E0B-4E93-9AB0-227C82D443B6}" sourceName="Price">
  <pivotTables>
    <pivotTable tabId="32" name="PivotTable1"/>
    <pivotTable tabId="38" name="PivotTable4"/>
  </pivotTables>
  <data>
    <tabular pivotCacheId="1147526809">
      <items count="13">
        <i x="0" s="1"/>
        <i x="7" s="1"/>
        <i x="3" s="1"/>
        <i x="12" s="1"/>
        <i x="1" s="1"/>
        <i x="5" s="1"/>
        <i x="4" s="1"/>
        <i x="2" s="1"/>
        <i x="10" s="1"/>
        <i x="8" s="1"/>
        <i x="6" s="1"/>
        <i x="9"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82A2A1C4-672A-453F-9F5C-553A88060272}" cache="Slicer_STATE" caption="STATE" columnCount="2" rowHeight="234950"/>
  <slicer name="STATE 1" xr10:uid="{42BE351F-A9B9-4009-B74E-829779DED3F5}" cache="Slicer_STATE" caption="STATE" columnCount="7" style="SlicerStyleLight6"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14FCB3E4-A44A-43BC-B25E-898E825D7096}" cache="Slicer_Year" caption="Year" style="SlicerStyleLight2" rowHeight="234950"/>
  <slicer name="Quantity" xr10:uid="{A02274A3-9FD4-472B-B34F-9D91EB1B6C4A}" cache="Slicer_Quantity" caption="Quantity" columnCount="3" style="SlicerStyleLight6" rowHeight="234950"/>
  <slicer name="Price" xr10:uid="{2C85D8AB-6C9E-442F-9D40-B79B697DAD21}" cache="Slicer_Price" caption="Price" columnCount="6" style="SlicerStyleLight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B62227B-77AB-4368-9314-6EAB3FD1C4EC}" name="Table11" displayName="Table11" ref="A1:E11" totalsRowShown="0" headerRowDxfId="12" headerRowBorderDxfId="19" tableBorderDxfId="20" totalsRowBorderDxfId="18">
  <autoFilter ref="A1:E11" xr:uid="{8B62227B-77AB-4368-9314-6EAB3FD1C4EC}"/>
  <tableColumns count="5">
    <tableColumn id="1" xr3:uid="{DE541ED1-4A63-49D2-AC40-F141AEEE8BF5}" name="Salesman ID" dataDxfId="17"/>
    <tableColumn id="2" xr3:uid="{814879B4-0E7B-49DF-B2A5-3EFD8147B1A2}" name="Salesman" dataDxfId="16"/>
    <tableColumn id="3" xr3:uid="{A294CF2C-AEAD-427D-BE2D-236C411F2A11}" name="Product" dataDxfId="15"/>
    <tableColumn id="4" xr3:uid="{DC889662-8EF6-441E-9C96-FC30A0038DF4}" name="Zone" dataDxfId="14"/>
    <tableColumn id="5" xr3:uid="{E6F5966D-F8A2-4458-B69F-9C4CAE1A900C}" name="Sales" dataDxfId="13"/>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862E632-4018-4CD1-839A-182578E2F2C4}" name="Table5" displayName="Table5" ref="A1:E10" totalsRowShown="0" headerRowDxfId="140" headerRowBorderDxfId="139" tableBorderDxfId="138" totalsRowBorderDxfId="137">
  <autoFilter ref="A1:E10" xr:uid="{B862E632-4018-4CD1-839A-182578E2F2C4}"/>
  <tableColumns count="5">
    <tableColumn id="1" xr3:uid="{FBC1242A-392E-4833-84CB-0CDB954B7744}" name="sr no " dataDxfId="136"/>
    <tableColumn id="2" xr3:uid="{34F4A35B-073E-4124-9670-613110391DF6}" name="emp name" dataDxfId="135"/>
    <tableColumn id="3" xr3:uid="{89779F33-1694-4466-9AC1-EA051CAC517B}" name="qty " dataDxfId="134"/>
    <tableColumn id="4" xr3:uid="{50091566-E500-4899-B3BB-91C0B2F7E2A7}" name="monthly" dataDxfId="133"/>
    <tableColumn id="5" xr3:uid="{DB374A51-7A15-46C4-BE46-EDE943F1F32B}" name="per%" dataDxfId="132">
      <calculatedColumnFormula>C2*D2/100</calculatedColumnFormula>
    </tableColumn>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23B610C-E8BD-44B5-8624-CE27741736E8}" name="Table13" displayName="Table13" ref="A3:B13" totalsRowShown="0">
  <autoFilter ref="A3:B13" xr:uid="{A23B610C-E8BD-44B5-8624-CE27741736E8}"/>
  <tableColumns count="2">
    <tableColumn id="1" xr3:uid="{66DEB7C2-4DBE-43F4-9E39-E35A6D17FF46}" name="Row Labels" dataDxfId="11"/>
    <tableColumn id="2" xr3:uid="{EB055BF3-7DA6-4319-8EEC-7393C1291032}" name="Sum of qty "/>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3AFECCA-25E4-4081-8DE5-19CF895E9205}" name="Table6" displayName="Table6" ref="A1:H11" totalsRowShown="0" headerRowDxfId="119" dataDxfId="117" headerRowBorderDxfId="118" tableBorderDxfId="116" totalsRowBorderDxfId="115">
  <autoFilter ref="A1:H11" xr:uid="{F5720631-11DF-4CC9-B887-2BA9A96DB67D}"/>
  <tableColumns count="8">
    <tableColumn id="1" xr3:uid="{FA2EC776-E626-499A-9EE5-E50A4BB04010}" name="Order ID" dataDxfId="114"/>
    <tableColumn id="2" xr3:uid="{0068B47C-6CF1-4EFE-8B1A-506DD51AC7C6}" name="MONTH" dataDxfId="113"/>
    <tableColumn id="3" xr3:uid="{7EBA22B0-B747-45D4-8009-F6B85F83B7E4}" name="region" dataDxfId="112"/>
    <tableColumn id="4" xr3:uid="{5059FDE0-4C8B-48DD-8D6B-508F95953788}" name="Salesperson" dataDxfId="111"/>
    <tableColumn id="5" xr3:uid="{87A32EAC-F3DC-4A33-B1F7-41C2D2C5ED08}" name="Product Category" dataDxfId="110"/>
    <tableColumn id="6" xr3:uid="{9655FA62-9E21-4765-AFF6-13CE69EE7DFF}" name="Units Sold" dataDxfId="109"/>
    <tableColumn id="7" xr3:uid="{BE670E5B-3A84-4C0F-8AE6-E8DB12C036A5}" name="Unit Price" dataDxfId="108"/>
    <tableColumn id="8" xr3:uid="{55A5DFF9-EF66-49FB-AB13-C2D0C9BAE4FB}" name="Total Sales" dataDxfId="107"/>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59C3108-7188-4FD4-99E7-D82B6596D591}" name="Table7" displayName="Table7" ref="G1:L70" totalsRowShown="0" headerRowDxfId="106" headerRowBorderDxfId="105" tableBorderDxfId="104" totalsRowBorderDxfId="103">
  <autoFilter ref="G1:L70" xr:uid="{D59C3108-7188-4FD4-99E7-D82B6596D591}"/>
  <tableColumns count="6">
    <tableColumn id="1" xr3:uid="{DF714061-4434-48D7-A0A9-B072AAE3BB8F}" name="Qty Sold" dataDxfId="102"/>
    <tableColumn id="2" xr3:uid="{090347AA-C4E2-45E3-8ED2-E678E2857837}" name="Price" dataDxfId="101"/>
    <tableColumn id="3" xr3:uid="{B621941F-2425-429A-B5CA-ECBABB912EAF}" name="Unit" dataDxfId="100"/>
    <tableColumn id="4" xr3:uid="{A9424A19-4EAC-41D9-8BC1-57571F0A9F76}" name="Amount" dataDxfId="99"/>
    <tableColumn id="5" xr3:uid="{334D8994-33AA-4654-8B05-38327B3145EB}" name="Discount 5%" dataDxfId="98"/>
    <tableColumn id="6" xr3:uid="{FA135BAE-61F0-4A24-A75C-5EBD85527696}" name="Total Amount" dataDxfId="97"/>
  </tableColumns>
  <tableStyleInfo name="TableStyleMedium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52F9AF-6407-40E5-98E2-DC9BE6BC1C0A}" name="Table3" displayName="Table3" ref="A1:G71" totalsRowShown="0" headerRowDxfId="96" dataDxfId="94" headerRowBorderDxfId="95" tableBorderDxfId="93" totalsRowBorderDxfId="92">
  <tableColumns count="7">
    <tableColumn id="1" xr3:uid="{E21EBAF1-B1FE-48CF-9A85-7A6D640E6393}" name="Name" dataDxfId="91"/>
    <tableColumn id="2" xr3:uid="{7812F8D9-81FA-475D-B2DD-FA1E99B9DCBE}" name="basic salary" dataDxfId="90"/>
    <tableColumn id="3" xr3:uid="{373627CE-F35B-449A-8213-AB9396607DCD}" name="HRA 5%" dataDxfId="89">
      <calculatedColumnFormula>B2*5%</calculatedColumnFormula>
    </tableColumn>
    <tableColumn id="4" xr3:uid="{72E63652-E79C-4784-9288-F6C158DDFF23}" name="DA18%" dataDxfId="88">
      <calculatedColumnFormula>B2*18%</calculatedColumnFormula>
    </tableColumn>
    <tableColumn id="5" xr3:uid="{669A9430-2C25-4909-8281-265E7717E3C2}" name="GROSS SALARY" dataDxfId="87">
      <calculatedColumnFormula>SUM(B2:D2)</calculatedColumnFormula>
    </tableColumn>
    <tableColumn id="6" xr3:uid="{89693463-9352-4A19-8287-1FB33C05EC04}" name="PF12%" dataDxfId="86">
      <calculatedColumnFormula>B2*12%</calculatedColumnFormula>
    </tableColumn>
    <tableColumn id="7" xr3:uid="{C9FD3820-CA69-4890-8A69-C92BE355D8E3}" name="NET SALARY" dataDxfId="85">
      <calculatedColumnFormula>E2-F2</calculatedColumnFormula>
    </tableColumn>
  </tableColumns>
  <tableStyleInfo name="TableStyleMedium1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0EC7C01-5B02-43F2-9EDF-A429AA3F320C}" name="Table2" displayName="Table2" ref="B4:O16" totalsRowShown="0" headerRowDxfId="84" headerRowBorderDxfId="83" tableBorderDxfId="82" totalsRowBorderDxfId="81">
  <tableColumns count="14">
    <tableColumn id="1" xr3:uid="{55D31BB9-67E2-4607-AFEB-03F46D23EF46}" name="Rajesh" dataDxfId="80"/>
    <tableColumn id="2" xr3:uid="{50083040-0C2A-4AAE-8D90-EE66E7EF8406}" name="Manager" dataDxfId="79"/>
    <tableColumn id="3" xr3:uid="{EFF465BF-4A41-444A-9BC5-9B3A98AE7E9A}" name="50000" dataDxfId="78"/>
    <tableColumn id="4" xr3:uid="{741CAF3F-F3B8-4F3B-9A2C-65A1CC50B35E}" name="28" dataDxfId="77"/>
    <tableColumn id="5" xr3:uid="{EE00BF55-3367-4F35-A00B-57F5062AE5CC}" name="46667" dataDxfId="76">
      <calculatedColumnFormula>D5/30*E5</calculatedColumnFormula>
    </tableColumn>
    <tableColumn id="6" xr3:uid="{AAF2A605-2574-4BCD-BA9F-724D42EB5BCA}" name="3267" dataDxfId="75">
      <calculatedColumnFormula>F5*7%</calculatedColumnFormula>
    </tableColumn>
    <tableColumn id="7" xr3:uid="{51B1D635-2DEF-4542-8C6B-29333CCCF91B}" name="2333" dataDxfId="74">
      <calculatedColumnFormula>F5*5%</calculatedColumnFormula>
    </tableColumn>
    <tableColumn id="8" xr3:uid="{124EEF0D-5F14-43D0-8A89-BD1DBA307352}" name="3733" dataDxfId="73">
      <calculatedColumnFormula>F5*8%</calculatedColumnFormula>
    </tableColumn>
    <tableColumn id="9" xr3:uid="{CF976955-D57C-4C5B-B050-8224653F72C6}" name="60 HRS" dataDxfId="72"/>
    <tableColumn id="10" xr3:uid="{B83853B9-61E1-47DB-8B74-73E0F3F4B48E}" name="11667" dataDxfId="71">
      <calculatedColumnFormula>F5/30/8*J5</calculatedColumnFormula>
    </tableColumn>
    <tableColumn id="11" xr3:uid="{7D371A56-9DD5-4065-AED1-FD9C5DA5380E}" name="71000" dataDxfId="70">
      <calculatedColumnFormula>D5+G5+H5+I5+K5</calculatedColumnFormula>
    </tableColumn>
    <tableColumn id="12" xr3:uid="{6667EA54-8737-4787-91E4-A9B9BE770FA1}" name="3500" dataDxfId="69">
      <calculatedColumnFormula>D5*7%</calculatedColumnFormula>
    </tableColumn>
    <tableColumn id="13" xr3:uid="{0F2207C7-DCF4-4819-A7AB-7F4085255C3C}" name="4000" dataDxfId="68">
      <calculatedColumnFormula>D5*8%</calculatedColumnFormula>
    </tableColumn>
    <tableColumn id="14" xr3:uid="{593F7218-608C-4B7E-98BD-747AAAB7F4D8}" name="63500" dataDxfId="67">
      <calculatedColumnFormula>L5-M5-N5</calculatedColumnFormula>
    </tableColumn>
  </tableColumns>
  <tableStyleInfo name="TableStyleMedium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976970E-2A27-450E-96E0-B470160F1C25}" name="Table4" displayName="Table4" ref="C4:O16" totalsRowShown="0" tableBorderDxfId="66">
  <tableColumns count="13">
    <tableColumn id="1" xr3:uid="{28AFA471-B175-466C-9BF8-44A0DEAED4E3}" name="Rajesh" dataDxfId="65"/>
    <tableColumn id="2" xr3:uid="{75E8A017-2572-425D-B8BC-3E204A4079C7}" name="50000" dataDxfId="64"/>
    <tableColumn id="3" xr3:uid="{32BA976B-7DAB-43BB-A0F7-CD9CF2960729}" name="28"/>
    <tableColumn id="4" xr3:uid="{CE7498D3-D482-4F63-90BD-6C51E6D63F37}" name="46667" dataDxfId="63">
      <calculatedColumnFormula>D5/30*E5</calculatedColumnFormula>
    </tableColumn>
    <tableColumn id="5" xr3:uid="{1D119A45-59CF-4F43-94CF-F26ACDE3DFB2}" name="3500">
      <calculatedColumnFormula>D5*7%</calculatedColumnFormula>
    </tableColumn>
    <tableColumn id="6" xr3:uid="{B23C1A16-485E-4172-8B72-459C673446F1}" name="4000">
      <calculatedColumnFormula>D5*8%</calculatedColumnFormula>
    </tableColumn>
    <tableColumn id="7" xr3:uid="{F832601A-C826-4A4F-B16E-455137D87B2A}" name="40002">
      <calculatedColumnFormula>D5*8%</calculatedColumnFormula>
    </tableColumn>
    <tableColumn id="8" xr3:uid="{ED4F4E1A-57E7-4EF2-8119-DC849EBD4A23}" name="60 HRS" dataDxfId="62"/>
    <tableColumn id="9" xr3:uid="{02FE47A1-DD79-43E5-B360-ED69879AFA75}" name="12500">
      <calculatedColumnFormula>D5/30/8*J5</calculatedColumnFormula>
    </tableColumn>
    <tableColumn id="10" xr3:uid="{3A0AF477-4340-4759-8E89-5AE414D03575}" name="74000" dataDxfId="61">
      <calculatedColumnFormula>D5+G5+H5+I5+K5</calculatedColumnFormula>
    </tableColumn>
    <tableColumn id="11" xr3:uid="{C11C9F18-0938-477C-B241-89E62BA80F9E}" name="6000">
      <calculatedColumnFormula>D5*12%</calculatedColumnFormula>
    </tableColumn>
    <tableColumn id="12" xr3:uid="{3F7F8121-6DF0-4AE7-861B-E77C1181F817}" name="375">
      <calculatedColumnFormula>D5*0.75%</calculatedColumnFormula>
    </tableColumn>
    <tableColumn id="13" xr3:uid="{32EBE533-B28D-4125-B2EE-19A3190C3E97}" name="67625" dataDxfId="60">
      <calculatedColumnFormula>L5-M5-N5</calculatedColumnFormula>
    </tableColumn>
  </tableColumns>
  <tableStyleInfo name="TableStyleLight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03D99FD-6C65-42CC-9635-B0A582304DB5}" name="Table9" displayName="Table9" ref="A1:J6" totalsRowShown="0" headerRowDxfId="59" dataDxfId="57" headerRowBorderDxfId="58" tableBorderDxfId="56" totalsRowBorderDxfId="55">
  <autoFilter ref="A1:J6" xr:uid="{E03D99FD-6C65-42CC-9635-B0A582304DB5}"/>
  <tableColumns count="10">
    <tableColumn id="1" xr3:uid="{6A0C618E-5572-46DE-9F3C-EAA06982B1AA}" name="Farmer ID" dataDxfId="54"/>
    <tableColumn id="2" xr3:uid="{B87F8D57-5BA8-4E76-9AF8-260BF43A376B}" name="Name" dataDxfId="53"/>
    <tableColumn id="3" xr3:uid="{04A1BCF0-0ADC-4076-9B64-AC038A5106E7}" name="Village" dataDxfId="52"/>
    <tableColumn id="4" xr3:uid="{6237B26D-0FD9-4BD0-9420-60552021F499}" name="Crop Type" dataDxfId="51"/>
    <tableColumn id="5" xr3:uid="{E077937E-FB3A-44B7-AE31-C3D74CC6D1E3}" name="Land Size (Acres)" dataDxfId="50"/>
    <tableColumn id="6" xr3:uid="{27FE2FB2-2DB5-46C4-840D-3C78DC929F56}" name="Scheme Enrolled" dataDxfId="49"/>
    <tableColumn id="7" xr3:uid="{BA812EAB-8497-4E54-AC83-53B51110BE37}" name="Subsidy Received" dataDxfId="48"/>
    <tableColumn id="8" xr3:uid="{3C72112E-5747-42CE-B359-AA9180BA9471}" name="Yield (kg)" dataDxfId="47"/>
    <tableColumn id="9" xr3:uid="{002F97D4-8415-45E6-B8F4-9A927E48BA66}" name="Training Attended" dataDxfId="46"/>
    <tableColumn id="10" xr3:uid="{BF738453-68D0-4BB6-BE4C-11C07C067FB3}" name="Complaint Status" dataDxfId="45"/>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948173E-7F75-46D8-96B6-65CDB0D3B95A}" name="Table10" displayName="Table10" ref="A1:H6" totalsRowShown="0" headerRowDxfId="44" dataDxfId="42" headerRowBorderDxfId="43" tableBorderDxfId="41" totalsRowBorderDxfId="40">
  <autoFilter ref="A1:H6" xr:uid="{2948173E-7F75-46D8-96B6-65CDB0D3B95A}"/>
  <tableColumns count="8">
    <tableColumn id="1" xr3:uid="{3A9CF3B3-5D2B-45C0-BD36-97E06778A8E7}" name="Issue_Date" dataDxfId="39"/>
    <tableColumn id="2" xr3:uid="{AE69163B-DEF4-459A-86F8-1F5B01ABA167}" name="Name" dataDxfId="38"/>
    <tableColumn id="3" xr3:uid="{8AE903BD-E56F-4321-9B93-697FB41EAEAB}" name="Region" dataDxfId="37"/>
    <tableColumn id="4" xr3:uid="{DE76F0D8-42C5-466A-B4FE-3683FF61B9F3}" name="Issue_Type" dataDxfId="36"/>
    <tableColumn id="5" xr3:uid="{EFDA504C-8354-41C3-9BDD-71522DD236C5}" name="Support_Status" dataDxfId="35"/>
    <tableColumn id="6" xr3:uid="{DAF437F9-59C8-4E0D-B2E6-E901BA6E35FB}" name="Crop_Type" dataDxfId="34"/>
    <tableColumn id="7" xr3:uid="{1CD49787-8842-4FE9-AA60-64F434C0C6C0}" name="Resolution_Date" dataDxfId="33"/>
    <tableColumn id="8" xr3:uid="{335A1C7D-EC0D-4A22-9C03-329EC697F6CC}" name="Farmer_ID" dataDxfId="32"/>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DA46E1-C588-42F6-BE29-38209DA3DB25}" name="Table32" displayName="Table32" ref="A1:G71" totalsRowShown="0" headerRowDxfId="31" headerRowBorderDxfId="30" tableBorderDxfId="29" totalsRowBorderDxfId="28">
  <tableColumns count="7">
    <tableColumn id="1" xr3:uid="{E9F91784-D04A-4BBF-AA5D-EBB7BCC30EA1}" name="Name" dataDxfId="27"/>
    <tableColumn id="2" xr3:uid="{35A62788-2013-4BAE-A715-94F73ED0633F}" name="basic salary" dataDxfId="26"/>
    <tableColumn id="3" xr3:uid="{84250682-413B-4D10-BC87-84490827C59E}" name="HRA 5%" dataDxfId="25"/>
    <tableColumn id="4" xr3:uid="{7B9601DE-3E21-4A9B-A1BA-D1CC030A34A1}" name="DA18%" dataDxfId="24"/>
    <tableColumn id="5" xr3:uid="{CE775460-F36A-42A8-8607-6489619D48EB}" name="GROSS SALARY" dataDxfId="23"/>
    <tableColumn id="6" xr3:uid="{1B4611D1-27FA-4B3D-86B5-E148A4F2F803}" name="PF12%" dataDxfId="22"/>
    <tableColumn id="7" xr3:uid="{0B895267-0DBA-4870-AA9C-1024AB5330FE}" name="NET SALARY" dataDxfId="21"/>
  </tableColumns>
  <tableStyleInfo name="TableStyleLight1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9.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3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31.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7.xml"/></Relationships>
</file>

<file path=xl/worksheets/_rels/sheet44.xml.rels><?xml version="1.0" encoding="UTF-8" standalone="yes"?>
<Relationships xmlns="http://schemas.openxmlformats.org/package/2006/relationships"><Relationship Id="rId1" Type="http://schemas.openxmlformats.org/officeDocument/2006/relationships/table" Target="../tables/table8.xml"/></Relationships>
</file>

<file path=xl/worksheets/_rels/sheet45.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46.xml.rels><?xml version="1.0" encoding="UTF-8" standalone="yes"?>
<Relationships xmlns="http://schemas.openxmlformats.org/package/2006/relationships"><Relationship Id="rId1" Type="http://schemas.openxmlformats.org/officeDocument/2006/relationships/table" Target="../tables/table9.xml"/></Relationships>
</file>

<file path=xl/worksheets/_rels/sheet47.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0.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5C091-E7B1-4B78-8617-C06B28F56933}">
  <dimension ref="A3:J13"/>
  <sheetViews>
    <sheetView workbookViewId="0">
      <selection activeCell="I4" sqref="I3:I4"/>
    </sheetView>
  </sheetViews>
  <sheetFormatPr defaultRowHeight="15"/>
  <cols>
    <col min="1" max="1" width="12.5703125" bestFit="1" customWidth="1"/>
    <col min="2" max="2" width="18.7109375" bestFit="1" customWidth="1"/>
    <col min="3" max="3" width="15" bestFit="1" customWidth="1"/>
    <col min="6" max="6" width="12.28515625" bestFit="1" customWidth="1"/>
    <col min="7" max="7" width="19" customWidth="1"/>
    <col min="8" max="8" width="12.5703125" bestFit="1" customWidth="1"/>
    <col min="9" max="9" width="18.7109375" bestFit="1" customWidth="1"/>
    <col min="10" max="10" width="15" bestFit="1" customWidth="1"/>
  </cols>
  <sheetData>
    <row r="3" spans="1:10">
      <c r="A3" s="3" t="s">
        <v>44</v>
      </c>
      <c r="B3" t="s">
        <v>46</v>
      </c>
      <c r="C3" t="s">
        <v>47</v>
      </c>
    </row>
    <row r="4" spans="1:10">
      <c r="A4" s="4" t="s">
        <v>38</v>
      </c>
      <c r="B4">
        <v>48</v>
      </c>
      <c r="C4">
        <v>1</v>
      </c>
      <c r="J4" s="5"/>
    </row>
    <row r="5" spans="1:10">
      <c r="A5" s="4" t="s">
        <v>41</v>
      </c>
      <c r="B5">
        <v>29</v>
      </c>
      <c r="C5">
        <v>1</v>
      </c>
      <c r="H5" s="3" t="s">
        <v>44</v>
      </c>
      <c r="I5" t="s">
        <v>46</v>
      </c>
      <c r="J5" t="s">
        <v>47</v>
      </c>
    </row>
    <row r="6" spans="1:10">
      <c r="A6" s="4" t="s">
        <v>39</v>
      </c>
      <c r="B6">
        <v>37</v>
      </c>
      <c r="C6">
        <v>2</v>
      </c>
      <c r="H6" s="4" t="s">
        <v>38</v>
      </c>
      <c r="I6">
        <v>48</v>
      </c>
      <c r="J6">
        <v>1</v>
      </c>
    </row>
    <row r="7" spans="1:10">
      <c r="A7" s="4" t="s">
        <v>36</v>
      </c>
      <c r="B7">
        <v>104</v>
      </c>
      <c r="C7">
        <v>3</v>
      </c>
      <c r="H7" s="4" t="s">
        <v>41</v>
      </c>
      <c r="I7">
        <v>29</v>
      </c>
      <c r="J7">
        <v>1</v>
      </c>
    </row>
    <row r="8" spans="1:10">
      <c r="A8" s="4" t="s">
        <v>40</v>
      </c>
      <c r="B8">
        <v>11</v>
      </c>
      <c r="C8">
        <v>1</v>
      </c>
      <c r="H8" s="4" t="s">
        <v>39</v>
      </c>
      <c r="I8">
        <v>37</v>
      </c>
      <c r="J8">
        <v>2</v>
      </c>
    </row>
    <row r="9" spans="1:10">
      <c r="A9" s="4" t="s">
        <v>37</v>
      </c>
      <c r="B9">
        <v>28</v>
      </c>
      <c r="C9">
        <v>1</v>
      </c>
      <c r="H9" s="4" t="s">
        <v>36</v>
      </c>
      <c r="I9">
        <v>104</v>
      </c>
      <c r="J9">
        <v>3</v>
      </c>
    </row>
    <row r="10" spans="1:10">
      <c r="A10" s="4" t="s">
        <v>35</v>
      </c>
      <c r="B10">
        <v>273</v>
      </c>
      <c r="C10">
        <v>8</v>
      </c>
      <c r="H10" s="4" t="s">
        <v>40</v>
      </c>
      <c r="I10">
        <v>11</v>
      </c>
      <c r="J10">
        <v>1</v>
      </c>
    </row>
    <row r="11" spans="1:10">
      <c r="A11" s="4" t="s">
        <v>45</v>
      </c>
      <c r="B11">
        <v>530</v>
      </c>
      <c r="C11">
        <v>17</v>
      </c>
      <c r="H11" s="4" t="s">
        <v>37</v>
      </c>
      <c r="I11">
        <v>28</v>
      </c>
      <c r="J11">
        <v>1</v>
      </c>
    </row>
    <row r="12" spans="1:10">
      <c r="H12" s="4" t="s">
        <v>35</v>
      </c>
      <c r="I12">
        <v>273</v>
      </c>
      <c r="J12">
        <v>8</v>
      </c>
    </row>
    <row r="13" spans="1:10">
      <c r="H13" s="4" t="s">
        <v>45</v>
      </c>
      <c r="I13">
        <v>530</v>
      </c>
      <c r="J13">
        <v>17</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workbookViewId="0">
      <selection activeCell="F2" sqref="F2"/>
    </sheetView>
  </sheetViews>
  <sheetFormatPr defaultRowHeight="15"/>
  <cols>
    <col min="1" max="1" width="30.85546875" customWidth="1"/>
    <col min="2" max="2" width="28.28515625" customWidth="1"/>
    <col min="3" max="3" width="20.42578125" customWidth="1"/>
    <col min="4" max="4" width="17.42578125" customWidth="1"/>
    <col min="5" max="5" width="18.7109375" customWidth="1"/>
    <col min="6" max="6" width="15.140625" customWidth="1"/>
    <col min="7" max="7" width="12.5703125" bestFit="1" customWidth="1"/>
  </cols>
  <sheetData>
    <row r="1" spans="1:6">
      <c r="A1" s="1" t="s">
        <v>0</v>
      </c>
      <c r="B1" s="1" t="s">
        <v>1</v>
      </c>
      <c r="C1" s="1" t="s">
        <v>2</v>
      </c>
      <c r="D1" s="1" t="s">
        <v>3</v>
      </c>
      <c r="E1" s="1" t="s">
        <v>4</v>
      </c>
      <c r="F1" s="1" t="s">
        <v>48</v>
      </c>
    </row>
    <row r="2" spans="1:6">
      <c r="A2" s="2" t="s">
        <v>5</v>
      </c>
      <c r="B2" s="2" t="s">
        <v>22</v>
      </c>
      <c r="C2" s="2" t="s">
        <v>35</v>
      </c>
      <c r="D2" s="2" t="s">
        <v>42</v>
      </c>
      <c r="E2" s="2">
        <v>9</v>
      </c>
      <c r="F2" s="2">
        <v>5000</v>
      </c>
    </row>
    <row r="3" spans="1:6">
      <c r="A3" s="2" t="s">
        <v>6</v>
      </c>
      <c r="B3" s="2" t="s">
        <v>23</v>
      </c>
      <c r="C3" s="2" t="s">
        <v>36</v>
      </c>
      <c r="D3" s="2" t="s">
        <v>42</v>
      </c>
      <c r="E3" s="2">
        <v>50</v>
      </c>
      <c r="F3" s="2">
        <v>45000</v>
      </c>
    </row>
    <row r="4" spans="1:6">
      <c r="A4" s="2" t="s">
        <v>7</v>
      </c>
      <c r="B4" s="2" t="s">
        <v>24</v>
      </c>
      <c r="C4" s="2" t="s">
        <v>35</v>
      </c>
      <c r="D4" s="2" t="s">
        <v>42</v>
      </c>
      <c r="E4" s="2">
        <v>26</v>
      </c>
      <c r="F4" s="2">
        <v>43000</v>
      </c>
    </row>
    <row r="5" spans="1:6">
      <c r="A5" s="2" t="s">
        <v>8</v>
      </c>
      <c r="B5" s="2" t="s">
        <v>25</v>
      </c>
      <c r="C5" s="2" t="s">
        <v>37</v>
      </c>
      <c r="D5" s="2" t="s">
        <v>42</v>
      </c>
      <c r="E5" s="2">
        <v>28</v>
      </c>
      <c r="F5" s="2">
        <v>44000</v>
      </c>
    </row>
    <row r="6" spans="1:6">
      <c r="A6" s="2" t="s">
        <v>9</v>
      </c>
      <c r="B6" s="2" t="s">
        <v>26</v>
      </c>
      <c r="C6" s="2" t="s">
        <v>38</v>
      </c>
      <c r="D6" s="2" t="s">
        <v>42</v>
      </c>
      <c r="E6" s="2">
        <v>48</v>
      </c>
      <c r="F6" s="2">
        <v>30000</v>
      </c>
    </row>
    <row r="7" spans="1:6">
      <c r="A7" s="2" t="s">
        <v>10</v>
      </c>
      <c r="B7" s="2" t="s">
        <v>27</v>
      </c>
      <c r="C7" s="2" t="s">
        <v>35</v>
      </c>
      <c r="D7" s="2" t="s">
        <v>42</v>
      </c>
      <c r="E7" s="2">
        <v>48</v>
      </c>
      <c r="F7" s="2">
        <v>20000</v>
      </c>
    </row>
    <row r="8" spans="1:6">
      <c r="A8" s="2" t="s">
        <v>11</v>
      </c>
      <c r="B8" s="2" t="s">
        <v>24</v>
      </c>
      <c r="C8" s="2" t="s">
        <v>35</v>
      </c>
      <c r="D8" s="2" t="s">
        <v>42</v>
      </c>
      <c r="E8" s="2">
        <v>24</v>
      </c>
      <c r="F8" s="2">
        <v>32000</v>
      </c>
    </row>
    <row r="9" spans="1:6">
      <c r="A9" s="2" t="s">
        <v>12</v>
      </c>
      <c r="B9" s="2" t="s">
        <v>28</v>
      </c>
      <c r="C9" s="2" t="s">
        <v>35</v>
      </c>
      <c r="D9" s="2" t="s">
        <v>42</v>
      </c>
      <c r="E9" s="2">
        <v>34</v>
      </c>
      <c r="F9" s="2">
        <v>32000</v>
      </c>
    </row>
    <row r="10" spans="1:6">
      <c r="A10" s="2" t="s">
        <v>13</v>
      </c>
      <c r="B10" s="2" t="s">
        <v>29</v>
      </c>
      <c r="C10" s="2" t="s">
        <v>39</v>
      </c>
      <c r="D10" s="2" t="s">
        <v>42</v>
      </c>
      <c r="E10" s="2">
        <v>10</v>
      </c>
      <c r="F10" s="2">
        <v>32000</v>
      </c>
    </row>
    <row r="11" spans="1:6">
      <c r="A11" s="2" t="s">
        <v>14</v>
      </c>
      <c r="B11" s="2" t="s">
        <v>23</v>
      </c>
      <c r="C11" s="2" t="s">
        <v>36</v>
      </c>
      <c r="D11" s="2" t="s">
        <v>42</v>
      </c>
      <c r="E11" s="2">
        <v>28</v>
      </c>
      <c r="F11" s="6">
        <v>41000</v>
      </c>
    </row>
    <row r="12" spans="1:6">
      <c r="A12" s="2" t="s">
        <v>15</v>
      </c>
      <c r="B12" s="2" t="s">
        <v>30</v>
      </c>
      <c r="C12" s="2" t="s">
        <v>40</v>
      </c>
      <c r="D12" s="2" t="s">
        <v>43</v>
      </c>
      <c r="E12" s="2">
        <v>11</v>
      </c>
      <c r="F12" s="2">
        <v>5000</v>
      </c>
    </row>
    <row r="13" spans="1:6">
      <c r="A13" s="2" t="s">
        <v>16</v>
      </c>
      <c r="B13" s="2" t="s">
        <v>31</v>
      </c>
      <c r="C13" s="2" t="s">
        <v>41</v>
      </c>
      <c r="D13" s="2" t="s">
        <v>43</v>
      </c>
      <c r="E13" s="2">
        <v>29</v>
      </c>
      <c r="F13" s="2">
        <v>45000</v>
      </c>
    </row>
    <row r="14" spans="1:6">
      <c r="A14" s="2" t="s">
        <v>17</v>
      </c>
      <c r="B14" s="2" t="s">
        <v>32</v>
      </c>
      <c r="C14" s="2" t="s">
        <v>36</v>
      </c>
      <c r="D14" s="2" t="s">
        <v>42</v>
      </c>
      <c r="E14" s="2">
        <v>26</v>
      </c>
      <c r="F14" s="2">
        <v>43000</v>
      </c>
    </row>
    <row r="15" spans="1:6">
      <c r="A15" s="2" t="s">
        <v>18</v>
      </c>
      <c r="B15" s="2" t="s">
        <v>33</v>
      </c>
      <c r="C15" s="2" t="s">
        <v>35</v>
      </c>
      <c r="D15" s="2" t="s">
        <v>42</v>
      </c>
      <c r="E15" s="2">
        <v>42</v>
      </c>
      <c r="F15" s="2">
        <v>44000</v>
      </c>
    </row>
    <row r="16" spans="1:6">
      <c r="A16" s="2" t="s">
        <v>19</v>
      </c>
      <c r="B16" s="2" t="s">
        <v>27</v>
      </c>
      <c r="C16" s="2" t="s">
        <v>35</v>
      </c>
      <c r="D16" s="2" t="s">
        <v>42</v>
      </c>
      <c r="E16" s="2">
        <v>42</v>
      </c>
      <c r="F16" s="2">
        <v>30000</v>
      </c>
    </row>
    <row r="17" spans="1:6">
      <c r="A17" s="2" t="s">
        <v>20</v>
      </c>
      <c r="B17" s="2" t="s">
        <v>33</v>
      </c>
      <c r="C17" s="2" t="s">
        <v>35</v>
      </c>
      <c r="D17" s="2" t="s">
        <v>42</v>
      </c>
      <c r="E17" s="2">
        <v>48</v>
      </c>
      <c r="F17" s="2">
        <v>20000</v>
      </c>
    </row>
    <row r="18" spans="1:6">
      <c r="A18" s="2" t="s">
        <v>21</v>
      </c>
      <c r="B18" s="2" t="s">
        <v>34</v>
      </c>
      <c r="C18" s="2" t="s">
        <v>39</v>
      </c>
      <c r="D18" s="2" t="s">
        <v>42</v>
      </c>
      <c r="E18" s="2">
        <v>27</v>
      </c>
      <c r="F18" s="2">
        <v>32000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43DB9-C082-447A-A9D8-2E9FB342AA59}">
  <dimension ref="A1:F78"/>
  <sheetViews>
    <sheetView workbookViewId="0">
      <selection activeCell="E1" sqref="E1:F7"/>
    </sheetView>
  </sheetViews>
  <sheetFormatPr defaultRowHeight="15"/>
  <cols>
    <col min="1" max="1" width="24.7109375" customWidth="1"/>
    <col min="2" max="2" width="18.5703125" customWidth="1"/>
    <col min="3" max="3" width="10.42578125" customWidth="1"/>
    <col min="4" max="4" width="18.140625" customWidth="1"/>
    <col min="5" max="5" width="12.5703125" bestFit="1" customWidth="1"/>
    <col min="6" max="6" width="16.28515625" bestFit="1" customWidth="1"/>
    <col min="7" max="7" width="15.28515625" customWidth="1"/>
  </cols>
  <sheetData>
    <row r="1" spans="1:6">
      <c r="A1" s="11" t="s">
        <v>49</v>
      </c>
      <c r="B1" s="1" t="s">
        <v>50</v>
      </c>
      <c r="C1" s="1" t="s">
        <v>51</v>
      </c>
      <c r="E1" s="172" t="s">
        <v>49</v>
      </c>
      <c r="F1" s="2" t="s">
        <v>56</v>
      </c>
    </row>
    <row r="2" spans="1:6">
      <c r="A2" s="12">
        <v>36965</v>
      </c>
      <c r="B2" s="2" t="s">
        <v>52</v>
      </c>
      <c r="C2" s="2">
        <v>45</v>
      </c>
      <c r="E2" s="2"/>
      <c r="F2" s="2"/>
    </row>
    <row r="3" spans="1:6">
      <c r="A3" s="12">
        <v>37947</v>
      </c>
      <c r="B3" s="2" t="s">
        <v>53</v>
      </c>
      <c r="C3" s="2">
        <v>65</v>
      </c>
      <c r="E3" s="172" t="s">
        <v>44</v>
      </c>
      <c r="F3" s="2" t="s">
        <v>55</v>
      </c>
    </row>
    <row r="4" spans="1:6">
      <c r="A4" s="12">
        <v>38542</v>
      </c>
      <c r="B4" s="2" t="s">
        <v>54</v>
      </c>
      <c r="C4" s="2">
        <v>98</v>
      </c>
      <c r="E4" s="173" t="s">
        <v>54</v>
      </c>
      <c r="F4" s="2">
        <v>585</v>
      </c>
    </row>
    <row r="5" spans="1:6">
      <c r="A5" s="12">
        <v>39112</v>
      </c>
      <c r="B5" s="2" t="s">
        <v>52</v>
      </c>
      <c r="C5" s="2">
        <v>56</v>
      </c>
      <c r="E5" s="173" t="s">
        <v>53</v>
      </c>
      <c r="F5" s="2">
        <v>880</v>
      </c>
    </row>
    <row r="6" spans="1:6">
      <c r="A6" s="12">
        <v>39951</v>
      </c>
      <c r="B6" s="2" t="s">
        <v>53</v>
      </c>
      <c r="C6" s="2">
        <v>87</v>
      </c>
      <c r="E6" s="173" t="s">
        <v>52</v>
      </c>
      <c r="F6" s="2">
        <v>510</v>
      </c>
    </row>
    <row r="7" spans="1:6">
      <c r="A7" s="12">
        <v>40415</v>
      </c>
      <c r="B7" s="2" t="s">
        <v>54</v>
      </c>
      <c r="C7" s="2">
        <v>32</v>
      </c>
      <c r="E7" s="173" t="s">
        <v>45</v>
      </c>
      <c r="F7" s="2">
        <v>1975</v>
      </c>
    </row>
    <row r="8" spans="1:6">
      <c r="A8" s="12">
        <v>40880</v>
      </c>
      <c r="B8" s="2" t="s">
        <v>52</v>
      </c>
      <c r="C8" s="2">
        <v>65</v>
      </c>
    </row>
    <row r="9" spans="1:6">
      <c r="A9" s="12">
        <v>41074</v>
      </c>
      <c r="B9" s="2" t="s">
        <v>53</v>
      </c>
      <c r="C9" s="2">
        <v>98</v>
      </c>
    </row>
    <row r="10" spans="1:6">
      <c r="A10" s="12">
        <v>41544</v>
      </c>
      <c r="B10" s="2" t="s">
        <v>54</v>
      </c>
      <c r="C10" s="2">
        <v>65</v>
      </c>
    </row>
    <row r="11" spans="1:6">
      <c r="A11" s="12">
        <v>41739</v>
      </c>
      <c r="B11" s="2" t="s">
        <v>52</v>
      </c>
      <c r="C11" s="2">
        <v>45</v>
      </c>
    </row>
    <row r="12" spans="1:6">
      <c r="A12" s="12">
        <v>42306</v>
      </c>
      <c r="B12" s="2" t="s">
        <v>53</v>
      </c>
      <c r="C12" s="2">
        <v>65</v>
      </c>
    </row>
    <row r="13" spans="1:6">
      <c r="A13" s="12">
        <v>42405</v>
      </c>
      <c r="B13" s="2" t="s">
        <v>54</v>
      </c>
      <c r="C13" s="2">
        <v>98</v>
      </c>
    </row>
    <row r="14" spans="1:6">
      <c r="A14" s="12">
        <v>42932</v>
      </c>
      <c r="B14" s="2" t="s">
        <v>52</v>
      </c>
      <c r="C14" s="2">
        <v>45</v>
      </c>
    </row>
    <row r="15" spans="1:6">
      <c r="A15" s="12">
        <v>43405</v>
      </c>
      <c r="B15" s="2" t="s">
        <v>53</v>
      </c>
      <c r="C15" s="2">
        <v>87</v>
      </c>
    </row>
    <row r="16" spans="1:6">
      <c r="A16" s="12">
        <v>43544</v>
      </c>
      <c r="B16" s="2" t="s">
        <v>54</v>
      </c>
      <c r="C16" s="2">
        <v>32</v>
      </c>
    </row>
    <row r="17" spans="1:3">
      <c r="A17" s="12">
        <v>43990</v>
      </c>
      <c r="B17" s="2" t="s">
        <v>52</v>
      </c>
      <c r="C17" s="2">
        <v>65</v>
      </c>
    </row>
    <row r="18" spans="1:3">
      <c r="A18" s="12">
        <v>44542</v>
      </c>
      <c r="B18" s="2" t="s">
        <v>53</v>
      </c>
      <c r="C18" s="2">
        <v>98</v>
      </c>
    </row>
    <row r="19" spans="1:3">
      <c r="A19" s="12">
        <v>44682</v>
      </c>
      <c r="B19" s="2" t="s">
        <v>54</v>
      </c>
      <c r="C19" s="2">
        <v>65</v>
      </c>
    </row>
    <row r="20" spans="1:3">
      <c r="A20" s="12">
        <v>45178</v>
      </c>
      <c r="B20" s="2" t="s">
        <v>52</v>
      </c>
      <c r="C20" s="2">
        <v>45</v>
      </c>
    </row>
    <row r="21" spans="1:3">
      <c r="A21" s="12">
        <v>45308</v>
      </c>
      <c r="B21" s="2" t="s">
        <v>53</v>
      </c>
      <c r="C21" s="2">
        <v>65</v>
      </c>
    </row>
    <row r="22" spans="1:3">
      <c r="A22" s="12">
        <v>45865</v>
      </c>
      <c r="B22" s="2" t="s">
        <v>54</v>
      </c>
      <c r="C22" s="2">
        <v>98</v>
      </c>
    </row>
    <row r="23" spans="1:3">
      <c r="A23" s="12">
        <v>37289</v>
      </c>
      <c r="B23" s="2" t="s">
        <v>52</v>
      </c>
      <c r="C23" s="2">
        <v>45</v>
      </c>
    </row>
    <row r="24" spans="1:3">
      <c r="A24" s="12">
        <v>38207</v>
      </c>
      <c r="B24" s="2" t="s">
        <v>53</v>
      </c>
      <c r="C24" s="2">
        <v>87</v>
      </c>
    </row>
    <row r="25" spans="1:3">
      <c r="A25" s="12">
        <v>38874</v>
      </c>
      <c r="B25" s="2" t="s">
        <v>54</v>
      </c>
      <c r="C25" s="2">
        <v>32</v>
      </c>
    </row>
    <row r="26" spans="1:3">
      <c r="A26" s="12">
        <v>39731</v>
      </c>
      <c r="B26" s="2" t="s">
        <v>52</v>
      </c>
      <c r="C26" s="2">
        <v>65</v>
      </c>
    </row>
    <row r="27" spans="1:3">
      <c r="A27" s="12">
        <v>40240</v>
      </c>
      <c r="B27" s="2" t="s">
        <v>53</v>
      </c>
      <c r="C27" s="2">
        <v>98</v>
      </c>
    </row>
    <row r="28" spans="1:3">
      <c r="A28" s="12">
        <v>41639</v>
      </c>
      <c r="B28" s="2" t="s">
        <v>54</v>
      </c>
      <c r="C28" s="2">
        <v>65</v>
      </c>
    </row>
    <row r="29" spans="1:3">
      <c r="A29" s="12">
        <v>42632</v>
      </c>
      <c r="B29" s="2" t="s">
        <v>52</v>
      </c>
      <c r="C29" s="2">
        <v>45</v>
      </c>
    </row>
    <row r="30" spans="1:3">
      <c r="A30" s="12">
        <v>43194</v>
      </c>
      <c r="B30" s="2" t="s">
        <v>53</v>
      </c>
      <c r="C30" s="2">
        <v>65</v>
      </c>
    </row>
    <row r="31" spans="1:3">
      <c r="A31" s="12">
        <v>45241</v>
      </c>
      <c r="B31" s="2" t="s">
        <v>53</v>
      </c>
      <c r="C31" s="2">
        <v>65</v>
      </c>
    </row>
    <row r="32" spans="1:3">
      <c r="A32" s="10"/>
    </row>
    <row r="33" spans="1:1">
      <c r="A33" s="9"/>
    </row>
    <row r="34" spans="1:1">
      <c r="A34" s="9"/>
    </row>
    <row r="35" spans="1:1">
      <c r="A35" s="9"/>
    </row>
    <row r="36" spans="1:1">
      <c r="A36" s="9"/>
    </row>
    <row r="37" spans="1:1">
      <c r="A37" s="9"/>
    </row>
    <row r="38" spans="1:1">
      <c r="A38" s="9"/>
    </row>
    <row r="39" spans="1:1">
      <c r="A39" s="9"/>
    </row>
    <row r="40" spans="1:1">
      <c r="A40" s="9"/>
    </row>
    <row r="41" spans="1:1">
      <c r="A41" s="9"/>
    </row>
    <row r="42" spans="1:1">
      <c r="A42" s="9"/>
    </row>
    <row r="43" spans="1:1">
      <c r="A43" s="9"/>
    </row>
    <row r="44" spans="1:1">
      <c r="A44" s="9"/>
    </row>
    <row r="45" spans="1:1">
      <c r="A45" s="9"/>
    </row>
    <row r="46" spans="1:1">
      <c r="A46" s="9"/>
    </row>
    <row r="47" spans="1:1">
      <c r="A47" s="9"/>
    </row>
    <row r="48" spans="1:1">
      <c r="A48" s="9"/>
    </row>
    <row r="49" spans="1:1">
      <c r="A49" s="9"/>
    </row>
    <row r="50" spans="1:1">
      <c r="A50" s="9"/>
    </row>
    <row r="51" spans="1:1">
      <c r="A51" s="9"/>
    </row>
    <row r="52" spans="1:1">
      <c r="A52" s="9"/>
    </row>
    <row r="53" spans="1:1">
      <c r="A53" s="9"/>
    </row>
    <row r="54" spans="1:1">
      <c r="A54" s="9"/>
    </row>
    <row r="55" spans="1:1">
      <c r="A55" s="9"/>
    </row>
    <row r="56" spans="1:1">
      <c r="A56" s="9"/>
    </row>
    <row r="57" spans="1:1">
      <c r="A57" s="9"/>
    </row>
    <row r="58" spans="1:1">
      <c r="A58" s="9"/>
    </row>
    <row r="59" spans="1:1">
      <c r="A59" s="9"/>
    </row>
    <row r="60" spans="1:1">
      <c r="A60" s="9"/>
    </row>
    <row r="61" spans="1:1">
      <c r="A61" s="9"/>
    </row>
    <row r="62" spans="1:1">
      <c r="A62" s="9"/>
    </row>
    <row r="63" spans="1:1">
      <c r="A63" s="9"/>
    </row>
    <row r="64" spans="1:1">
      <c r="A64" s="9"/>
    </row>
    <row r="65" spans="1:1">
      <c r="A65" s="9"/>
    </row>
    <row r="66" spans="1:1">
      <c r="A66" s="9"/>
    </row>
    <row r="67" spans="1:1">
      <c r="A67" s="9"/>
    </row>
    <row r="68" spans="1:1">
      <c r="A68" s="9"/>
    </row>
    <row r="69" spans="1:1">
      <c r="A69" s="9"/>
    </row>
    <row r="70" spans="1:1">
      <c r="A70" s="9"/>
    </row>
    <row r="71" spans="1:1">
      <c r="A71" s="8"/>
    </row>
    <row r="72" spans="1:1">
      <c r="A72" s="8"/>
    </row>
    <row r="73" spans="1:1">
      <c r="A73" s="8"/>
    </row>
    <row r="74" spans="1:1">
      <c r="A74" s="8"/>
    </row>
    <row r="75" spans="1:1">
      <c r="A75" s="8"/>
    </row>
    <row r="76" spans="1:1">
      <c r="A76" s="8"/>
    </row>
    <row r="77" spans="1:1">
      <c r="A77" s="8"/>
    </row>
    <row r="78" spans="1:1">
      <c r="A78"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47F86-6542-4B84-B9C1-4951270016C1}">
  <dimension ref="A1:K8"/>
  <sheetViews>
    <sheetView workbookViewId="0">
      <selection activeCell="K2" sqref="K2"/>
    </sheetView>
  </sheetViews>
  <sheetFormatPr defaultRowHeight="15"/>
  <cols>
    <col min="1" max="1" width="17.28515625" bestFit="1" customWidth="1"/>
    <col min="2" max="2" width="11.42578125" customWidth="1"/>
    <col min="3" max="3" width="12.140625" bestFit="1" customWidth="1"/>
    <col min="4" max="4" width="16.140625" customWidth="1"/>
    <col min="5" max="5" width="22.28515625" customWidth="1"/>
    <col min="10" max="10" width="17.28515625" bestFit="1" customWidth="1"/>
    <col min="11" max="11" width="17.5703125" customWidth="1"/>
  </cols>
  <sheetData>
    <row r="1" spans="1:11" ht="17.45" customHeight="1">
      <c r="A1" s="13" t="s">
        <v>57</v>
      </c>
      <c r="B1" s="13" t="s">
        <v>58</v>
      </c>
      <c r="C1" s="13" t="s">
        <v>59</v>
      </c>
      <c r="D1" s="13" t="s">
        <v>60</v>
      </c>
      <c r="E1" s="13" t="s">
        <v>61</v>
      </c>
      <c r="J1" s="13" t="s">
        <v>57</v>
      </c>
      <c r="K1" s="2" t="s">
        <v>61</v>
      </c>
    </row>
    <row r="2" spans="1:11" ht="17.45" customHeight="1">
      <c r="A2" s="2" t="s">
        <v>62</v>
      </c>
      <c r="B2" s="2" t="s">
        <v>63</v>
      </c>
      <c r="C2" s="2" t="s">
        <v>64</v>
      </c>
      <c r="D2" s="2" t="s">
        <v>65</v>
      </c>
      <c r="E2" s="2" t="s">
        <v>66</v>
      </c>
      <c r="J2" s="2" t="s">
        <v>71</v>
      </c>
      <c r="K2" s="2" t="str">
        <f>INDEX(A1:E8,MATCH(J2,A1:A8,0),MATCH(K1,A1:E1,0))</f>
        <v>Excel</v>
      </c>
    </row>
    <row r="3" spans="1:11" ht="17.45" customHeight="1">
      <c r="A3" s="2" t="s">
        <v>67</v>
      </c>
      <c r="B3" s="2" t="s">
        <v>64</v>
      </c>
      <c r="C3" s="2" t="s">
        <v>68</v>
      </c>
      <c r="D3" s="2" t="s">
        <v>64</v>
      </c>
      <c r="E3" s="2" t="s">
        <v>65</v>
      </c>
    </row>
    <row r="4" spans="1:11" ht="17.45" customHeight="1">
      <c r="A4" s="2" t="s">
        <v>69</v>
      </c>
      <c r="B4" s="2" t="s">
        <v>66</v>
      </c>
      <c r="C4" s="2" t="s">
        <v>65</v>
      </c>
      <c r="D4" s="2" t="s">
        <v>65</v>
      </c>
      <c r="E4" s="2" t="s">
        <v>64</v>
      </c>
    </row>
    <row r="5" spans="1:11" ht="17.45" customHeight="1">
      <c r="A5" s="2" t="s">
        <v>70</v>
      </c>
      <c r="B5" s="2" t="s">
        <v>65</v>
      </c>
      <c r="C5" s="2" t="s">
        <v>63</v>
      </c>
      <c r="D5" s="2" t="s">
        <v>66</v>
      </c>
      <c r="E5" s="2" t="s">
        <v>63</v>
      </c>
    </row>
    <row r="6" spans="1:11" ht="17.45" customHeight="1">
      <c r="A6" s="2" t="s">
        <v>71</v>
      </c>
      <c r="B6" s="2" t="s">
        <v>63</v>
      </c>
      <c r="C6" s="2" t="s">
        <v>64</v>
      </c>
      <c r="D6" s="2" t="s">
        <v>63</v>
      </c>
      <c r="E6" s="2" t="s">
        <v>64</v>
      </c>
    </row>
    <row r="7" spans="1:11" ht="17.45" customHeight="1">
      <c r="A7" s="2" t="s">
        <v>72</v>
      </c>
      <c r="B7" s="2" t="s">
        <v>64</v>
      </c>
      <c r="C7" s="2" t="s">
        <v>65</v>
      </c>
      <c r="D7" s="2" t="s">
        <v>64</v>
      </c>
      <c r="E7" s="2" t="s">
        <v>63</v>
      </c>
    </row>
    <row r="8" spans="1:11" ht="17.45" customHeight="1">
      <c r="A8" s="2" t="s">
        <v>73</v>
      </c>
      <c r="B8" s="2" t="s">
        <v>66</v>
      </c>
      <c r="C8" s="2" t="s">
        <v>68</v>
      </c>
      <c r="D8" s="2" t="s">
        <v>65</v>
      </c>
      <c r="E8" s="2" t="s">
        <v>64</v>
      </c>
    </row>
  </sheetData>
  <dataValidations count="2">
    <dataValidation type="list" allowBlank="1" showInputMessage="1" showErrorMessage="1" sqref="K1" xr:uid="{DF17A403-237A-41E5-A3FC-4428955DEA37}">
      <formula1>$B$1:$E$1</formula1>
    </dataValidation>
    <dataValidation type="list" allowBlank="1" showInputMessage="1" showErrorMessage="1" sqref="J2" xr:uid="{084D8F33-F12A-4664-B7E3-C9CD16D71EA9}">
      <formula1>$A$2:$A$8</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3C9E3-70BA-4A93-9158-50C77F0E9CA3}">
  <dimension ref="A1:L31"/>
  <sheetViews>
    <sheetView workbookViewId="0">
      <selection activeCell="K2" sqref="K2:L2"/>
    </sheetView>
  </sheetViews>
  <sheetFormatPr defaultRowHeight="15"/>
  <cols>
    <col min="1" max="1" width="19.28515625" customWidth="1"/>
    <col min="2" max="2" width="20.42578125" bestFit="1" customWidth="1"/>
    <col min="3" max="3" width="12.42578125" customWidth="1"/>
    <col min="4" max="4" width="16.28515625" customWidth="1"/>
    <col min="5" max="5" width="14.42578125" customWidth="1"/>
    <col min="6" max="6" width="15.28515625" customWidth="1"/>
    <col min="7" max="8" width="19.28515625" customWidth="1"/>
    <col min="9" max="9" width="15.7109375" customWidth="1"/>
    <col min="11" max="11" width="15.42578125" customWidth="1"/>
    <col min="12" max="12" width="17.140625" customWidth="1"/>
  </cols>
  <sheetData>
    <row r="1" spans="1:12">
      <c r="A1" s="1" t="s">
        <v>74</v>
      </c>
      <c r="B1" s="1" t="s">
        <v>75</v>
      </c>
      <c r="C1" s="1" t="s">
        <v>76</v>
      </c>
      <c r="D1" s="1" t="s">
        <v>77</v>
      </c>
      <c r="E1" s="1" t="s">
        <v>78</v>
      </c>
      <c r="F1" s="1" t="s">
        <v>79</v>
      </c>
      <c r="G1" s="1" t="s">
        <v>80</v>
      </c>
      <c r="H1" s="1" t="s">
        <v>81</v>
      </c>
      <c r="I1" s="1" t="s">
        <v>82</v>
      </c>
      <c r="K1" s="1" t="s">
        <v>75</v>
      </c>
      <c r="L1" s="1" t="s">
        <v>76</v>
      </c>
    </row>
    <row r="2" spans="1:12">
      <c r="A2" s="2">
        <v>1</v>
      </c>
      <c r="B2" s="2" t="s">
        <v>83</v>
      </c>
      <c r="C2" s="2">
        <v>26</v>
      </c>
      <c r="D2" s="2">
        <v>2370</v>
      </c>
      <c r="E2" s="2">
        <v>2290</v>
      </c>
      <c r="F2" s="2">
        <v>7150</v>
      </c>
      <c r="G2" s="2">
        <v>559</v>
      </c>
      <c r="H2" s="2">
        <v>72</v>
      </c>
      <c r="I2" s="2">
        <v>6519</v>
      </c>
      <c r="K2" s="2" t="s">
        <v>85</v>
      </c>
      <c r="L2" s="2">
        <f>LOOKUP(K2,B2:B23,A2:A23)</f>
        <v>3</v>
      </c>
    </row>
    <row r="3" spans="1:12">
      <c r="A3" s="2">
        <v>2</v>
      </c>
      <c r="B3" s="2" t="s">
        <v>84</v>
      </c>
      <c r="C3" s="2">
        <v>15</v>
      </c>
      <c r="D3" s="2">
        <v>1315.38</v>
      </c>
      <c r="E3" s="2">
        <v>1275</v>
      </c>
      <c r="F3" s="2">
        <v>3975</v>
      </c>
      <c r="G3" s="2">
        <v>311</v>
      </c>
      <c r="H3" s="2">
        <v>40</v>
      </c>
      <c r="I3" s="2">
        <v>3624</v>
      </c>
    </row>
    <row r="4" spans="1:12">
      <c r="A4" s="2">
        <v>3</v>
      </c>
      <c r="B4" s="2" t="s">
        <v>85</v>
      </c>
      <c r="C4" s="2">
        <v>26</v>
      </c>
      <c r="D4" s="2">
        <v>2370</v>
      </c>
      <c r="E4" s="2">
        <v>2290</v>
      </c>
      <c r="F4" s="2">
        <v>7150</v>
      </c>
      <c r="G4" s="2">
        <v>559</v>
      </c>
      <c r="H4" s="2">
        <v>72</v>
      </c>
      <c r="I4" s="2">
        <v>6519</v>
      </c>
    </row>
    <row r="5" spans="1:12">
      <c r="A5" s="2">
        <v>4</v>
      </c>
      <c r="B5" s="2" t="s">
        <v>86</v>
      </c>
      <c r="C5" s="2">
        <v>26</v>
      </c>
      <c r="D5" s="2">
        <v>2370</v>
      </c>
      <c r="E5" s="2">
        <v>2290</v>
      </c>
      <c r="F5" s="2">
        <v>7150</v>
      </c>
      <c r="G5" s="2">
        <v>559</v>
      </c>
      <c r="H5" s="2">
        <v>72</v>
      </c>
      <c r="I5" s="2">
        <v>6519</v>
      </c>
    </row>
    <row r="6" spans="1:12">
      <c r="A6" s="2">
        <v>5</v>
      </c>
      <c r="B6" s="2" t="s">
        <v>87</v>
      </c>
      <c r="C6" s="2">
        <v>3</v>
      </c>
      <c r="D6" s="2">
        <v>273.45999999999998</v>
      </c>
      <c r="E6" s="2">
        <v>264.2307692</v>
      </c>
      <c r="F6" s="2">
        <v>825</v>
      </c>
      <c r="G6" s="2">
        <v>65</v>
      </c>
      <c r="H6" s="2">
        <v>8</v>
      </c>
      <c r="I6" s="2">
        <v>752</v>
      </c>
    </row>
    <row r="7" spans="1:12">
      <c r="A7" s="2">
        <v>6</v>
      </c>
      <c r="B7" s="2" t="s">
        <v>88</v>
      </c>
      <c r="C7" s="2">
        <v>2</v>
      </c>
      <c r="D7" s="2">
        <v>182.31</v>
      </c>
      <c r="E7" s="2">
        <v>176.1538462</v>
      </c>
      <c r="F7" s="2">
        <v>550</v>
      </c>
      <c r="G7" s="2">
        <v>43</v>
      </c>
      <c r="H7" s="2">
        <v>6</v>
      </c>
      <c r="I7" s="2">
        <v>501</v>
      </c>
    </row>
    <row r="8" spans="1:12">
      <c r="A8" s="2">
        <v>7</v>
      </c>
      <c r="B8" s="2" t="s">
        <v>89</v>
      </c>
      <c r="C8" s="2">
        <v>22</v>
      </c>
      <c r="D8" s="2">
        <v>2005.38</v>
      </c>
      <c r="E8" s="2">
        <v>1937.6923079999999</v>
      </c>
      <c r="F8" s="2">
        <v>6050</v>
      </c>
      <c r="G8" s="2">
        <v>473</v>
      </c>
      <c r="H8" s="2">
        <v>61</v>
      </c>
      <c r="I8" s="2">
        <v>5516</v>
      </c>
    </row>
    <row r="9" spans="1:12">
      <c r="A9" s="2">
        <v>8</v>
      </c>
      <c r="B9" s="2" t="s">
        <v>90</v>
      </c>
      <c r="C9" s="2">
        <v>22</v>
      </c>
      <c r="D9" s="2">
        <v>2005.38</v>
      </c>
      <c r="E9" s="2">
        <v>1937.6923079999999</v>
      </c>
      <c r="F9" s="2">
        <v>6050</v>
      </c>
      <c r="G9" s="2">
        <v>473</v>
      </c>
      <c r="H9" s="2">
        <v>61</v>
      </c>
      <c r="I9" s="2">
        <v>5516</v>
      </c>
    </row>
    <row r="10" spans="1:12">
      <c r="A10" s="2">
        <v>9</v>
      </c>
      <c r="B10" s="2" t="s">
        <v>91</v>
      </c>
      <c r="C10" s="2">
        <v>26</v>
      </c>
      <c r="D10" s="2">
        <v>2370</v>
      </c>
      <c r="E10" s="2">
        <v>2290</v>
      </c>
      <c r="F10" s="2">
        <v>7150</v>
      </c>
      <c r="G10" s="2">
        <v>559</v>
      </c>
      <c r="H10" s="2">
        <v>72</v>
      </c>
      <c r="I10" s="2">
        <v>6519</v>
      </c>
    </row>
    <row r="11" spans="1:12">
      <c r="A11" s="2">
        <v>10</v>
      </c>
      <c r="B11" s="2" t="s">
        <v>92</v>
      </c>
      <c r="C11" s="2">
        <v>26</v>
      </c>
      <c r="D11" s="2">
        <v>2370</v>
      </c>
      <c r="E11" s="2">
        <v>2290</v>
      </c>
      <c r="F11" s="2">
        <v>7150</v>
      </c>
      <c r="G11" s="2">
        <v>559</v>
      </c>
      <c r="H11" s="2">
        <v>72</v>
      </c>
      <c r="I11" s="2">
        <v>6519</v>
      </c>
    </row>
    <row r="12" spans="1:12">
      <c r="A12" s="2">
        <v>11</v>
      </c>
      <c r="B12" s="2" t="s">
        <v>93</v>
      </c>
      <c r="C12" s="2">
        <v>26</v>
      </c>
      <c r="D12" s="2">
        <v>2370</v>
      </c>
      <c r="E12" s="2">
        <v>2290</v>
      </c>
      <c r="F12" s="2">
        <v>7150</v>
      </c>
      <c r="G12" s="2">
        <v>559</v>
      </c>
      <c r="H12" s="2">
        <v>72</v>
      </c>
      <c r="I12" s="2">
        <v>6519</v>
      </c>
    </row>
    <row r="13" spans="1:12">
      <c r="A13" s="2">
        <v>12</v>
      </c>
      <c r="B13" s="2" t="s">
        <v>94</v>
      </c>
      <c r="C13" s="2">
        <v>24</v>
      </c>
      <c r="D13" s="2">
        <v>2104.62</v>
      </c>
      <c r="E13" s="2">
        <v>2040</v>
      </c>
      <c r="F13" s="2">
        <v>6360</v>
      </c>
      <c r="G13" s="2">
        <v>497</v>
      </c>
      <c r="H13" s="2">
        <v>64</v>
      </c>
      <c r="I13" s="2">
        <v>5799</v>
      </c>
    </row>
    <row r="14" spans="1:12">
      <c r="A14" s="2">
        <v>13</v>
      </c>
      <c r="B14" s="2" t="s">
        <v>95</v>
      </c>
      <c r="C14" s="2">
        <v>26</v>
      </c>
      <c r="D14" s="2">
        <v>2370</v>
      </c>
      <c r="E14" s="2">
        <v>2290</v>
      </c>
      <c r="F14" s="2">
        <v>7150</v>
      </c>
      <c r="G14" s="2">
        <v>559</v>
      </c>
      <c r="H14" s="2">
        <v>72</v>
      </c>
      <c r="I14" s="2">
        <v>6519</v>
      </c>
    </row>
    <row r="15" spans="1:12">
      <c r="A15" s="2">
        <v>14</v>
      </c>
      <c r="B15" s="2" t="s">
        <v>96</v>
      </c>
      <c r="C15" s="2">
        <v>25</v>
      </c>
      <c r="D15" s="2">
        <v>2278.85</v>
      </c>
      <c r="E15" s="2">
        <v>2201.9230769999999</v>
      </c>
      <c r="F15" s="2">
        <v>6875</v>
      </c>
      <c r="G15" s="2">
        <v>538</v>
      </c>
      <c r="H15" s="2">
        <v>69</v>
      </c>
      <c r="I15" s="2">
        <v>6268</v>
      </c>
    </row>
    <row r="16" spans="1:12">
      <c r="A16" s="2">
        <v>15</v>
      </c>
      <c r="B16" s="2" t="s">
        <v>97</v>
      </c>
      <c r="C16" s="2">
        <v>17</v>
      </c>
      <c r="D16" s="2">
        <v>1549.62</v>
      </c>
      <c r="E16" s="2">
        <v>1497.3076920000001</v>
      </c>
      <c r="F16" s="2">
        <v>4675</v>
      </c>
      <c r="G16" s="2">
        <v>366</v>
      </c>
      <c r="H16" s="2">
        <v>47</v>
      </c>
      <c r="I16" s="2">
        <v>4262</v>
      </c>
    </row>
    <row r="17" spans="1:9">
      <c r="A17" s="2">
        <v>16</v>
      </c>
      <c r="B17" s="2" t="s">
        <v>98</v>
      </c>
      <c r="C17" s="2">
        <v>26</v>
      </c>
      <c r="D17" s="2">
        <v>2370</v>
      </c>
      <c r="E17" s="2">
        <v>2290</v>
      </c>
      <c r="F17" s="2">
        <v>7150</v>
      </c>
      <c r="G17" s="2">
        <v>559</v>
      </c>
      <c r="H17" s="2">
        <v>72</v>
      </c>
      <c r="I17" s="2">
        <v>6519</v>
      </c>
    </row>
    <row r="18" spans="1:9">
      <c r="A18" s="2">
        <v>17</v>
      </c>
      <c r="B18" s="2" t="s">
        <v>99</v>
      </c>
      <c r="C18" s="2">
        <v>20</v>
      </c>
      <c r="D18" s="2">
        <v>1900</v>
      </c>
      <c r="E18" s="2">
        <v>1900</v>
      </c>
      <c r="F18" s="2">
        <v>6000</v>
      </c>
      <c r="G18" s="2">
        <v>470</v>
      </c>
      <c r="H18" s="2">
        <v>60</v>
      </c>
      <c r="I18" s="2">
        <v>5470</v>
      </c>
    </row>
    <row r="19" spans="1:9">
      <c r="A19" s="2">
        <v>18</v>
      </c>
      <c r="B19" s="2" t="s">
        <v>100</v>
      </c>
      <c r="C19" s="2">
        <v>18</v>
      </c>
      <c r="D19" s="2">
        <v>1800</v>
      </c>
      <c r="E19" s="2">
        <v>1800</v>
      </c>
      <c r="F19" s="2">
        <v>5600</v>
      </c>
      <c r="G19" s="2">
        <v>450</v>
      </c>
      <c r="H19" s="2">
        <v>55</v>
      </c>
      <c r="I19" s="2">
        <v>5095</v>
      </c>
    </row>
    <row r="20" spans="1:9">
      <c r="A20" s="2">
        <v>19</v>
      </c>
      <c r="B20" s="2" t="s">
        <v>101</v>
      </c>
      <c r="C20" s="2">
        <v>26</v>
      </c>
      <c r="D20" s="2">
        <v>2370</v>
      </c>
      <c r="E20" s="2">
        <v>2290</v>
      </c>
      <c r="F20" s="2">
        <v>7150</v>
      </c>
      <c r="G20" s="2">
        <v>559</v>
      </c>
      <c r="H20" s="2">
        <v>72</v>
      </c>
      <c r="I20" s="2">
        <v>6519</v>
      </c>
    </row>
    <row r="21" spans="1:9">
      <c r="A21" s="2">
        <v>20</v>
      </c>
      <c r="B21" s="2" t="s">
        <v>102</v>
      </c>
      <c r="C21" s="2">
        <v>26</v>
      </c>
      <c r="D21" s="2">
        <v>2370</v>
      </c>
      <c r="E21" s="2">
        <v>2290</v>
      </c>
      <c r="F21" s="2">
        <v>7150</v>
      </c>
      <c r="G21" s="2">
        <v>559</v>
      </c>
      <c r="H21" s="2">
        <v>72</v>
      </c>
      <c r="I21" s="2">
        <v>6519</v>
      </c>
    </row>
    <row r="22" spans="1:9">
      <c r="A22" s="2">
        <v>21</v>
      </c>
      <c r="B22" s="2" t="s">
        <v>103</v>
      </c>
      <c r="C22" s="2">
        <v>22</v>
      </c>
      <c r="D22" s="2">
        <v>2000</v>
      </c>
      <c r="E22" s="2">
        <v>1950</v>
      </c>
      <c r="F22" s="2">
        <v>6200</v>
      </c>
      <c r="G22" s="2">
        <v>485</v>
      </c>
      <c r="H22" s="2">
        <v>63</v>
      </c>
      <c r="I22" s="2">
        <v>5652</v>
      </c>
    </row>
    <row r="23" spans="1:9">
      <c r="A23" s="2">
        <v>22</v>
      </c>
      <c r="B23" s="2" t="s">
        <v>104</v>
      </c>
      <c r="C23" s="2">
        <v>21</v>
      </c>
      <c r="D23" s="2">
        <v>1950</v>
      </c>
      <c r="E23" s="2">
        <v>1900</v>
      </c>
      <c r="F23" s="2">
        <v>6000</v>
      </c>
      <c r="G23" s="2">
        <v>470</v>
      </c>
      <c r="H23" s="2">
        <v>61</v>
      </c>
      <c r="I23" s="2">
        <v>5469</v>
      </c>
    </row>
    <row r="24" spans="1:9">
      <c r="A24" s="2">
        <v>23</v>
      </c>
      <c r="B24" s="2" t="s">
        <v>105</v>
      </c>
      <c r="C24" s="2">
        <v>26</v>
      </c>
      <c r="D24" s="2">
        <v>2370</v>
      </c>
      <c r="E24" s="2">
        <v>2290</v>
      </c>
      <c r="F24" s="2">
        <v>7150</v>
      </c>
      <c r="G24" s="2">
        <v>559</v>
      </c>
      <c r="H24" s="2">
        <v>72</v>
      </c>
      <c r="I24" s="2">
        <v>6519</v>
      </c>
    </row>
    <row r="25" spans="1:9">
      <c r="A25" s="2">
        <v>24</v>
      </c>
      <c r="B25" s="2" t="s">
        <v>106</v>
      </c>
      <c r="C25" s="2">
        <v>23</v>
      </c>
      <c r="D25" s="2">
        <v>2050</v>
      </c>
      <c r="E25" s="2">
        <v>2000</v>
      </c>
      <c r="F25" s="2">
        <v>6300</v>
      </c>
      <c r="G25" s="2">
        <v>490</v>
      </c>
      <c r="H25" s="2">
        <v>65</v>
      </c>
      <c r="I25" s="2">
        <v>5745</v>
      </c>
    </row>
    <row r="26" spans="1:9">
      <c r="A26" s="2">
        <v>25</v>
      </c>
      <c r="B26" s="2" t="s">
        <v>107</v>
      </c>
      <c r="C26" s="2">
        <v>25</v>
      </c>
      <c r="D26" s="2">
        <v>2275</v>
      </c>
      <c r="E26" s="2">
        <v>2200</v>
      </c>
      <c r="F26" s="2">
        <v>6700</v>
      </c>
      <c r="G26" s="2">
        <v>510</v>
      </c>
      <c r="H26" s="2">
        <v>70</v>
      </c>
      <c r="I26" s="2">
        <v>6120</v>
      </c>
    </row>
    <row r="27" spans="1:9">
      <c r="A27" s="2">
        <v>26</v>
      </c>
      <c r="B27" s="2" t="s">
        <v>108</v>
      </c>
      <c r="C27" s="2">
        <v>26</v>
      </c>
      <c r="D27" s="2">
        <v>2370</v>
      </c>
      <c r="E27" s="2">
        <v>2290</v>
      </c>
      <c r="F27" s="2">
        <v>7150</v>
      </c>
      <c r="G27" s="2">
        <v>559</v>
      </c>
      <c r="H27" s="2">
        <v>72</v>
      </c>
      <c r="I27" s="2">
        <v>6519</v>
      </c>
    </row>
    <row r="28" spans="1:9">
      <c r="A28" s="2">
        <v>27</v>
      </c>
      <c r="B28" s="2" t="s">
        <v>109</v>
      </c>
      <c r="C28" s="2">
        <v>26</v>
      </c>
      <c r="D28" s="2">
        <v>2370</v>
      </c>
      <c r="E28" s="2">
        <v>2290</v>
      </c>
      <c r="F28" s="2">
        <v>7150</v>
      </c>
      <c r="G28" s="2">
        <v>559</v>
      </c>
      <c r="H28" s="2">
        <v>72</v>
      </c>
      <c r="I28" s="2">
        <v>6519</v>
      </c>
    </row>
    <row r="29" spans="1:9">
      <c r="A29" s="2">
        <v>28</v>
      </c>
      <c r="B29" s="2" t="s">
        <v>110</v>
      </c>
      <c r="C29" s="2">
        <v>19</v>
      </c>
      <c r="D29" s="2">
        <v>1700</v>
      </c>
      <c r="E29" s="2">
        <v>1700</v>
      </c>
      <c r="F29" s="2">
        <v>5400</v>
      </c>
      <c r="G29" s="2">
        <v>420</v>
      </c>
      <c r="H29" s="2">
        <v>54</v>
      </c>
      <c r="I29" s="2">
        <v>4926</v>
      </c>
    </row>
    <row r="30" spans="1:9">
      <c r="A30" s="2">
        <v>29</v>
      </c>
      <c r="B30" s="2" t="s">
        <v>111</v>
      </c>
      <c r="C30" s="2">
        <v>21</v>
      </c>
      <c r="D30" s="2">
        <v>1900</v>
      </c>
      <c r="E30" s="2">
        <v>1900</v>
      </c>
      <c r="F30" s="2">
        <v>6000</v>
      </c>
      <c r="G30" s="2">
        <v>470</v>
      </c>
      <c r="H30" s="2">
        <v>61</v>
      </c>
      <c r="I30" s="2">
        <v>5469</v>
      </c>
    </row>
    <row r="31" spans="1:9">
      <c r="A31" s="2">
        <v>30</v>
      </c>
      <c r="B31" s="2" t="s">
        <v>112</v>
      </c>
      <c r="C31" s="2">
        <v>26</v>
      </c>
      <c r="D31" s="2">
        <v>2370</v>
      </c>
      <c r="E31" s="2">
        <v>2290</v>
      </c>
      <c r="F31" s="2">
        <v>7150</v>
      </c>
      <c r="G31" s="2">
        <v>559</v>
      </c>
      <c r="H31" s="2">
        <v>72</v>
      </c>
      <c r="I31" s="2">
        <v>6519</v>
      </c>
    </row>
  </sheetData>
  <dataValidations count="1">
    <dataValidation type="list" allowBlank="1" showInputMessage="1" showErrorMessage="1" sqref="K2" xr:uid="{61A25B4D-D0C9-4816-8B2D-2C827F093BD9}">
      <formula1>$B:$B</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5B9FE-AD12-45AB-AA9C-110B3C1A7F3D}">
  <dimension ref="A1:J25"/>
  <sheetViews>
    <sheetView workbookViewId="0">
      <selection activeCell="E12" sqref="E12"/>
    </sheetView>
  </sheetViews>
  <sheetFormatPr defaultRowHeight="15"/>
  <cols>
    <col min="1" max="5" width="18" style="2" customWidth="1"/>
    <col min="9" max="9" width="16.140625" customWidth="1"/>
    <col min="10" max="10" width="14.7109375" customWidth="1"/>
  </cols>
  <sheetData>
    <row r="1" spans="1:10" ht="20.45" customHeight="1">
      <c r="A1" s="15" t="s">
        <v>113</v>
      </c>
      <c r="B1" s="15" t="s">
        <v>114</v>
      </c>
      <c r="C1" s="15" t="s">
        <v>115</v>
      </c>
      <c r="D1" s="15" t="s">
        <v>116</v>
      </c>
      <c r="E1" s="15" t="s">
        <v>117</v>
      </c>
      <c r="I1" s="15" t="s">
        <v>113</v>
      </c>
      <c r="J1">
        <v>5600003</v>
      </c>
    </row>
    <row r="2" spans="1:10" ht="20.45" customHeight="1">
      <c r="A2" s="14">
        <v>5600001</v>
      </c>
      <c r="B2" s="14">
        <v>5000</v>
      </c>
      <c r="C2" s="14" t="s">
        <v>118</v>
      </c>
      <c r="D2" s="14" t="s">
        <v>119</v>
      </c>
      <c r="E2" s="14" t="s">
        <v>120</v>
      </c>
      <c r="I2" s="15" t="s">
        <v>114</v>
      </c>
      <c r="J2" s="2">
        <f>VLOOKUP($J$1,$A$2:$E$21,ROW(),0)</f>
        <v>500</v>
      </c>
    </row>
    <row r="3" spans="1:10" ht="20.45" customHeight="1">
      <c r="A3" s="14">
        <v>5600002</v>
      </c>
      <c r="B3" s="14">
        <v>14571</v>
      </c>
      <c r="C3" s="14" t="s">
        <v>121</v>
      </c>
      <c r="D3" s="14" t="s">
        <v>119</v>
      </c>
      <c r="E3" s="14" t="s">
        <v>122</v>
      </c>
      <c r="I3" s="15" t="s">
        <v>115</v>
      </c>
      <c r="J3" s="2" t="str">
        <f t="shared" ref="J3:J5" si="0">VLOOKUP($J$1,$A$2:$E$21,ROW(),0)</f>
        <v>Checking</v>
      </c>
    </row>
    <row r="4" spans="1:10" ht="20.45" customHeight="1">
      <c r="A4" s="14">
        <v>5600003</v>
      </c>
      <c r="B4" s="14">
        <v>500</v>
      </c>
      <c r="C4" s="14" t="s">
        <v>123</v>
      </c>
      <c r="D4" s="14" t="s">
        <v>119</v>
      </c>
      <c r="E4" s="14" t="s">
        <v>120</v>
      </c>
      <c r="I4" s="15" t="s">
        <v>116</v>
      </c>
      <c r="J4" s="2" t="str">
        <f t="shared" si="0"/>
        <v>Central</v>
      </c>
    </row>
    <row r="5" spans="1:10" ht="20.45" customHeight="1">
      <c r="A5" s="14">
        <v>5600004</v>
      </c>
      <c r="B5" s="14">
        <v>15000</v>
      </c>
      <c r="C5" s="14" t="s">
        <v>121</v>
      </c>
      <c r="D5" s="14" t="s">
        <v>119</v>
      </c>
      <c r="E5" s="14" t="s">
        <v>120</v>
      </c>
      <c r="I5" s="15" t="s">
        <v>117</v>
      </c>
      <c r="J5" s="2" t="str">
        <f t="shared" si="0"/>
        <v>Existing</v>
      </c>
    </row>
    <row r="6" spans="1:10" ht="20.45" customHeight="1">
      <c r="A6" s="14">
        <v>5600005</v>
      </c>
      <c r="B6" s="14">
        <v>4623</v>
      </c>
      <c r="C6" s="14" t="s">
        <v>124</v>
      </c>
      <c r="D6" s="14" t="s">
        <v>125</v>
      </c>
      <c r="E6" s="14" t="s">
        <v>120</v>
      </c>
    </row>
    <row r="7" spans="1:10" ht="20.45" customHeight="1">
      <c r="A7" s="14">
        <v>5600006</v>
      </c>
      <c r="B7" s="14">
        <v>8721</v>
      </c>
      <c r="C7" s="14" t="s">
        <v>124</v>
      </c>
      <c r="D7" s="14" t="s">
        <v>126</v>
      </c>
      <c r="E7" s="14" t="s">
        <v>122</v>
      </c>
    </row>
    <row r="8" spans="1:10" ht="20.45" customHeight="1">
      <c r="A8" s="14">
        <v>5600007</v>
      </c>
      <c r="B8" s="14">
        <v>15276</v>
      </c>
      <c r="C8" s="14" t="s">
        <v>124</v>
      </c>
      <c r="D8" s="14" t="s">
        <v>125</v>
      </c>
      <c r="E8" s="14" t="s">
        <v>120</v>
      </c>
    </row>
    <row r="9" spans="1:10" ht="20.45" customHeight="1">
      <c r="A9" s="14">
        <v>5600008</v>
      </c>
      <c r="B9" s="14">
        <v>5000</v>
      </c>
      <c r="C9" s="14" t="s">
        <v>124</v>
      </c>
      <c r="D9" s="14" t="s">
        <v>126</v>
      </c>
      <c r="E9" s="14" t="s">
        <v>120</v>
      </c>
    </row>
    <row r="10" spans="1:10" ht="20.45" customHeight="1">
      <c r="A10" s="14">
        <v>5600009</v>
      </c>
      <c r="B10" s="14">
        <v>15759</v>
      </c>
      <c r="C10" s="14" t="s">
        <v>121</v>
      </c>
      <c r="D10" s="14" t="s">
        <v>126</v>
      </c>
      <c r="E10" s="14" t="s">
        <v>120</v>
      </c>
    </row>
    <row r="11" spans="1:10" ht="20.45" customHeight="1">
      <c r="A11" s="14">
        <v>5600010</v>
      </c>
      <c r="B11" s="14">
        <v>12000</v>
      </c>
      <c r="C11" s="14" t="s">
        <v>121</v>
      </c>
      <c r="D11" s="14" t="s">
        <v>126</v>
      </c>
      <c r="E11" s="14" t="s">
        <v>120</v>
      </c>
    </row>
    <row r="12" spans="1:10" ht="20.45" customHeight="1">
      <c r="A12" s="14">
        <v>5600011</v>
      </c>
      <c r="B12" s="14">
        <v>7177</v>
      </c>
      <c r="C12" s="14" t="s">
        <v>124</v>
      </c>
      <c r="D12" s="14" t="s">
        <v>125</v>
      </c>
      <c r="E12" s="14" t="s">
        <v>120</v>
      </c>
    </row>
    <row r="13" spans="1:10" ht="20.45" customHeight="1">
      <c r="A13" s="14">
        <v>5600012</v>
      </c>
      <c r="B13" s="14">
        <v>6837</v>
      </c>
      <c r="C13" s="14" t="s">
        <v>124</v>
      </c>
      <c r="D13" s="14" t="s">
        <v>126</v>
      </c>
      <c r="E13" s="14" t="s">
        <v>120</v>
      </c>
    </row>
    <row r="14" spans="1:10" ht="20.45" customHeight="1">
      <c r="A14" s="14">
        <v>5600013</v>
      </c>
      <c r="B14" s="14">
        <v>3171</v>
      </c>
      <c r="C14" s="14" t="s">
        <v>123</v>
      </c>
      <c r="D14" s="14" t="s">
        <v>126</v>
      </c>
      <c r="E14" s="14" t="s">
        <v>120</v>
      </c>
    </row>
    <row r="15" spans="1:10" ht="20.45" customHeight="1">
      <c r="A15" s="14">
        <v>5600014</v>
      </c>
      <c r="B15" s="14">
        <v>4000</v>
      </c>
      <c r="C15" s="14" t="s">
        <v>118</v>
      </c>
      <c r="D15" s="14" t="s">
        <v>119</v>
      </c>
      <c r="E15" s="14" t="s">
        <v>122</v>
      </c>
    </row>
    <row r="16" spans="1:10" ht="20.45" customHeight="1">
      <c r="A16" s="14">
        <v>5600015</v>
      </c>
      <c r="B16" s="14">
        <v>9300</v>
      </c>
      <c r="C16" s="14" t="s">
        <v>121</v>
      </c>
      <c r="D16" s="14" t="s">
        <v>126</v>
      </c>
      <c r="E16" s="14" t="s">
        <v>122</v>
      </c>
    </row>
    <row r="17" spans="1:5" ht="20.45" customHeight="1">
      <c r="A17" s="14">
        <v>5600016</v>
      </c>
      <c r="B17" s="14">
        <v>7800</v>
      </c>
      <c r="C17" s="14" t="s">
        <v>123</v>
      </c>
      <c r="D17" s="14" t="s">
        <v>119</v>
      </c>
      <c r="E17" s="14" t="s">
        <v>120</v>
      </c>
    </row>
    <row r="18" spans="1:5" ht="20.45" customHeight="1">
      <c r="A18" s="14">
        <v>5600017</v>
      </c>
      <c r="B18" s="14">
        <v>12500</v>
      </c>
      <c r="C18" s="14" t="s">
        <v>121</v>
      </c>
      <c r="D18" s="14" t="s">
        <v>125</v>
      </c>
      <c r="E18" s="14" t="s">
        <v>120</v>
      </c>
    </row>
    <row r="19" spans="1:5" ht="20.45" customHeight="1">
      <c r="A19" s="14">
        <v>5600018</v>
      </c>
      <c r="B19" s="14">
        <v>5100</v>
      </c>
      <c r="C19" s="14" t="s">
        <v>124</v>
      </c>
      <c r="D19" s="14" t="s">
        <v>126</v>
      </c>
      <c r="E19" s="14" t="s">
        <v>122</v>
      </c>
    </row>
    <row r="20" spans="1:5" ht="20.45" customHeight="1">
      <c r="A20" s="14">
        <v>5600019</v>
      </c>
      <c r="B20" s="14">
        <v>6200</v>
      </c>
      <c r="C20" s="14" t="s">
        <v>118</v>
      </c>
      <c r="D20" s="14" t="s">
        <v>119</v>
      </c>
      <c r="E20" s="14" t="s">
        <v>120</v>
      </c>
    </row>
    <row r="21" spans="1:5" ht="20.45" customHeight="1">
      <c r="A21" s="14">
        <v>5600020</v>
      </c>
      <c r="B21" s="14">
        <v>8100</v>
      </c>
      <c r="C21" s="14" t="s">
        <v>121</v>
      </c>
      <c r="D21" s="14" t="s">
        <v>126</v>
      </c>
      <c r="E21" s="14" t="s">
        <v>120</v>
      </c>
    </row>
    <row r="25" spans="1:5">
      <c r="A25" s="2" t="s">
        <v>127</v>
      </c>
    </row>
  </sheetData>
  <dataValidations count="1">
    <dataValidation type="list" allowBlank="1" showInputMessage="1" showErrorMessage="1" sqref="J1" xr:uid="{91053B44-2381-4926-AFC3-37C67D1505FC}">
      <formula1>$A$1:$A$21</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FD848-FB17-43DD-9B62-B49E49A08985}">
  <dimension ref="A1:U9"/>
  <sheetViews>
    <sheetView workbookViewId="0">
      <selection activeCell="E9" sqref="E9:I9"/>
    </sheetView>
  </sheetViews>
  <sheetFormatPr defaultRowHeight="15"/>
  <cols>
    <col min="1" max="1" width="13.28515625" bestFit="1" customWidth="1"/>
    <col min="2" max="3" width="8" bestFit="1" customWidth="1"/>
    <col min="4" max="4" width="8.28515625" bestFit="1" customWidth="1"/>
    <col min="5" max="5" width="16.28515625" customWidth="1"/>
    <col min="6" max="6" width="14.42578125" customWidth="1"/>
    <col min="7" max="7" width="15.85546875" customWidth="1"/>
    <col min="8" max="8" width="16.42578125" customWidth="1"/>
    <col min="9" max="9" width="16.7109375" customWidth="1"/>
    <col min="10" max="11" width="8.42578125" bestFit="1" customWidth="1"/>
    <col min="12" max="12" width="8" bestFit="1" customWidth="1"/>
    <col min="13" max="14" width="8.42578125" bestFit="1" customWidth="1"/>
    <col min="15" max="15" width="8" bestFit="1" customWidth="1"/>
    <col min="16" max="16" width="8.42578125" bestFit="1" customWidth="1"/>
    <col min="17" max="17" width="8.28515625" bestFit="1" customWidth="1"/>
    <col min="18" max="18" width="8" bestFit="1" customWidth="1"/>
    <col min="19" max="19" width="8.42578125" bestFit="1" customWidth="1"/>
    <col min="20" max="20" width="8" bestFit="1" customWidth="1"/>
    <col min="21" max="21" width="8.42578125" bestFit="1" customWidth="1"/>
  </cols>
  <sheetData>
    <row r="1" spans="1:21" ht="37.5">
      <c r="A1" s="15" t="s">
        <v>113</v>
      </c>
      <c r="B1" s="14">
        <v>5600001</v>
      </c>
      <c r="C1" s="14">
        <v>5600002</v>
      </c>
      <c r="D1" s="14">
        <v>5600003</v>
      </c>
      <c r="E1" s="14">
        <v>5600004</v>
      </c>
      <c r="F1" s="14">
        <v>5600005</v>
      </c>
      <c r="G1" s="14">
        <v>5600006</v>
      </c>
      <c r="H1" s="14">
        <v>5600007</v>
      </c>
      <c r="I1" s="14">
        <v>5600008</v>
      </c>
      <c r="J1" s="14">
        <v>5600009</v>
      </c>
      <c r="K1" s="14">
        <v>5600010</v>
      </c>
      <c r="L1" s="14">
        <v>5600011</v>
      </c>
      <c r="M1" s="14">
        <v>5600012</v>
      </c>
      <c r="N1" s="14">
        <v>5600013</v>
      </c>
      <c r="O1" s="14">
        <v>5600014</v>
      </c>
      <c r="P1" s="14">
        <v>5600015</v>
      </c>
      <c r="Q1" s="14">
        <v>5600016</v>
      </c>
      <c r="R1" s="14">
        <v>5600017</v>
      </c>
      <c r="S1" s="14">
        <v>5600018</v>
      </c>
      <c r="T1" s="14">
        <v>5600019</v>
      </c>
      <c r="U1" s="14">
        <v>5600020</v>
      </c>
    </row>
    <row r="2" spans="1:21" ht="18.75">
      <c r="A2" s="15" t="s">
        <v>114</v>
      </c>
      <c r="B2" s="14">
        <v>5000</v>
      </c>
      <c r="C2" s="14">
        <v>14571</v>
      </c>
      <c r="D2" s="14">
        <v>500</v>
      </c>
      <c r="E2" s="14">
        <v>15000</v>
      </c>
      <c r="F2" s="14">
        <v>4623</v>
      </c>
      <c r="G2" s="14">
        <v>8721</v>
      </c>
      <c r="H2" s="14">
        <v>15276</v>
      </c>
      <c r="I2" s="14">
        <v>5000</v>
      </c>
      <c r="J2" s="14">
        <v>15759</v>
      </c>
      <c r="K2" s="14">
        <v>12000</v>
      </c>
      <c r="L2" s="14">
        <v>7177</v>
      </c>
      <c r="M2" s="14">
        <v>6837</v>
      </c>
      <c r="N2" s="14">
        <v>3171</v>
      </c>
      <c r="O2" s="14">
        <v>4000</v>
      </c>
      <c r="P2" s="14">
        <v>9300</v>
      </c>
      <c r="Q2" s="14">
        <v>7800</v>
      </c>
      <c r="R2" s="14">
        <v>12500</v>
      </c>
      <c r="S2" s="14">
        <v>5100</v>
      </c>
      <c r="T2" s="14">
        <v>6200</v>
      </c>
      <c r="U2" s="14">
        <v>8100</v>
      </c>
    </row>
    <row r="3" spans="1:21" ht="30">
      <c r="A3" s="15" t="s">
        <v>115</v>
      </c>
      <c r="B3" s="14" t="s">
        <v>118</v>
      </c>
      <c r="C3" s="14" t="s">
        <v>121</v>
      </c>
      <c r="D3" s="14" t="s">
        <v>123</v>
      </c>
      <c r="E3" s="14" t="s">
        <v>121</v>
      </c>
      <c r="F3" s="14" t="s">
        <v>124</v>
      </c>
      <c r="G3" s="14" t="s">
        <v>124</v>
      </c>
      <c r="H3" s="14" t="s">
        <v>124</v>
      </c>
      <c r="I3" s="14" t="s">
        <v>124</v>
      </c>
      <c r="J3" s="14" t="s">
        <v>121</v>
      </c>
      <c r="K3" s="14" t="s">
        <v>121</v>
      </c>
      <c r="L3" s="14" t="s">
        <v>124</v>
      </c>
      <c r="M3" s="14" t="s">
        <v>124</v>
      </c>
      <c r="N3" s="14" t="s">
        <v>123</v>
      </c>
      <c r="O3" s="14" t="s">
        <v>118</v>
      </c>
      <c r="P3" s="14" t="s">
        <v>121</v>
      </c>
      <c r="Q3" s="14" t="s">
        <v>123</v>
      </c>
      <c r="R3" s="14" t="s">
        <v>121</v>
      </c>
      <c r="S3" s="14" t="s">
        <v>124</v>
      </c>
      <c r="T3" s="14" t="s">
        <v>118</v>
      </c>
      <c r="U3" s="14" t="s">
        <v>121</v>
      </c>
    </row>
    <row r="4" spans="1:21" ht="30">
      <c r="A4" s="15" t="s">
        <v>116</v>
      </c>
      <c r="B4" s="14" t="s">
        <v>119</v>
      </c>
      <c r="C4" s="14" t="s">
        <v>119</v>
      </c>
      <c r="D4" s="14" t="s">
        <v>119</v>
      </c>
      <c r="E4" s="14" t="s">
        <v>119</v>
      </c>
      <c r="F4" s="14" t="s">
        <v>125</v>
      </c>
      <c r="G4" s="14" t="s">
        <v>126</v>
      </c>
      <c r="H4" s="14" t="s">
        <v>125</v>
      </c>
      <c r="I4" s="14" t="s">
        <v>126</v>
      </c>
      <c r="J4" s="14" t="s">
        <v>126</v>
      </c>
      <c r="K4" s="14" t="s">
        <v>126</v>
      </c>
      <c r="L4" s="14" t="s">
        <v>125</v>
      </c>
      <c r="M4" s="14" t="s">
        <v>126</v>
      </c>
      <c r="N4" s="14" t="s">
        <v>126</v>
      </c>
      <c r="O4" s="14" t="s">
        <v>119</v>
      </c>
      <c r="P4" s="14" t="s">
        <v>126</v>
      </c>
      <c r="Q4" s="14" t="s">
        <v>119</v>
      </c>
      <c r="R4" s="14" t="s">
        <v>125</v>
      </c>
      <c r="S4" s="14" t="s">
        <v>126</v>
      </c>
      <c r="T4" s="14" t="s">
        <v>119</v>
      </c>
      <c r="U4" s="14" t="s">
        <v>126</v>
      </c>
    </row>
    <row r="5" spans="1:21" ht="18.75">
      <c r="A5" s="15" t="s">
        <v>117</v>
      </c>
      <c r="B5" s="14" t="s">
        <v>120</v>
      </c>
      <c r="C5" s="14" t="s">
        <v>122</v>
      </c>
      <c r="D5" s="14" t="s">
        <v>120</v>
      </c>
      <c r="E5" s="14" t="s">
        <v>120</v>
      </c>
      <c r="F5" s="14" t="s">
        <v>120</v>
      </c>
      <c r="G5" s="14" t="s">
        <v>122</v>
      </c>
      <c r="H5" s="14" t="s">
        <v>120</v>
      </c>
      <c r="I5" s="14" t="s">
        <v>120</v>
      </c>
      <c r="J5" s="14" t="s">
        <v>120</v>
      </c>
      <c r="K5" s="14" t="s">
        <v>120</v>
      </c>
      <c r="L5" s="14" t="s">
        <v>120</v>
      </c>
      <c r="M5" s="14" t="s">
        <v>120</v>
      </c>
      <c r="N5" s="14" t="s">
        <v>120</v>
      </c>
      <c r="O5" s="14" t="s">
        <v>122</v>
      </c>
      <c r="P5" s="14" t="s">
        <v>122</v>
      </c>
      <c r="Q5" s="14" t="s">
        <v>120</v>
      </c>
      <c r="R5" s="14" t="s">
        <v>120</v>
      </c>
      <c r="S5" s="14" t="s">
        <v>122</v>
      </c>
      <c r="T5" s="14" t="s">
        <v>120</v>
      </c>
      <c r="U5" s="14" t="s">
        <v>120</v>
      </c>
    </row>
    <row r="8" spans="1:21" ht="27" customHeight="1">
      <c r="E8" s="15" t="s">
        <v>113</v>
      </c>
      <c r="F8" s="15" t="s">
        <v>114</v>
      </c>
      <c r="G8" s="15" t="s">
        <v>115</v>
      </c>
      <c r="H8" s="15" t="s">
        <v>116</v>
      </c>
      <c r="I8" s="15" t="s">
        <v>117</v>
      </c>
    </row>
    <row r="9" spans="1:21" ht="24.6" customHeight="1">
      <c r="E9" s="2">
        <v>5600015</v>
      </c>
      <c r="F9" s="2">
        <f>HLOOKUP($E$9,$A$1:$U$5,COLUMN()-4,0)</f>
        <v>9300</v>
      </c>
      <c r="G9" s="2" t="str">
        <f t="shared" ref="G9:I9" si="0">HLOOKUP($E$9,$A$1:$U$5,COLUMN()-4,0)</f>
        <v>CD</v>
      </c>
      <c r="H9" s="2" t="str">
        <f t="shared" si="0"/>
        <v>Westside</v>
      </c>
      <c r="I9" s="2" t="str">
        <f t="shared" si="0"/>
        <v>New</v>
      </c>
    </row>
  </sheetData>
  <dataValidations count="1">
    <dataValidation type="list" allowBlank="1" showInputMessage="1" showErrorMessage="1" sqref="E9" xr:uid="{6E01AEB5-3A03-46CE-B0A3-6C052172B8BD}">
      <formula1>$B$1:$U$1</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E6C02-344A-4E16-9367-469F3909F899}">
  <dimension ref="A1:G13"/>
  <sheetViews>
    <sheetView workbookViewId="0">
      <selection activeCell="G2" sqref="G2"/>
    </sheetView>
  </sheetViews>
  <sheetFormatPr defaultRowHeight="15"/>
  <cols>
    <col min="1" max="1" width="14.28515625" bestFit="1" customWidth="1"/>
    <col min="2" max="2" width="16.7109375" bestFit="1" customWidth="1"/>
    <col min="3" max="3" width="17.7109375" customWidth="1"/>
    <col min="5" max="5" width="13.5703125" customWidth="1"/>
    <col min="6" max="6" width="16.7109375" bestFit="1" customWidth="1"/>
    <col min="7" max="7" width="19.7109375" customWidth="1"/>
  </cols>
  <sheetData>
    <row r="1" spans="1:7" ht="18.75">
      <c r="A1" s="1" t="s">
        <v>128</v>
      </c>
      <c r="B1" s="1" t="s">
        <v>129</v>
      </c>
      <c r="C1" s="1" t="s">
        <v>130</v>
      </c>
      <c r="F1" s="154" t="s">
        <v>146</v>
      </c>
      <c r="G1" s="154"/>
    </row>
    <row r="2" spans="1:7">
      <c r="A2" s="2" t="s">
        <v>131</v>
      </c>
      <c r="B2" s="2" t="s">
        <v>132</v>
      </c>
      <c r="C2" s="2">
        <v>15000</v>
      </c>
      <c r="F2" s="2" t="s">
        <v>132</v>
      </c>
      <c r="G2" s="2">
        <f>SUMIF($B$2:$B$13,F2,$C$2:$C$13)</f>
        <v>104000</v>
      </c>
    </row>
    <row r="3" spans="1:7">
      <c r="A3" s="2" t="s">
        <v>133</v>
      </c>
      <c r="B3" s="2" t="s">
        <v>134</v>
      </c>
      <c r="C3" s="2">
        <v>15000</v>
      </c>
      <c r="F3" s="2" t="s">
        <v>134</v>
      </c>
      <c r="G3" s="2">
        <f t="shared" ref="G3:G4" si="0">SUMIF($B$2:$B$13,F3,$C$2:$C$13)</f>
        <v>102000</v>
      </c>
    </row>
    <row r="4" spans="1:7">
      <c r="A4" s="2" t="s">
        <v>135</v>
      </c>
      <c r="B4" s="2" t="s">
        <v>136</v>
      </c>
      <c r="C4" s="2">
        <v>12000</v>
      </c>
      <c r="F4" s="2" t="s">
        <v>136</v>
      </c>
      <c r="G4" s="2">
        <f t="shared" si="0"/>
        <v>49000</v>
      </c>
    </row>
    <row r="5" spans="1:7">
      <c r="A5" s="2" t="s">
        <v>137</v>
      </c>
      <c r="B5" s="2" t="s">
        <v>132</v>
      </c>
      <c r="C5" s="2">
        <v>12000</v>
      </c>
    </row>
    <row r="6" spans="1:7">
      <c r="A6" s="2" t="s">
        <v>138</v>
      </c>
      <c r="B6" s="2" t="s">
        <v>132</v>
      </c>
      <c r="C6" s="2">
        <v>15000</v>
      </c>
    </row>
    <row r="7" spans="1:7">
      <c r="A7" s="2" t="s">
        <v>139</v>
      </c>
      <c r="B7" s="2" t="s">
        <v>134</v>
      </c>
      <c r="C7" s="2">
        <v>12000</v>
      </c>
    </row>
    <row r="8" spans="1:7">
      <c r="A8" s="2" t="s">
        <v>140</v>
      </c>
      <c r="B8" s="2" t="s">
        <v>136</v>
      </c>
      <c r="C8" s="2">
        <v>12000</v>
      </c>
    </row>
    <row r="9" spans="1:7">
      <c r="A9" s="2" t="s">
        <v>141</v>
      </c>
      <c r="B9" s="2" t="s">
        <v>132</v>
      </c>
      <c r="C9" s="2">
        <v>15000</v>
      </c>
    </row>
    <row r="10" spans="1:7">
      <c r="A10" s="2" t="s">
        <v>142</v>
      </c>
      <c r="B10" s="2" t="s">
        <v>132</v>
      </c>
      <c r="C10" s="2">
        <v>12000</v>
      </c>
    </row>
    <row r="11" spans="1:7">
      <c r="A11" s="2" t="s">
        <v>143</v>
      </c>
      <c r="B11" s="2" t="s">
        <v>134</v>
      </c>
      <c r="C11" s="2">
        <v>75000</v>
      </c>
    </row>
    <row r="12" spans="1:7">
      <c r="A12" s="2" t="s">
        <v>144</v>
      </c>
      <c r="B12" s="2" t="s">
        <v>136</v>
      </c>
      <c r="C12" s="2">
        <v>25000</v>
      </c>
    </row>
    <row r="13" spans="1:7">
      <c r="A13" s="2" t="s">
        <v>145</v>
      </c>
      <c r="B13" s="2" t="s">
        <v>132</v>
      </c>
      <c r="C13" s="2">
        <v>35000</v>
      </c>
    </row>
  </sheetData>
  <mergeCells count="1">
    <mergeCell ref="F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970DC-E7C5-4C85-8EED-3EE31E5156A4}">
  <dimension ref="A1:L13"/>
  <sheetViews>
    <sheetView workbookViewId="0">
      <selection activeCell="G2" sqref="G2:G4"/>
    </sheetView>
  </sheetViews>
  <sheetFormatPr defaultRowHeight="15"/>
  <cols>
    <col min="1" max="1" width="10.28515625" bestFit="1" customWidth="1"/>
    <col min="2" max="2" width="17.7109375" customWidth="1"/>
    <col min="3" max="3" width="18.5703125" customWidth="1"/>
    <col min="7" max="7" width="22" customWidth="1"/>
    <col min="8" max="8" width="17.85546875" customWidth="1"/>
    <col min="9" max="9" width="13.140625" customWidth="1"/>
    <col min="11" max="11" width="14.7109375" customWidth="1"/>
    <col min="12" max="12" width="18.85546875" customWidth="1"/>
  </cols>
  <sheetData>
    <row r="1" spans="1:12" ht="18.75">
      <c r="A1" s="1" t="s">
        <v>49</v>
      </c>
      <c r="B1" s="1" t="s">
        <v>147</v>
      </c>
      <c r="C1" s="1" t="s">
        <v>148</v>
      </c>
      <c r="D1" s="1" t="s">
        <v>114</v>
      </c>
      <c r="G1" s="13" t="s">
        <v>147</v>
      </c>
      <c r="H1" s="13" t="s">
        <v>166</v>
      </c>
      <c r="I1" s="13" t="s">
        <v>167</v>
      </c>
      <c r="K1" s="155" t="s">
        <v>168</v>
      </c>
      <c r="L1" s="155"/>
    </row>
    <row r="2" spans="1:12">
      <c r="A2" s="2" t="s">
        <v>149</v>
      </c>
      <c r="B2" s="2" t="s">
        <v>150</v>
      </c>
      <c r="C2" s="2" t="s">
        <v>151</v>
      </c>
      <c r="D2" s="2">
        <v>5000</v>
      </c>
      <c r="G2" s="2" t="s">
        <v>150</v>
      </c>
      <c r="H2" s="2">
        <f>SUMIFS($D$1:$D$13,$B$1:$B$13,$G2,$C$1:$C$13,H$1)</f>
        <v>9500</v>
      </c>
      <c r="I2" s="2">
        <f>SUMIFS($D$1:$D$13,$B$1:$B$13,$G2,$C$1:$C$13,I$1)</f>
        <v>5150</v>
      </c>
      <c r="K2" s="2" t="s">
        <v>150</v>
      </c>
      <c r="L2" s="2">
        <f>COUNTIF($B$1:$B$13,K2)</f>
        <v>4</v>
      </c>
    </row>
    <row r="3" spans="1:12">
      <c r="A3" s="2" t="s">
        <v>152</v>
      </c>
      <c r="B3" s="2" t="s">
        <v>153</v>
      </c>
      <c r="C3" s="2" t="s">
        <v>154</v>
      </c>
      <c r="D3" s="2">
        <v>6000</v>
      </c>
      <c r="G3" s="2" t="s">
        <v>153</v>
      </c>
      <c r="H3" s="2">
        <f t="shared" ref="H3:I4" si="0">SUMIFS($D$1:$D$13,$B$1:$B$13,$G3,$C$1:$C$13,H$1)</f>
        <v>6500</v>
      </c>
      <c r="I3" s="2">
        <f t="shared" si="0"/>
        <v>11100</v>
      </c>
      <c r="K3" s="2" t="s">
        <v>153</v>
      </c>
      <c r="L3" s="2">
        <f t="shared" ref="L3:L4" si="1">COUNTIF($B$1:$B$13,K3)</f>
        <v>4</v>
      </c>
    </row>
    <row r="4" spans="1:12">
      <c r="A4" s="2" t="s">
        <v>155</v>
      </c>
      <c r="B4" s="2" t="s">
        <v>150</v>
      </c>
      <c r="C4" s="2" t="s">
        <v>151</v>
      </c>
      <c r="D4" s="2">
        <v>4500</v>
      </c>
      <c r="G4" s="2" t="s">
        <v>159</v>
      </c>
      <c r="H4" s="2">
        <f t="shared" si="0"/>
        <v>11510</v>
      </c>
      <c r="I4" s="2">
        <f t="shared" si="0"/>
        <v>0</v>
      </c>
      <c r="K4" s="2" t="s">
        <v>159</v>
      </c>
      <c r="L4" s="2">
        <f t="shared" si="1"/>
        <v>4</v>
      </c>
    </row>
    <row r="5" spans="1:12">
      <c r="A5" s="2" t="s">
        <v>156</v>
      </c>
      <c r="B5" s="2" t="s">
        <v>153</v>
      </c>
      <c r="C5" s="2" t="s">
        <v>151</v>
      </c>
      <c r="D5" s="2">
        <v>6500</v>
      </c>
    </row>
    <row r="6" spans="1:12">
      <c r="A6" s="2" t="s">
        <v>157</v>
      </c>
      <c r="B6" s="2" t="s">
        <v>150</v>
      </c>
      <c r="C6" s="2" t="s">
        <v>154</v>
      </c>
      <c r="D6" s="2">
        <v>4500</v>
      </c>
    </row>
    <row r="7" spans="1:12">
      <c r="A7" s="2" t="s">
        <v>158</v>
      </c>
      <c r="B7" s="2" t="s">
        <v>159</v>
      </c>
      <c r="C7" s="2" t="s">
        <v>151</v>
      </c>
      <c r="D7" s="2">
        <v>6000</v>
      </c>
    </row>
    <row r="8" spans="1:12">
      <c r="A8" s="2" t="s">
        <v>160</v>
      </c>
      <c r="B8" s="2" t="s">
        <v>153</v>
      </c>
      <c r="C8" s="2" t="s">
        <v>154</v>
      </c>
      <c r="D8" s="2">
        <v>4500</v>
      </c>
    </row>
    <row r="9" spans="1:12">
      <c r="A9" s="2" t="s">
        <v>161</v>
      </c>
      <c r="B9" s="2" t="s">
        <v>153</v>
      </c>
      <c r="C9" s="2" t="s">
        <v>154</v>
      </c>
      <c r="D9" s="2">
        <v>600</v>
      </c>
    </row>
    <row r="10" spans="1:12">
      <c r="A10" s="2" t="s">
        <v>162</v>
      </c>
      <c r="B10" s="2" t="s">
        <v>159</v>
      </c>
      <c r="C10" s="2" t="s">
        <v>151</v>
      </c>
      <c r="D10" s="2">
        <v>1500</v>
      </c>
    </row>
    <row r="11" spans="1:12">
      <c r="A11" s="2" t="s">
        <v>163</v>
      </c>
      <c r="B11" s="2" t="s">
        <v>159</v>
      </c>
      <c r="C11" s="2" t="s">
        <v>151</v>
      </c>
      <c r="D11" s="2">
        <v>1450</v>
      </c>
    </row>
    <row r="12" spans="1:12">
      <c r="A12" s="2" t="s">
        <v>164</v>
      </c>
      <c r="B12" s="2" t="s">
        <v>150</v>
      </c>
      <c r="C12" s="2" t="s">
        <v>154</v>
      </c>
      <c r="D12" s="2">
        <v>650</v>
      </c>
    </row>
    <row r="13" spans="1:12">
      <c r="A13" s="2" t="s">
        <v>165</v>
      </c>
      <c r="B13" s="2" t="s">
        <v>159</v>
      </c>
      <c r="C13" s="2" t="s">
        <v>151</v>
      </c>
      <c r="D13" s="2">
        <v>2560</v>
      </c>
    </row>
  </sheetData>
  <mergeCells count="1">
    <mergeCell ref="K1:L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37C8C-19DC-41FE-A5A4-ED4C9DA85E60}">
  <dimension ref="A1:M26"/>
  <sheetViews>
    <sheetView workbookViewId="0">
      <selection activeCell="J13" sqref="J13"/>
    </sheetView>
  </sheetViews>
  <sheetFormatPr defaultRowHeight="15"/>
  <cols>
    <col min="1" max="1" width="19.5703125" customWidth="1"/>
    <col min="2" max="2" width="14.7109375" customWidth="1"/>
    <col min="3" max="3" width="16.5703125" customWidth="1"/>
    <col min="4" max="4" width="14.140625" bestFit="1" customWidth="1"/>
    <col min="7" max="7" width="19.140625" bestFit="1" customWidth="1"/>
    <col min="8" max="8" width="11.85546875" customWidth="1"/>
    <col min="9" max="9" width="12" customWidth="1"/>
    <col min="11" max="12" width="19.140625" bestFit="1" customWidth="1"/>
    <col min="13" max="13" width="11.28515625" customWidth="1"/>
    <col min="14" max="14" width="10.7109375" customWidth="1"/>
  </cols>
  <sheetData>
    <row r="1" spans="1:13" ht="18.75">
      <c r="A1" s="16" t="s">
        <v>49</v>
      </c>
      <c r="B1" s="16" t="s">
        <v>147</v>
      </c>
      <c r="C1" s="16" t="s">
        <v>148</v>
      </c>
      <c r="D1" s="16" t="s">
        <v>114</v>
      </c>
      <c r="G1" s="13" t="s">
        <v>147</v>
      </c>
      <c r="H1" s="13" t="s">
        <v>166</v>
      </c>
      <c r="I1" s="13" t="s">
        <v>167</v>
      </c>
      <c r="K1" s="13" t="s">
        <v>147</v>
      </c>
      <c r="L1" s="13" t="s">
        <v>166</v>
      </c>
      <c r="M1" s="13" t="s">
        <v>167</v>
      </c>
    </row>
    <row r="2" spans="1:13">
      <c r="A2" s="7" t="s">
        <v>149</v>
      </c>
      <c r="B2" s="7" t="s">
        <v>153</v>
      </c>
      <c r="C2" s="7" t="s">
        <v>151</v>
      </c>
      <c r="D2" s="7">
        <v>5000</v>
      </c>
      <c r="G2" s="2" t="s">
        <v>150</v>
      </c>
      <c r="H2" s="2">
        <f>COUNTIFS($B$1:$B$24,$G2,$C$1:$C$24,H$1)</f>
        <v>2</v>
      </c>
      <c r="I2" s="2">
        <f>COUNTIFS($B$1:$B$24,$G2,$C$1:$C$24,I$1)</f>
        <v>2</v>
      </c>
      <c r="K2" s="2" t="s">
        <v>150</v>
      </c>
      <c r="L2" s="2">
        <f>AVERAGEIFS($D$1:$D$24,$B$1:$B$24,$K2,$C$1:$C$24,L$1)</f>
        <v>1475</v>
      </c>
      <c r="M2" s="2">
        <f>AVERAGEIFS($D$1:$D$24,$B$1:$B$24,$K2,$C$1:$C$24,M$1)</f>
        <v>1605</v>
      </c>
    </row>
    <row r="3" spans="1:13">
      <c r="A3" s="17" t="s">
        <v>169</v>
      </c>
      <c r="B3" s="7"/>
      <c r="C3" s="7"/>
      <c r="D3" s="7">
        <f>SUBTOTAL(9,D2:D2)</f>
        <v>5000</v>
      </c>
      <c r="G3" s="2"/>
      <c r="H3" s="2"/>
      <c r="I3" s="2"/>
      <c r="K3" s="2"/>
      <c r="L3" s="2"/>
      <c r="M3" s="2"/>
    </row>
    <row r="4" spans="1:13">
      <c r="A4" s="7" t="s">
        <v>152</v>
      </c>
      <c r="B4" s="7" t="s">
        <v>153</v>
      </c>
      <c r="C4" s="7" t="s">
        <v>154</v>
      </c>
      <c r="D4" s="7">
        <v>6000</v>
      </c>
      <c r="G4" s="2" t="s">
        <v>153</v>
      </c>
      <c r="H4" s="2">
        <f t="shared" ref="H4:I6" si="0">COUNTIFS($B$1:$B$24,$G4,$C$1:$C$24,H$1)</f>
        <v>3</v>
      </c>
      <c r="I4" s="2">
        <f t="shared" si="0"/>
        <v>1</v>
      </c>
      <c r="K4" s="2" t="s">
        <v>153</v>
      </c>
      <c r="L4" s="2">
        <f t="shared" ref="L4:M6" si="1">AVERAGEIFS($D$1:$D$24,$B$1:$B$24,$K4,$C$1:$C$24,L$1)</f>
        <v>5333.333333333333</v>
      </c>
      <c r="M4" s="2">
        <f t="shared" si="1"/>
        <v>6000</v>
      </c>
    </row>
    <row r="5" spans="1:13">
      <c r="A5" s="17" t="s">
        <v>170</v>
      </c>
      <c r="B5" s="7"/>
      <c r="C5" s="7"/>
      <c r="D5" s="7">
        <f>SUBTOTAL(9,D4:D4)</f>
        <v>6000</v>
      </c>
      <c r="G5" s="2"/>
      <c r="H5" s="2"/>
      <c r="I5" s="2"/>
      <c r="K5" s="2"/>
      <c r="L5" s="2"/>
      <c r="M5" s="2"/>
    </row>
    <row r="6" spans="1:13">
      <c r="A6" s="7" t="s">
        <v>155</v>
      </c>
      <c r="B6" s="7" t="s">
        <v>153</v>
      </c>
      <c r="C6" s="7" t="s">
        <v>151</v>
      </c>
      <c r="D6" s="7">
        <v>4500</v>
      </c>
      <c r="G6" s="2" t="s">
        <v>159</v>
      </c>
      <c r="H6" s="2">
        <f t="shared" si="0"/>
        <v>1</v>
      </c>
      <c r="I6" s="2">
        <f t="shared" si="0"/>
        <v>3</v>
      </c>
      <c r="K6" s="2" t="s">
        <v>159</v>
      </c>
      <c r="L6" s="2">
        <f t="shared" si="1"/>
        <v>6000</v>
      </c>
      <c r="M6" s="2">
        <f t="shared" si="1"/>
        <v>3200</v>
      </c>
    </row>
    <row r="7" spans="1:13">
      <c r="A7" s="17" t="s">
        <v>171</v>
      </c>
      <c r="B7" s="7"/>
      <c r="C7" s="7"/>
      <c r="D7" s="7">
        <f>SUBTOTAL(9,D6:D6)</f>
        <v>4500</v>
      </c>
    </row>
    <row r="8" spans="1:13">
      <c r="A8" s="7" t="s">
        <v>156</v>
      </c>
      <c r="B8" s="7" t="s">
        <v>153</v>
      </c>
      <c r="C8" s="7" t="s">
        <v>151</v>
      </c>
      <c r="D8" s="7">
        <v>6500</v>
      </c>
    </row>
    <row r="9" spans="1:13">
      <c r="A9" s="17" t="s">
        <v>172</v>
      </c>
      <c r="B9" s="7"/>
      <c r="C9" s="7"/>
      <c r="D9" s="7">
        <f>SUBTOTAL(9,D8:D8)</f>
        <v>6500</v>
      </c>
    </row>
    <row r="10" spans="1:13">
      <c r="A10" s="7" t="s">
        <v>157</v>
      </c>
      <c r="B10" s="7" t="s">
        <v>159</v>
      </c>
      <c r="C10" s="7" t="s">
        <v>154</v>
      </c>
      <c r="D10" s="7">
        <v>4500</v>
      </c>
    </row>
    <row r="11" spans="1:13">
      <c r="A11" s="17" t="s">
        <v>173</v>
      </c>
      <c r="B11" s="7"/>
      <c r="C11" s="7"/>
      <c r="D11" s="7">
        <f>SUBTOTAL(9,D10:D10)</f>
        <v>4500</v>
      </c>
    </row>
    <row r="12" spans="1:13" ht="18.75">
      <c r="A12" s="7" t="s">
        <v>158</v>
      </c>
      <c r="B12" s="7" t="s">
        <v>159</v>
      </c>
      <c r="C12" s="7" t="s">
        <v>151</v>
      </c>
      <c r="D12" s="7">
        <v>6000</v>
      </c>
      <c r="F12" s="13" t="s">
        <v>147</v>
      </c>
      <c r="G12" s="13" t="s">
        <v>166</v>
      </c>
      <c r="H12" s="13" t="s">
        <v>167</v>
      </c>
    </row>
    <row r="13" spans="1:13" ht="18.75">
      <c r="A13" s="17" t="s">
        <v>174</v>
      </c>
      <c r="B13" s="7"/>
      <c r="C13" s="7"/>
      <c r="D13" s="7">
        <f>SUBTOTAL(9,D12:D12)</f>
        <v>6000</v>
      </c>
      <c r="F13" s="20"/>
      <c r="G13" s="13"/>
      <c r="H13" s="13"/>
    </row>
    <row r="14" spans="1:13">
      <c r="A14" s="7" t="s">
        <v>160</v>
      </c>
      <c r="B14" s="7" t="s">
        <v>159</v>
      </c>
      <c r="C14" s="7" t="s">
        <v>154</v>
      </c>
      <c r="D14" s="7">
        <v>4500</v>
      </c>
      <c r="F14" s="21" t="s">
        <v>150</v>
      </c>
      <c r="G14" s="2">
        <f>AVERAGEIF($B$1:$B$24,F14,$D$1:$D$24)</f>
        <v>1540</v>
      </c>
      <c r="H14" s="2"/>
    </row>
    <row r="15" spans="1:13">
      <c r="A15" s="17" t="s">
        <v>175</v>
      </c>
      <c r="B15" s="7"/>
      <c r="C15" s="7"/>
      <c r="D15" s="7">
        <f>SUBTOTAL(9,D14:D14)</f>
        <v>4500</v>
      </c>
      <c r="F15" s="21"/>
      <c r="G15" s="2"/>
      <c r="H15" s="2"/>
    </row>
    <row r="16" spans="1:13">
      <c r="A16" s="7" t="s">
        <v>161</v>
      </c>
      <c r="B16" s="7" t="s">
        <v>159</v>
      </c>
      <c r="C16" s="7" t="s">
        <v>154</v>
      </c>
      <c r="D16" s="7">
        <v>600</v>
      </c>
      <c r="F16" s="21"/>
      <c r="G16" s="2"/>
      <c r="H16" s="2"/>
    </row>
    <row r="17" spans="1:8">
      <c r="A17" s="17" t="s">
        <v>176</v>
      </c>
      <c r="B17" s="7"/>
      <c r="C17" s="7"/>
      <c r="D17" s="7">
        <f>SUBTOTAL(9,D16:D16)</f>
        <v>600</v>
      </c>
      <c r="F17" s="21" t="s">
        <v>153</v>
      </c>
      <c r="G17" s="2">
        <f t="shared" ref="G17:G18" si="2">AVERAGEIF($B$1:$B$24,F17,$D$1:$D$24)</f>
        <v>5500</v>
      </c>
      <c r="H17" s="2"/>
    </row>
    <row r="18" spans="1:8">
      <c r="A18" s="7" t="s">
        <v>162</v>
      </c>
      <c r="B18" s="7" t="s">
        <v>150</v>
      </c>
      <c r="C18" s="7" t="s">
        <v>151</v>
      </c>
      <c r="D18" s="7">
        <v>1500</v>
      </c>
      <c r="F18" s="21" t="s">
        <v>159</v>
      </c>
      <c r="G18" s="2">
        <f t="shared" si="2"/>
        <v>3900</v>
      </c>
      <c r="H18" s="2"/>
    </row>
    <row r="19" spans="1:8">
      <c r="A19" s="17" t="s">
        <v>177</v>
      </c>
      <c r="B19" s="7"/>
      <c r="C19" s="7"/>
      <c r="D19" s="7">
        <f>SUBTOTAL(9,D18:D18)</f>
        <v>1500</v>
      </c>
      <c r="G19" s="2"/>
      <c r="H19" s="2"/>
    </row>
    <row r="20" spans="1:8">
      <c r="A20" s="7" t="s">
        <v>163</v>
      </c>
      <c r="B20" s="7" t="s">
        <v>150</v>
      </c>
      <c r="C20" s="7" t="s">
        <v>151</v>
      </c>
      <c r="D20" s="7">
        <v>1450</v>
      </c>
    </row>
    <row r="21" spans="1:8">
      <c r="A21" s="17" t="s">
        <v>178</v>
      </c>
      <c r="B21" s="7"/>
      <c r="C21" s="7"/>
      <c r="D21" s="7">
        <f>SUBTOTAL(9,D20:D20)</f>
        <v>1450</v>
      </c>
    </row>
    <row r="22" spans="1:8">
      <c r="A22" s="7" t="s">
        <v>164</v>
      </c>
      <c r="B22" s="7" t="s">
        <v>150</v>
      </c>
      <c r="C22" s="7" t="s">
        <v>154</v>
      </c>
      <c r="D22" s="7">
        <v>650</v>
      </c>
    </row>
    <row r="23" spans="1:8">
      <c r="A23" s="17" t="s">
        <v>179</v>
      </c>
      <c r="B23" s="7"/>
      <c r="C23" s="7"/>
      <c r="D23" s="7">
        <f>SUBTOTAL(9,D22:D22)</f>
        <v>650</v>
      </c>
    </row>
    <row r="24" spans="1:8">
      <c r="A24" s="7" t="s">
        <v>165</v>
      </c>
      <c r="B24" s="7" t="s">
        <v>150</v>
      </c>
      <c r="C24" s="7" t="s">
        <v>167</v>
      </c>
      <c r="D24" s="7">
        <v>2560</v>
      </c>
    </row>
    <row r="25" spans="1:8">
      <c r="A25" s="19" t="s">
        <v>180</v>
      </c>
      <c r="B25" s="18"/>
      <c r="C25" s="18"/>
      <c r="D25" s="18">
        <f>SUBTOTAL(9,D24:D24)</f>
        <v>2560</v>
      </c>
    </row>
    <row r="26" spans="1:8">
      <c r="A26" s="19" t="s">
        <v>45</v>
      </c>
      <c r="B26" s="18"/>
      <c r="C26" s="18"/>
      <c r="D26" s="18">
        <f>SUBTOTAL(9,D2:D24)</f>
        <v>43760</v>
      </c>
    </row>
  </sheetData>
  <autoFilter ref="A1:D25" xr:uid="{C5937C8C-19DC-41FE-A5A4-ED4C9DA85E60}"/>
  <sortState xmlns:xlrd2="http://schemas.microsoft.com/office/spreadsheetml/2017/richdata2" ref="B2:B24">
    <sortCondition ref="B1:B24"/>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2577C-D0E7-4688-96F0-F37AE508C63E}">
  <dimension ref="A1:H14"/>
  <sheetViews>
    <sheetView workbookViewId="0">
      <selection activeCell="B2" sqref="B2:B13"/>
    </sheetView>
  </sheetViews>
  <sheetFormatPr defaultRowHeight="15"/>
  <cols>
    <col min="1" max="5" width="13" customWidth="1"/>
    <col min="6" max="6" width="16.7109375" customWidth="1"/>
    <col min="7" max="7" width="10" bestFit="1" customWidth="1"/>
    <col min="8" max="8" width="14.28515625" customWidth="1"/>
  </cols>
  <sheetData>
    <row r="1" spans="1:8">
      <c r="A1" s="1" t="s">
        <v>49</v>
      </c>
      <c r="B1" s="1" t="s">
        <v>181</v>
      </c>
      <c r="C1" s="1" t="s">
        <v>182</v>
      </c>
      <c r="D1" s="1" t="s">
        <v>183</v>
      </c>
      <c r="E1" s="22" t="s">
        <v>184</v>
      </c>
      <c r="F1" s="1" t="s">
        <v>197</v>
      </c>
      <c r="G1" s="1" t="s">
        <v>198</v>
      </c>
      <c r="H1" s="1" t="s">
        <v>199</v>
      </c>
    </row>
    <row r="2" spans="1:8">
      <c r="A2" s="2" t="s">
        <v>149</v>
      </c>
      <c r="B2" s="2" t="s">
        <v>185</v>
      </c>
      <c r="C2" s="2">
        <v>500</v>
      </c>
      <c r="D2" s="2">
        <v>450</v>
      </c>
      <c r="E2" s="21">
        <v>225000</v>
      </c>
      <c r="F2" s="2">
        <f>C2*D2</f>
        <v>225000</v>
      </c>
      <c r="G2" s="2">
        <f>PRODUCT(C2:D2)</f>
        <v>225000</v>
      </c>
      <c r="H2" s="2">
        <f>SUMPRODUCT(C1:C13,D1:D13)</f>
        <v>4942500</v>
      </c>
    </row>
    <row r="3" spans="1:8">
      <c r="A3" s="2" t="s">
        <v>152</v>
      </c>
      <c r="B3" s="2" t="s">
        <v>186</v>
      </c>
      <c r="C3" s="2">
        <v>600</v>
      </c>
      <c r="D3" s="2">
        <v>950</v>
      </c>
      <c r="E3" s="21">
        <v>570000</v>
      </c>
      <c r="F3" s="2">
        <f t="shared" ref="F3:F13" si="0">C3*D3</f>
        <v>570000</v>
      </c>
      <c r="G3" s="2">
        <f t="shared" ref="G3:G13" si="1">PRODUCT(C3:D3)</f>
        <v>570000</v>
      </c>
      <c r="H3" s="2"/>
    </row>
    <row r="4" spans="1:8">
      <c r="A4" s="2" t="s">
        <v>155</v>
      </c>
      <c r="B4" s="2" t="s">
        <v>187</v>
      </c>
      <c r="C4" s="2">
        <v>450</v>
      </c>
      <c r="D4" s="2">
        <v>350</v>
      </c>
      <c r="E4" s="21">
        <v>157500</v>
      </c>
      <c r="F4" s="2">
        <f t="shared" si="0"/>
        <v>157500</v>
      </c>
      <c r="G4" s="2">
        <f t="shared" si="1"/>
        <v>157500</v>
      </c>
      <c r="H4" s="2"/>
    </row>
    <row r="5" spans="1:8">
      <c r="A5" s="2" t="s">
        <v>156</v>
      </c>
      <c r="B5" s="2" t="s">
        <v>188</v>
      </c>
      <c r="C5" s="2">
        <v>350</v>
      </c>
      <c r="D5" s="2">
        <v>350</v>
      </c>
      <c r="E5" s="21">
        <v>122500</v>
      </c>
      <c r="F5" s="2">
        <f t="shared" si="0"/>
        <v>122500</v>
      </c>
      <c r="G5" s="2">
        <f t="shared" si="1"/>
        <v>122500</v>
      </c>
      <c r="H5" s="2"/>
    </row>
    <row r="6" spans="1:8">
      <c r="A6" s="2" t="s">
        <v>157</v>
      </c>
      <c r="B6" s="2" t="s">
        <v>189</v>
      </c>
      <c r="C6" s="2">
        <v>650</v>
      </c>
      <c r="D6" s="2">
        <v>250</v>
      </c>
      <c r="E6" s="21">
        <v>162500</v>
      </c>
      <c r="F6" s="2">
        <f t="shared" si="0"/>
        <v>162500</v>
      </c>
      <c r="G6" s="2">
        <f t="shared" si="1"/>
        <v>162500</v>
      </c>
      <c r="H6" s="2"/>
    </row>
    <row r="7" spans="1:8">
      <c r="A7" s="2" t="s">
        <v>158</v>
      </c>
      <c r="B7" s="2" t="s">
        <v>190</v>
      </c>
      <c r="C7" s="2">
        <v>120</v>
      </c>
      <c r="D7" s="2">
        <v>850</v>
      </c>
      <c r="E7" s="21">
        <v>102000</v>
      </c>
      <c r="F7" s="2">
        <f t="shared" si="0"/>
        <v>102000</v>
      </c>
      <c r="G7" s="2">
        <f t="shared" si="1"/>
        <v>102000</v>
      </c>
      <c r="H7" s="2"/>
    </row>
    <row r="8" spans="1:8">
      <c r="A8" s="2" t="s">
        <v>160</v>
      </c>
      <c r="B8" s="2" t="s">
        <v>191</v>
      </c>
      <c r="C8" s="2">
        <v>250</v>
      </c>
      <c r="D8" s="2">
        <v>3500</v>
      </c>
      <c r="E8" s="21">
        <v>875000</v>
      </c>
      <c r="F8" s="2">
        <f t="shared" si="0"/>
        <v>875000</v>
      </c>
      <c r="G8" s="2">
        <f t="shared" si="1"/>
        <v>875000</v>
      </c>
      <c r="H8" s="2"/>
    </row>
    <row r="9" spans="1:8">
      <c r="A9" s="2" t="s">
        <v>161</v>
      </c>
      <c r="B9" s="2" t="s">
        <v>192</v>
      </c>
      <c r="C9" s="2">
        <v>150</v>
      </c>
      <c r="D9" s="2">
        <v>2500</v>
      </c>
      <c r="E9" s="21">
        <v>375000</v>
      </c>
      <c r="F9" s="2">
        <f t="shared" si="0"/>
        <v>375000</v>
      </c>
      <c r="G9" s="2">
        <f t="shared" si="1"/>
        <v>375000</v>
      </c>
      <c r="H9" s="2"/>
    </row>
    <row r="10" spans="1:8">
      <c r="A10" s="2" t="s">
        <v>162</v>
      </c>
      <c r="B10" s="2" t="s">
        <v>193</v>
      </c>
      <c r="C10" s="2">
        <v>250</v>
      </c>
      <c r="D10" s="2">
        <v>2500</v>
      </c>
      <c r="E10" s="21">
        <v>625000</v>
      </c>
      <c r="F10" s="2">
        <f t="shared" si="0"/>
        <v>625000</v>
      </c>
      <c r="G10" s="2">
        <f t="shared" si="1"/>
        <v>625000</v>
      </c>
      <c r="H10" s="2"/>
    </row>
    <row r="11" spans="1:8">
      <c r="A11" s="2" t="s">
        <v>163</v>
      </c>
      <c r="B11" s="2" t="s">
        <v>194</v>
      </c>
      <c r="C11" s="2">
        <v>360</v>
      </c>
      <c r="D11" s="2">
        <v>3500</v>
      </c>
      <c r="E11" s="21">
        <v>1260000</v>
      </c>
      <c r="F11" s="2">
        <f t="shared" si="0"/>
        <v>1260000</v>
      </c>
      <c r="G11" s="2">
        <f t="shared" si="1"/>
        <v>1260000</v>
      </c>
      <c r="H11" s="2"/>
    </row>
    <row r="12" spans="1:8">
      <c r="A12" s="2" t="s">
        <v>164</v>
      </c>
      <c r="B12" s="2" t="s">
        <v>195</v>
      </c>
      <c r="C12" s="2">
        <v>120</v>
      </c>
      <c r="D12" s="2">
        <v>1800</v>
      </c>
      <c r="E12" s="21">
        <v>216000</v>
      </c>
      <c r="F12" s="2">
        <f t="shared" si="0"/>
        <v>216000</v>
      </c>
      <c r="G12" s="2">
        <f t="shared" si="1"/>
        <v>216000</v>
      </c>
      <c r="H12" s="2"/>
    </row>
    <row r="13" spans="1:8">
      <c r="A13" s="2" t="s">
        <v>165</v>
      </c>
      <c r="B13" s="2" t="s">
        <v>196</v>
      </c>
      <c r="C13" s="2">
        <v>210</v>
      </c>
      <c r="D13" s="2">
        <v>1200</v>
      </c>
      <c r="E13" s="21">
        <v>252000</v>
      </c>
      <c r="F13" s="2">
        <f t="shared" si="0"/>
        <v>252000</v>
      </c>
      <c r="G13" s="2">
        <f t="shared" si="1"/>
        <v>252000</v>
      </c>
      <c r="H13" s="2"/>
    </row>
    <row r="14" spans="1:8">
      <c r="F14" s="2">
        <f>SUM(F2:F13)</f>
        <v>4942500</v>
      </c>
      <c r="G14" s="2">
        <f>SUM(G2:G13)</f>
        <v>4942500</v>
      </c>
      <c r="H14"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D0EBA-2F13-45BE-B3F2-51C0F66874BB}">
  <dimension ref="A1:H13"/>
  <sheetViews>
    <sheetView workbookViewId="0">
      <selection activeCell="N23" sqref="N23"/>
    </sheetView>
  </sheetViews>
  <sheetFormatPr defaultRowHeight="15"/>
  <cols>
    <col min="1" max="5" width="16.7109375" customWidth="1"/>
    <col min="6" max="6" width="16.28515625" customWidth="1"/>
    <col min="8" max="8" width="15.85546875" customWidth="1"/>
  </cols>
  <sheetData>
    <row r="1" spans="1:8" ht="20.45" customHeight="1">
      <c r="A1" s="13" t="s">
        <v>49</v>
      </c>
      <c r="B1" s="13" t="s">
        <v>200</v>
      </c>
      <c r="C1" s="13" t="s">
        <v>215</v>
      </c>
      <c r="D1" s="13" t="s">
        <v>201</v>
      </c>
      <c r="E1" s="13" t="s">
        <v>202</v>
      </c>
      <c r="F1" s="13" t="s">
        <v>220</v>
      </c>
      <c r="G1" s="13" t="s">
        <v>220</v>
      </c>
      <c r="H1" s="13" t="s">
        <v>221</v>
      </c>
    </row>
    <row r="2" spans="1:8">
      <c r="A2" s="2" t="s">
        <v>149</v>
      </c>
      <c r="B2" s="2" t="s">
        <v>203</v>
      </c>
      <c r="C2" s="2" t="s">
        <v>216</v>
      </c>
      <c r="D2" s="2">
        <v>15000</v>
      </c>
      <c r="E2" s="2" t="str">
        <f>IF(D2&gt;=20000,"yes","no")</f>
        <v>no</v>
      </c>
      <c r="F2" s="2" t="str">
        <f>IF(AND(C2="manager",D2&gt;=20000),"yes","no")</f>
        <v>no</v>
      </c>
      <c r="G2" s="2" t="str">
        <f>IF(OR(C2="MANAGER",D2&gt;=20000),"YES","NO")</f>
        <v>YES</v>
      </c>
      <c r="H2" s="2">
        <f>IF(C2="MANAGER",5000,IF(C2="SUPERVISIER",3000,IF(C2="CLERK",2500,2000)))</f>
        <v>5000</v>
      </c>
    </row>
    <row r="3" spans="1:8">
      <c r="A3" s="2" t="s">
        <v>152</v>
      </c>
      <c r="B3" s="2" t="s">
        <v>204</v>
      </c>
      <c r="C3" s="2" t="s">
        <v>217</v>
      </c>
      <c r="D3" s="2">
        <v>16000</v>
      </c>
      <c r="E3" s="2" t="str">
        <f t="shared" ref="E3:E13" si="0">IF(D3&gt;=20000,"yes","no")</f>
        <v>no</v>
      </c>
      <c r="F3" s="2" t="str">
        <f t="shared" ref="F3:F13" si="1">IF(AND(C3="manager",D3&gt;=20000),"yes","no")</f>
        <v>no</v>
      </c>
      <c r="G3" s="2" t="str">
        <f t="shared" ref="G3:G13" si="2">IF(OR(C3="MANAGER",D3&gt;=20000),"YES","NO")</f>
        <v>NO</v>
      </c>
      <c r="H3" s="2">
        <f t="shared" ref="H3:H13" si="3">IF(C3="MANAGER",5000,IF(C3="SUPERVISIER",3000,IF(C3="CLERK",2500,2000)))</f>
        <v>3000</v>
      </c>
    </row>
    <row r="4" spans="1:8">
      <c r="A4" s="2" t="s">
        <v>155</v>
      </c>
      <c r="B4" s="2" t="s">
        <v>205</v>
      </c>
      <c r="C4" s="2" t="s">
        <v>218</v>
      </c>
      <c r="D4" s="2">
        <v>18000</v>
      </c>
      <c r="E4" s="2" t="str">
        <f t="shared" si="0"/>
        <v>no</v>
      </c>
      <c r="F4" s="2" t="str">
        <f t="shared" si="1"/>
        <v>no</v>
      </c>
      <c r="G4" s="2" t="str">
        <f t="shared" si="2"/>
        <v>NO</v>
      </c>
      <c r="H4" s="2">
        <f t="shared" si="3"/>
        <v>2500</v>
      </c>
    </row>
    <row r="5" spans="1:8">
      <c r="A5" s="2" t="s">
        <v>156</v>
      </c>
      <c r="B5" s="2" t="s">
        <v>206</v>
      </c>
      <c r="C5" s="2" t="s">
        <v>219</v>
      </c>
      <c r="D5" s="2">
        <v>19000</v>
      </c>
      <c r="E5" s="2" t="str">
        <f t="shared" si="0"/>
        <v>no</v>
      </c>
      <c r="F5" s="2" t="str">
        <f t="shared" si="1"/>
        <v>no</v>
      </c>
      <c r="G5" s="2" t="str">
        <f t="shared" si="2"/>
        <v>NO</v>
      </c>
      <c r="H5" s="2">
        <f t="shared" si="3"/>
        <v>2000</v>
      </c>
    </row>
    <row r="6" spans="1:8">
      <c r="A6" s="2" t="s">
        <v>157</v>
      </c>
      <c r="B6" s="2" t="s">
        <v>207</v>
      </c>
      <c r="C6" s="2" t="s">
        <v>216</v>
      </c>
      <c r="D6" s="2">
        <v>25000</v>
      </c>
      <c r="E6" s="2" t="str">
        <f t="shared" si="0"/>
        <v>yes</v>
      </c>
      <c r="F6" s="2" t="str">
        <f t="shared" si="1"/>
        <v>yes</v>
      </c>
      <c r="G6" s="2" t="str">
        <f t="shared" si="2"/>
        <v>YES</v>
      </c>
      <c r="H6" s="2">
        <f t="shared" si="3"/>
        <v>5000</v>
      </c>
    </row>
    <row r="7" spans="1:8">
      <c r="A7" s="2" t="s">
        <v>158</v>
      </c>
      <c r="B7" s="2" t="s">
        <v>208</v>
      </c>
      <c r="C7" s="2" t="s">
        <v>217</v>
      </c>
      <c r="D7" s="2">
        <v>22000</v>
      </c>
      <c r="E7" s="2" t="str">
        <f t="shared" si="0"/>
        <v>yes</v>
      </c>
      <c r="F7" s="2" t="str">
        <f t="shared" si="1"/>
        <v>no</v>
      </c>
      <c r="G7" s="2" t="str">
        <f t="shared" si="2"/>
        <v>YES</v>
      </c>
      <c r="H7" s="2">
        <f t="shared" si="3"/>
        <v>3000</v>
      </c>
    </row>
    <row r="8" spans="1:8">
      <c r="A8" s="2" t="s">
        <v>160</v>
      </c>
      <c r="B8" s="2" t="s">
        <v>209</v>
      </c>
      <c r="C8" s="2" t="s">
        <v>218</v>
      </c>
      <c r="D8" s="2">
        <v>15000</v>
      </c>
      <c r="E8" s="2" t="str">
        <f t="shared" si="0"/>
        <v>no</v>
      </c>
      <c r="F8" s="2" t="str">
        <f t="shared" si="1"/>
        <v>no</v>
      </c>
      <c r="G8" s="2" t="str">
        <f t="shared" si="2"/>
        <v>NO</v>
      </c>
      <c r="H8" s="2">
        <f t="shared" si="3"/>
        <v>2500</v>
      </c>
    </row>
    <row r="9" spans="1:8">
      <c r="A9" s="2" t="s">
        <v>161</v>
      </c>
      <c r="B9" s="2" t="s">
        <v>210</v>
      </c>
      <c r="C9" s="2" t="s">
        <v>219</v>
      </c>
      <c r="D9" s="2">
        <v>35000</v>
      </c>
      <c r="E9" s="2" t="str">
        <f t="shared" si="0"/>
        <v>yes</v>
      </c>
      <c r="F9" s="2" t="str">
        <f t="shared" si="1"/>
        <v>no</v>
      </c>
      <c r="G9" s="2" t="str">
        <f t="shared" si="2"/>
        <v>YES</v>
      </c>
      <c r="H9" s="2">
        <f t="shared" si="3"/>
        <v>2000</v>
      </c>
    </row>
    <row r="10" spans="1:8">
      <c r="A10" s="2" t="s">
        <v>162</v>
      </c>
      <c r="B10" s="2" t="s">
        <v>211</v>
      </c>
      <c r="C10" s="2" t="s">
        <v>216</v>
      </c>
      <c r="D10" s="2">
        <v>15000</v>
      </c>
      <c r="E10" s="2" t="str">
        <f t="shared" si="0"/>
        <v>no</v>
      </c>
      <c r="F10" s="2" t="str">
        <f t="shared" si="1"/>
        <v>no</v>
      </c>
      <c r="G10" s="2" t="str">
        <f t="shared" si="2"/>
        <v>YES</v>
      </c>
      <c r="H10" s="2">
        <f t="shared" si="3"/>
        <v>5000</v>
      </c>
    </row>
    <row r="11" spans="1:8">
      <c r="A11" s="2" t="s">
        <v>163</v>
      </c>
      <c r="B11" s="2" t="s">
        <v>212</v>
      </c>
      <c r="C11" s="2" t="s">
        <v>217</v>
      </c>
      <c r="D11" s="2">
        <v>35000</v>
      </c>
      <c r="E11" s="2" t="str">
        <f t="shared" si="0"/>
        <v>yes</v>
      </c>
      <c r="F11" s="2" t="str">
        <f t="shared" si="1"/>
        <v>no</v>
      </c>
      <c r="G11" s="2" t="str">
        <f t="shared" si="2"/>
        <v>YES</v>
      </c>
      <c r="H11" s="2">
        <f t="shared" si="3"/>
        <v>3000</v>
      </c>
    </row>
    <row r="12" spans="1:8">
      <c r="A12" s="2" t="s">
        <v>164</v>
      </c>
      <c r="B12" s="2" t="s">
        <v>213</v>
      </c>
      <c r="C12" s="2" t="s">
        <v>218</v>
      </c>
      <c r="D12" s="2">
        <v>18000</v>
      </c>
      <c r="E12" s="2" t="str">
        <f t="shared" si="0"/>
        <v>no</v>
      </c>
      <c r="F12" s="2" t="str">
        <f t="shared" si="1"/>
        <v>no</v>
      </c>
      <c r="G12" s="2" t="str">
        <f t="shared" si="2"/>
        <v>NO</v>
      </c>
      <c r="H12" s="2">
        <f t="shared" si="3"/>
        <v>2500</v>
      </c>
    </row>
    <row r="13" spans="1:8">
      <c r="A13" s="2" t="s">
        <v>165</v>
      </c>
      <c r="B13" s="2" t="s">
        <v>214</v>
      </c>
      <c r="C13" s="2" t="s">
        <v>219</v>
      </c>
      <c r="D13" s="2">
        <v>21000</v>
      </c>
      <c r="E13" s="2" t="str">
        <f t="shared" si="0"/>
        <v>yes</v>
      </c>
      <c r="F13" s="2" t="str">
        <f t="shared" si="1"/>
        <v>no</v>
      </c>
      <c r="G13" s="2" t="str">
        <f t="shared" si="2"/>
        <v>YES</v>
      </c>
      <c r="H13" s="2">
        <f t="shared" si="3"/>
        <v>2000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7F0E6-3A14-4ECE-A711-C097B2559900}">
  <dimension ref="A1:D6"/>
  <sheetViews>
    <sheetView workbookViewId="0">
      <selection activeCell="B7" sqref="B7"/>
    </sheetView>
  </sheetViews>
  <sheetFormatPr defaultRowHeight="15"/>
  <cols>
    <col min="1" max="1" width="17.7109375" customWidth="1"/>
    <col min="2" max="2" width="16.140625" customWidth="1"/>
    <col min="4" max="4" width="11.85546875" customWidth="1"/>
  </cols>
  <sheetData>
    <row r="1" spans="1:4" ht="18.75">
      <c r="A1" s="154" t="s">
        <v>236</v>
      </c>
      <c r="B1" s="154"/>
      <c r="C1" s="154"/>
      <c r="D1" s="154"/>
    </row>
    <row r="2" spans="1:4">
      <c r="A2" t="s">
        <v>237</v>
      </c>
    </row>
    <row r="3" spans="1:4">
      <c r="A3" t="s">
        <v>238</v>
      </c>
      <c r="B3" t="str">
        <f>SUBSTITUTE(A3,"-","")</f>
        <v>2435366473883</v>
      </c>
    </row>
    <row r="4" spans="1:4">
      <c r="A4" t="s">
        <v>239</v>
      </c>
      <c r="B4" t="s">
        <v>239</v>
      </c>
    </row>
    <row r="5" spans="1:4">
      <c r="A5" t="s">
        <v>240</v>
      </c>
      <c r="B5" t="str">
        <f>SUBSTITUTE(A5,"*","")</f>
        <v>PIN-DSSYH</v>
      </c>
    </row>
    <row r="6" spans="1:4">
      <c r="A6" t="s">
        <v>241</v>
      </c>
      <c r="B6" t="str">
        <f>SUBSTITUTE(A6,"/","-")</f>
        <v>9949-BJHRIS</v>
      </c>
    </row>
  </sheetData>
  <mergeCells count="1">
    <mergeCell ref="A1:D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2D78F-460E-4E7E-8FF9-DF3A8B5F6EBB}">
  <dimension ref="A1:B13"/>
  <sheetViews>
    <sheetView workbookViewId="0">
      <selection activeCell="B1" sqref="B1:B13"/>
    </sheetView>
  </sheetViews>
  <sheetFormatPr defaultRowHeight="15"/>
  <cols>
    <col min="1" max="1" width="19.140625" bestFit="1" customWidth="1"/>
    <col min="2" max="2" width="18.7109375" customWidth="1"/>
    <col min="3" max="3" width="15.140625" customWidth="1"/>
  </cols>
  <sheetData>
    <row r="1" spans="1:2">
      <c r="A1" s="22" t="s">
        <v>222</v>
      </c>
      <c r="B1" s="2"/>
    </row>
    <row r="2" spans="1:2">
      <c r="A2" t="s">
        <v>223</v>
      </c>
      <c r="B2" s="2" t="str">
        <f>LEFT(A2,(FIND(" ",A2,1)-1))</f>
        <v>Mumbai</v>
      </c>
    </row>
    <row r="3" spans="1:2">
      <c r="A3" t="s">
        <v>224</v>
      </c>
      <c r="B3" s="2" t="str">
        <f t="shared" ref="B3:B13" si="0">LEFT(A3,(FIND(" ",A3,1)-1))</f>
        <v>Delhi</v>
      </c>
    </row>
    <row r="4" spans="1:2">
      <c r="A4" t="s">
        <v>225</v>
      </c>
      <c r="B4" s="2" t="str">
        <f t="shared" si="0"/>
        <v>Pune</v>
      </c>
    </row>
    <row r="5" spans="1:2">
      <c r="A5" t="s">
        <v>226</v>
      </c>
      <c r="B5" s="2" t="str">
        <f t="shared" si="0"/>
        <v>Chennai</v>
      </c>
    </row>
    <row r="6" spans="1:2">
      <c r="A6" t="s">
        <v>227</v>
      </c>
      <c r="B6" s="2" t="str">
        <f t="shared" si="0"/>
        <v>Alhabad</v>
      </c>
    </row>
    <row r="7" spans="1:2">
      <c r="A7" t="s">
        <v>228</v>
      </c>
      <c r="B7" s="2" t="str">
        <f t="shared" si="0"/>
        <v>Surat</v>
      </c>
    </row>
    <row r="8" spans="1:2">
      <c r="A8" t="s">
        <v>229</v>
      </c>
      <c r="B8" s="2" t="str">
        <f t="shared" si="0"/>
        <v>Ahmedabad</v>
      </c>
    </row>
    <row r="9" spans="1:2">
      <c r="A9" t="s">
        <v>230</v>
      </c>
      <c r="B9" s="2" t="str">
        <f t="shared" si="0"/>
        <v>Punjii</v>
      </c>
    </row>
    <row r="10" spans="1:2">
      <c r="A10" t="s">
        <v>231</v>
      </c>
      <c r="B10" s="2" t="str">
        <f t="shared" si="0"/>
        <v>Bhopal</v>
      </c>
    </row>
    <row r="11" spans="1:2">
      <c r="A11" t="s">
        <v>232</v>
      </c>
      <c r="B11" s="2" t="str">
        <f t="shared" si="0"/>
        <v>Ranchi</v>
      </c>
    </row>
    <row r="12" spans="1:2">
      <c r="A12" t="s">
        <v>233</v>
      </c>
      <c r="B12" s="2" t="str">
        <f t="shared" si="0"/>
        <v>Amrutsar</v>
      </c>
    </row>
    <row r="13" spans="1:2">
      <c r="A13" t="s">
        <v>234</v>
      </c>
      <c r="B13" s="2" t="str">
        <f t="shared" si="0"/>
        <v>Kolkatta</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7F77A-F469-4EF3-893C-29B26220760D}">
  <dimension ref="A1:C13"/>
  <sheetViews>
    <sheetView workbookViewId="0">
      <selection activeCell="G13" sqref="G13"/>
    </sheetView>
  </sheetViews>
  <sheetFormatPr defaultRowHeight="15"/>
  <cols>
    <col min="1" max="1" width="16.28515625" customWidth="1"/>
    <col min="2" max="2" width="26.140625" customWidth="1"/>
  </cols>
  <sheetData>
    <row r="1" spans="1:3" ht="18.75">
      <c r="A1" s="156" t="s">
        <v>235</v>
      </c>
      <c r="B1" s="156"/>
      <c r="C1" s="156"/>
    </row>
    <row r="2" spans="1:3" ht="21">
      <c r="A2" s="2">
        <v>15</v>
      </c>
      <c r="B2" s="25" t="str">
        <f>REPT("*",A2)</f>
        <v>***************</v>
      </c>
      <c r="C2" s="2"/>
    </row>
    <row r="3" spans="1:3" ht="21">
      <c r="A3" s="2">
        <v>18</v>
      </c>
      <c r="B3" s="25" t="str">
        <f t="shared" ref="B3:B13" si="0">REPT("*",A3)</f>
        <v>******************</v>
      </c>
      <c r="C3" s="2"/>
    </row>
    <row r="4" spans="1:3" ht="21">
      <c r="A4" s="2">
        <v>17</v>
      </c>
      <c r="B4" s="25" t="str">
        <f t="shared" si="0"/>
        <v>*****************</v>
      </c>
      <c r="C4" s="2"/>
    </row>
    <row r="5" spans="1:3" ht="21">
      <c r="A5" s="2">
        <v>20</v>
      </c>
      <c r="B5" s="25" t="str">
        <f t="shared" si="0"/>
        <v>********************</v>
      </c>
      <c r="C5" s="2"/>
    </row>
    <row r="6" spans="1:3" ht="21">
      <c r="A6" s="2">
        <v>20</v>
      </c>
      <c r="B6" s="25" t="str">
        <f t="shared" si="0"/>
        <v>********************</v>
      </c>
      <c r="C6" s="2"/>
    </row>
    <row r="7" spans="1:3" ht="21">
      <c r="A7" s="2">
        <v>17</v>
      </c>
      <c r="B7" s="25" t="str">
        <f t="shared" si="0"/>
        <v>*****************</v>
      </c>
      <c r="C7" s="2"/>
    </row>
    <row r="8" spans="1:3" ht="21">
      <c r="A8" s="2">
        <v>12</v>
      </c>
      <c r="B8" s="25" t="str">
        <f t="shared" si="0"/>
        <v>************</v>
      </c>
      <c r="C8" s="2"/>
    </row>
    <row r="9" spans="1:3" ht="21">
      <c r="A9" s="2">
        <v>20</v>
      </c>
      <c r="B9" s="25" t="str">
        <f t="shared" si="0"/>
        <v>********************</v>
      </c>
      <c r="C9" s="2"/>
    </row>
    <row r="10" spans="1:3" ht="21">
      <c r="A10" s="2">
        <v>19</v>
      </c>
      <c r="B10" s="25" t="str">
        <f t="shared" si="0"/>
        <v>*******************</v>
      </c>
      <c r="C10" s="2"/>
    </row>
    <row r="11" spans="1:3" ht="21">
      <c r="A11" s="2">
        <v>16</v>
      </c>
      <c r="B11" s="25" t="str">
        <f t="shared" si="0"/>
        <v>****************</v>
      </c>
      <c r="C11" s="2"/>
    </row>
    <row r="12" spans="1:3" ht="21">
      <c r="A12" s="2">
        <v>12</v>
      </c>
      <c r="B12" s="25" t="str">
        <f t="shared" si="0"/>
        <v>************</v>
      </c>
      <c r="C12" s="2"/>
    </row>
    <row r="13" spans="1:3" ht="21">
      <c r="A13" s="2">
        <v>19</v>
      </c>
      <c r="B13" s="25" t="str">
        <f t="shared" si="0"/>
        <v>*******************</v>
      </c>
      <c r="C13" s="2"/>
    </row>
  </sheetData>
  <mergeCells count="1">
    <mergeCell ref="A1:C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810AD-F3E1-432E-B335-1F5A79257F12}">
  <dimension ref="A1:O14"/>
  <sheetViews>
    <sheetView workbookViewId="0">
      <selection activeCell="N15" sqref="N15"/>
    </sheetView>
  </sheetViews>
  <sheetFormatPr defaultRowHeight="15"/>
  <cols>
    <col min="1" max="1" width="23.7109375" bestFit="1" customWidth="1"/>
    <col min="2" max="2" width="20.140625" customWidth="1"/>
    <col min="3" max="3" width="17" customWidth="1"/>
    <col min="10" max="10" width="9.5703125" bestFit="1" customWidth="1"/>
    <col min="12" max="12" width="13.28515625" customWidth="1"/>
    <col min="14" max="14" width="11.5703125" bestFit="1" customWidth="1"/>
  </cols>
  <sheetData>
    <row r="1" spans="1:15" ht="23.25">
      <c r="A1" s="157" t="s">
        <v>244</v>
      </c>
      <c r="B1" s="157"/>
      <c r="C1" s="157"/>
      <c r="D1" s="157"/>
    </row>
    <row r="2" spans="1:15">
      <c r="A2" s="23" t="s">
        <v>245</v>
      </c>
      <c r="B2" s="23" t="s">
        <v>183</v>
      </c>
      <c r="C2" s="26">
        <v>0.1</v>
      </c>
      <c r="D2" s="2"/>
    </row>
    <row r="3" spans="1:15">
      <c r="A3" s="23" t="s">
        <v>246</v>
      </c>
      <c r="B3" s="23" t="s">
        <v>242</v>
      </c>
      <c r="C3" s="23">
        <v>100000</v>
      </c>
      <c r="D3" s="2"/>
    </row>
    <row r="4" spans="1:15">
      <c r="A4" s="23" t="s">
        <v>247</v>
      </c>
      <c r="B4" s="23" t="s">
        <v>243</v>
      </c>
      <c r="C4" s="23">
        <v>10</v>
      </c>
      <c r="D4" s="2"/>
      <c r="G4" s="2"/>
      <c r="H4" s="2">
        <v>1</v>
      </c>
      <c r="I4" s="2"/>
      <c r="J4" s="28">
        <f>IPMT($C$2/12,H4,$C$4,-$C$3)</f>
        <v>833.33333333333337</v>
      </c>
      <c r="K4" s="2"/>
      <c r="L4" s="29">
        <f>PPMT($C$2/12,H4,$C$4,-$C$3)</f>
        <v>9630.704765605522</v>
      </c>
      <c r="M4" s="2"/>
      <c r="N4" s="28">
        <f>J4+L4</f>
        <v>10464.038098938856</v>
      </c>
      <c r="O4" s="2"/>
    </row>
    <row r="5" spans="1:15">
      <c r="A5" s="23" t="s">
        <v>249</v>
      </c>
      <c r="B5" s="27">
        <f>PMT(C2/12,C4,-C3)</f>
        <v>10464.038098938856</v>
      </c>
      <c r="C5" s="23"/>
      <c r="D5" s="2"/>
      <c r="G5" s="2"/>
      <c r="H5" s="2">
        <v>2</v>
      </c>
      <c r="I5" s="2"/>
      <c r="J5" s="28">
        <f t="shared" ref="J5:J13" si="0">IPMT($C$2/12,H5,$C$4,-$C$3)</f>
        <v>753.07746028662052</v>
      </c>
      <c r="K5" s="2"/>
      <c r="L5" s="29">
        <f t="shared" ref="L5:L13" si="1">PPMT($C$2/12,H5,$C$4,-$C$3)</f>
        <v>9710.9606386522355</v>
      </c>
      <c r="M5" s="2"/>
      <c r="N5" s="28">
        <f t="shared" ref="N5:N13" si="2">J5+L5</f>
        <v>10464.038098938856</v>
      </c>
      <c r="O5" s="2"/>
    </row>
    <row r="6" spans="1:15">
      <c r="A6" s="23" t="s">
        <v>248</v>
      </c>
      <c r="B6" s="23">
        <f>B5*C4</f>
        <v>104640.38098938856</v>
      </c>
      <c r="C6" s="23"/>
      <c r="D6" s="2"/>
      <c r="G6" s="2"/>
      <c r="H6" s="2">
        <v>3</v>
      </c>
      <c r="I6" s="2"/>
      <c r="J6" s="28">
        <f t="shared" si="0"/>
        <v>672.15278829785188</v>
      </c>
      <c r="K6" s="2"/>
      <c r="L6" s="29">
        <f t="shared" si="1"/>
        <v>9791.8853106410024</v>
      </c>
      <c r="M6" s="2"/>
      <c r="N6" s="28">
        <f t="shared" si="2"/>
        <v>10464.038098938854</v>
      </c>
      <c r="O6" s="2"/>
    </row>
    <row r="7" spans="1:15">
      <c r="A7" s="23" t="s">
        <v>250</v>
      </c>
      <c r="B7" s="27">
        <f>B6-C3</f>
        <v>4640.3809893885627</v>
      </c>
      <c r="C7" s="23"/>
      <c r="D7" s="2"/>
      <c r="G7" s="2"/>
      <c r="H7" s="2">
        <v>4</v>
      </c>
      <c r="I7" s="2"/>
      <c r="J7" s="28">
        <f t="shared" si="0"/>
        <v>590.55374404251017</v>
      </c>
      <c r="K7" s="2"/>
      <c r="L7" s="29">
        <f t="shared" si="1"/>
        <v>9873.4843548963454</v>
      </c>
      <c r="M7" s="2"/>
      <c r="N7" s="28">
        <f t="shared" si="2"/>
        <v>10464.038098938856</v>
      </c>
      <c r="O7" s="2"/>
    </row>
    <row r="8" spans="1:15">
      <c r="G8" s="2"/>
      <c r="H8" s="2">
        <v>5</v>
      </c>
      <c r="I8" s="2"/>
      <c r="J8" s="28">
        <f t="shared" si="0"/>
        <v>508.2747077517073</v>
      </c>
      <c r="K8" s="2"/>
      <c r="L8" s="29">
        <f t="shared" si="1"/>
        <v>9955.763391187149</v>
      </c>
      <c r="M8" s="2"/>
      <c r="N8" s="28">
        <f t="shared" si="2"/>
        <v>10464.038098938856</v>
      </c>
      <c r="O8" s="2"/>
    </row>
    <row r="9" spans="1:15">
      <c r="G9" s="2"/>
      <c r="H9" s="2">
        <v>6</v>
      </c>
      <c r="I9" s="2"/>
      <c r="J9" s="28">
        <f t="shared" si="0"/>
        <v>425.31001282514779</v>
      </c>
      <c r="K9" s="2"/>
      <c r="L9" s="29">
        <f t="shared" si="1"/>
        <v>10038.728086113708</v>
      </c>
      <c r="M9" s="2"/>
      <c r="N9" s="28">
        <f t="shared" si="2"/>
        <v>10464.038098938856</v>
      </c>
      <c r="O9" s="2"/>
    </row>
    <row r="10" spans="1:15">
      <c r="G10" s="2"/>
      <c r="H10" s="2">
        <v>7</v>
      </c>
      <c r="I10" s="2"/>
      <c r="J10" s="28">
        <f t="shared" si="0"/>
        <v>341.65394544086683</v>
      </c>
      <c r="K10" s="2"/>
      <c r="L10" s="29">
        <f t="shared" si="1"/>
        <v>10122.384153497989</v>
      </c>
      <c r="M10" s="2"/>
      <c r="N10" s="28">
        <f t="shared" si="2"/>
        <v>10464.038098938856</v>
      </c>
      <c r="O10" s="2"/>
    </row>
    <row r="11" spans="1:15">
      <c r="G11" s="2"/>
      <c r="H11" s="2">
        <v>8</v>
      </c>
      <c r="I11" s="2"/>
      <c r="J11" s="28">
        <f t="shared" si="0"/>
        <v>257.30074416171698</v>
      </c>
      <c r="K11" s="2"/>
      <c r="L11" s="29">
        <f t="shared" si="1"/>
        <v>10206.73735477714</v>
      </c>
      <c r="M11" s="2"/>
      <c r="N11" s="28">
        <f t="shared" si="2"/>
        <v>10464.038098938858</v>
      </c>
      <c r="O11" s="2"/>
    </row>
    <row r="12" spans="1:15">
      <c r="G12" s="2"/>
      <c r="H12" s="2">
        <v>9</v>
      </c>
      <c r="I12" s="2"/>
      <c r="J12" s="28">
        <f t="shared" si="0"/>
        <v>172.24459953857416</v>
      </c>
      <c r="K12" s="2"/>
      <c r="L12" s="29">
        <f t="shared" si="1"/>
        <v>10291.793499400283</v>
      </c>
      <c r="M12" s="2"/>
      <c r="N12" s="28">
        <f t="shared" si="2"/>
        <v>10464.038098938856</v>
      </c>
      <c r="O12" s="2"/>
    </row>
    <row r="13" spans="1:15">
      <c r="G13" s="2"/>
      <c r="H13" s="2">
        <v>10</v>
      </c>
      <c r="I13" s="2"/>
      <c r="J13" s="28">
        <f t="shared" si="0"/>
        <v>86.47965371023848</v>
      </c>
      <c r="K13" s="2"/>
      <c r="L13" s="29">
        <f t="shared" si="1"/>
        <v>10377.558445228618</v>
      </c>
      <c r="M13" s="2"/>
      <c r="N13" s="28">
        <f t="shared" si="2"/>
        <v>10464.038098938858</v>
      </c>
      <c r="O13" s="2"/>
    </row>
    <row r="14" spans="1:15">
      <c r="G14" s="2"/>
      <c r="H14" s="2"/>
      <c r="I14" s="2"/>
      <c r="J14" s="28">
        <f>SUM(J4:J13)</f>
        <v>4640.3809893885682</v>
      </c>
      <c r="K14" s="2"/>
      <c r="L14" s="29">
        <f>SUM(L4:L13)</f>
        <v>100000</v>
      </c>
      <c r="M14" s="2"/>
      <c r="N14" s="28">
        <f>SUM(N4:N13)</f>
        <v>104640.38098938856</v>
      </c>
      <c r="O14" s="2"/>
    </row>
  </sheetData>
  <mergeCells count="1">
    <mergeCell ref="A1:D1"/>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72D74-1AE6-4279-A171-76C63CA4C4A4}">
  <dimension ref="F3:N14"/>
  <sheetViews>
    <sheetView workbookViewId="0">
      <selection activeCell="K4" sqref="K4:N8"/>
    </sheetView>
  </sheetViews>
  <sheetFormatPr defaultRowHeight="15"/>
  <cols>
    <col min="6" max="6" width="18.42578125" customWidth="1"/>
    <col min="11" max="11" width="15.28515625" customWidth="1"/>
    <col min="12" max="12" width="13.5703125" bestFit="1" customWidth="1"/>
  </cols>
  <sheetData>
    <row r="3" spans="6:14" ht="23.25">
      <c r="F3" s="158" t="s">
        <v>252</v>
      </c>
      <c r="G3" s="158"/>
      <c r="H3" s="158"/>
      <c r="K3" s="159" t="s">
        <v>254</v>
      </c>
      <c r="L3" s="159"/>
      <c r="M3" s="159"/>
      <c r="N3" s="159"/>
    </row>
    <row r="4" spans="6:14">
      <c r="F4" s="158"/>
      <c r="G4" s="158"/>
      <c r="H4" s="158"/>
      <c r="K4" s="2"/>
      <c r="L4" s="2"/>
      <c r="M4" s="2"/>
      <c r="N4" s="2"/>
    </row>
    <row r="5" spans="6:14">
      <c r="F5" s="2" t="s">
        <v>253</v>
      </c>
      <c r="G5" s="2"/>
      <c r="H5" s="2"/>
      <c r="K5" s="2" t="s">
        <v>245</v>
      </c>
      <c r="L5" s="115">
        <v>0.05</v>
      </c>
      <c r="M5" s="2"/>
      <c r="N5" s="2"/>
    </row>
    <row r="6" spans="6:14">
      <c r="F6" s="2"/>
      <c r="G6" s="2"/>
      <c r="H6" s="2"/>
      <c r="K6" s="2" t="s">
        <v>251</v>
      </c>
      <c r="L6" s="2">
        <v>15000</v>
      </c>
      <c r="M6" s="2"/>
      <c r="N6" s="2"/>
    </row>
    <row r="7" spans="6:14">
      <c r="F7" s="115">
        <v>0.08</v>
      </c>
      <c r="G7" s="2"/>
      <c r="H7" s="2"/>
      <c r="K7" s="2" t="s">
        <v>255</v>
      </c>
      <c r="L7" s="2">
        <v>12</v>
      </c>
      <c r="M7" s="2"/>
      <c r="N7" s="2"/>
    </row>
    <row r="8" spans="6:14">
      <c r="F8" s="2"/>
      <c r="G8" s="2"/>
      <c r="H8" s="2"/>
      <c r="K8" s="2"/>
      <c r="L8" s="29">
        <f>FV(L5/12,L7,-L6)</f>
        <v>184182.8323742403</v>
      </c>
      <c r="M8" s="2"/>
      <c r="N8" s="2"/>
    </row>
    <row r="9" spans="6:14">
      <c r="F9" s="2">
        <v>10000</v>
      </c>
      <c r="G9" s="2"/>
      <c r="H9" s="2"/>
    </row>
    <row r="10" spans="6:14">
      <c r="F10" s="2"/>
      <c r="G10" s="2"/>
      <c r="H10" s="2"/>
    </row>
    <row r="11" spans="6:14">
      <c r="F11" s="2">
        <v>60</v>
      </c>
      <c r="G11" s="2"/>
      <c r="H11" s="2"/>
    </row>
    <row r="12" spans="6:14">
      <c r="F12" s="2"/>
      <c r="G12" s="2"/>
      <c r="H12" s="2"/>
    </row>
    <row r="13" spans="6:14">
      <c r="F13" s="2"/>
      <c r="G13" s="2"/>
      <c r="H13" s="2"/>
    </row>
    <row r="14" spans="6:14">
      <c r="F14" s="116">
        <f>PV(F7/12,F11,-F9)</f>
        <v>493184.33335625764</v>
      </c>
      <c r="G14" s="2"/>
      <c r="H14" s="2"/>
    </row>
  </sheetData>
  <mergeCells count="2">
    <mergeCell ref="F3:H4"/>
    <mergeCell ref="K3:N3"/>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AAF41-4D5F-4D5A-933A-F4BEEF26DF3C}">
  <dimension ref="A1:M11"/>
  <sheetViews>
    <sheetView workbookViewId="0">
      <selection activeCell="H7" sqref="H7:I11"/>
    </sheetView>
  </sheetViews>
  <sheetFormatPr defaultRowHeight="20.45" customHeight="1"/>
  <cols>
    <col min="1" max="1" width="18.28515625" customWidth="1"/>
    <col min="2" max="2" width="16.7109375" customWidth="1"/>
    <col min="3" max="3" width="16" customWidth="1"/>
    <col min="4" max="5" width="13.28515625" customWidth="1"/>
    <col min="8" max="9" width="16.5703125" bestFit="1" customWidth="1"/>
    <col min="10" max="10" width="13.140625" bestFit="1" customWidth="1"/>
    <col min="11" max="11" width="10.85546875" bestFit="1" customWidth="1"/>
  </cols>
  <sheetData>
    <row r="1" spans="1:13" ht="20.45" customHeight="1">
      <c r="A1" s="174" t="s">
        <v>256</v>
      </c>
      <c r="B1" s="34" t="s">
        <v>257</v>
      </c>
      <c r="C1" s="34" t="s">
        <v>258</v>
      </c>
      <c r="D1" s="34" t="s">
        <v>259</v>
      </c>
      <c r="E1" s="175" t="s">
        <v>260</v>
      </c>
      <c r="I1" s="30" t="s">
        <v>256</v>
      </c>
      <c r="J1" s="30" t="s">
        <v>257</v>
      </c>
      <c r="K1" s="30" t="s">
        <v>258</v>
      </c>
      <c r="L1" s="30" t="s">
        <v>259</v>
      </c>
      <c r="M1" s="30" t="s">
        <v>260</v>
      </c>
    </row>
    <row r="2" spans="1:13" ht="20.45" customHeight="1">
      <c r="A2" s="83">
        <v>1001</v>
      </c>
      <c r="B2" s="2" t="s">
        <v>261</v>
      </c>
      <c r="C2" s="2" t="s">
        <v>262</v>
      </c>
      <c r="D2" s="2" t="s">
        <v>263</v>
      </c>
      <c r="E2" s="21">
        <v>45</v>
      </c>
      <c r="I2" s="2">
        <v>1006</v>
      </c>
      <c r="J2" s="2" t="str">
        <f>VLOOKUP($I2,$A$1:$E$11,COLUMN()-8,0)</f>
        <v>Spiderman</v>
      </c>
      <c r="K2" s="2" t="str">
        <f>VLOOKUP($I2,$A$1:$E$11,COLUMN()-8,0)</f>
        <v>Tigerbalm</v>
      </c>
      <c r="L2" s="2" t="str">
        <f t="shared" ref="L2:M2" si="0">VLOOKUP($I2,$A$1:$E$11,COLUMN()-8,0)</f>
        <v>West City</v>
      </c>
      <c r="M2" s="2">
        <f t="shared" si="0"/>
        <v>65</v>
      </c>
    </row>
    <row r="3" spans="1:13" ht="20.45" customHeight="1">
      <c r="A3" s="83">
        <v>1002</v>
      </c>
      <c r="B3" s="2" t="s">
        <v>264</v>
      </c>
      <c r="C3" s="2" t="s">
        <v>265</v>
      </c>
      <c r="D3" s="2" t="s">
        <v>266</v>
      </c>
      <c r="E3" s="21">
        <v>65</v>
      </c>
      <c r="I3" s="2"/>
      <c r="J3" s="2"/>
      <c r="K3" s="2"/>
      <c r="L3" s="2"/>
      <c r="M3" s="2"/>
    </row>
    <row r="4" spans="1:13" ht="20.45" customHeight="1">
      <c r="A4" s="83">
        <v>1003</v>
      </c>
      <c r="B4" s="2" t="s">
        <v>267</v>
      </c>
      <c r="C4" s="2" t="s">
        <v>268</v>
      </c>
      <c r="D4" s="2" t="s">
        <v>269</v>
      </c>
      <c r="E4" s="21">
        <v>32</v>
      </c>
    </row>
    <row r="5" spans="1:13" ht="20.45" customHeight="1">
      <c r="A5" s="83">
        <v>1004</v>
      </c>
      <c r="B5" s="2" t="s">
        <v>270</v>
      </c>
      <c r="C5" s="2" t="s">
        <v>271</v>
      </c>
      <c r="D5" s="2" t="s">
        <v>263</v>
      </c>
      <c r="E5" s="21">
        <v>65</v>
      </c>
    </row>
    <row r="6" spans="1:13" ht="20.45" customHeight="1">
      <c r="A6" s="83">
        <v>1005</v>
      </c>
      <c r="B6" s="2" t="s">
        <v>272</v>
      </c>
      <c r="C6" s="2" t="s">
        <v>262</v>
      </c>
      <c r="D6" s="2" t="s">
        <v>266</v>
      </c>
      <c r="E6" s="21">
        <v>98</v>
      </c>
    </row>
    <row r="7" spans="1:13" ht="20.45" customHeight="1">
      <c r="A7" s="83">
        <v>1006</v>
      </c>
      <c r="B7" s="2" t="s">
        <v>273</v>
      </c>
      <c r="C7" s="2" t="s">
        <v>265</v>
      </c>
      <c r="D7" s="2" t="s">
        <v>269</v>
      </c>
      <c r="E7" s="21">
        <v>65</v>
      </c>
      <c r="H7" s="30" t="s">
        <v>256</v>
      </c>
      <c r="I7" s="2">
        <v>1004</v>
      </c>
    </row>
    <row r="8" spans="1:13" ht="20.45" customHeight="1">
      <c r="A8" s="83">
        <v>1007</v>
      </c>
      <c r="B8" s="2" t="s">
        <v>274</v>
      </c>
      <c r="C8" s="2" t="s">
        <v>271</v>
      </c>
      <c r="D8" s="2" t="s">
        <v>263</v>
      </c>
      <c r="E8" s="21">
        <v>32</v>
      </c>
      <c r="H8" s="30" t="s">
        <v>257</v>
      </c>
      <c r="I8" s="2" t="str">
        <f>VLOOKUP($I$7,$A$1:$E$11,ROW()-6,0)</f>
        <v>Thor</v>
      </c>
    </row>
    <row r="9" spans="1:13" ht="20.45" customHeight="1">
      <c r="A9" s="83">
        <v>1008</v>
      </c>
      <c r="B9" s="2" t="s">
        <v>275</v>
      </c>
      <c r="C9" s="2" t="s">
        <v>276</v>
      </c>
      <c r="D9" s="2" t="s">
        <v>266</v>
      </c>
      <c r="E9" s="21">
        <v>65</v>
      </c>
      <c r="H9" s="30" t="s">
        <v>258</v>
      </c>
      <c r="I9" s="2" t="str">
        <f t="shared" ref="I9:I11" si="1">VLOOKUP($I$7,$A$1:$E$11,ROW()-6,0)</f>
        <v>Toothbrush</v>
      </c>
    </row>
    <row r="10" spans="1:13" ht="20.45" customHeight="1">
      <c r="A10" s="83">
        <v>1009</v>
      </c>
      <c r="B10" s="2" t="s">
        <v>277</v>
      </c>
      <c r="C10" s="2" t="s">
        <v>276</v>
      </c>
      <c r="D10" s="2" t="s">
        <v>269</v>
      </c>
      <c r="E10" s="21">
        <v>54</v>
      </c>
      <c r="H10" s="30" t="s">
        <v>259</v>
      </c>
      <c r="I10" s="2" t="str">
        <f t="shared" si="1"/>
        <v>South City</v>
      </c>
    </row>
    <row r="11" spans="1:13" ht="20.45" customHeight="1">
      <c r="A11" s="90">
        <v>1010</v>
      </c>
      <c r="B11" s="91" t="s">
        <v>278</v>
      </c>
      <c r="C11" s="91" t="s">
        <v>265</v>
      </c>
      <c r="D11" s="91" t="s">
        <v>263</v>
      </c>
      <c r="E11" s="109">
        <v>65</v>
      </c>
      <c r="H11" s="30" t="s">
        <v>260</v>
      </c>
      <c r="I11" s="2">
        <f t="shared" si="1"/>
        <v>65</v>
      </c>
    </row>
  </sheetData>
  <dataValidations count="1">
    <dataValidation type="list" allowBlank="1" showInputMessage="1" showErrorMessage="1" sqref="I7 I2" xr:uid="{77E95B12-29A8-4DCE-BB8D-DFF912718F17}">
      <formula1>$A$2:$A$11</formula1>
    </dataValidation>
  </dataValidations>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DE53D-B853-4B77-A8B2-2F663A130087}">
  <dimension ref="A1:N14"/>
  <sheetViews>
    <sheetView workbookViewId="0">
      <selection activeCell="M12" sqref="M12"/>
    </sheetView>
  </sheetViews>
  <sheetFormatPr defaultRowHeight="15"/>
  <cols>
    <col min="1" max="1" width="15.5703125" customWidth="1"/>
    <col min="2" max="2" width="19.28515625" customWidth="1"/>
    <col min="3" max="3" width="18.28515625" customWidth="1"/>
    <col min="4" max="4" width="16.28515625" customWidth="1"/>
    <col min="6" max="6" width="18.42578125" customWidth="1"/>
    <col min="7" max="7" width="16.28515625" customWidth="1"/>
    <col min="9" max="9" width="0.42578125" customWidth="1"/>
    <col min="10" max="10" width="10" bestFit="1" customWidth="1"/>
    <col min="11" max="11" width="11.28515625" customWidth="1"/>
    <col min="13" max="13" width="9.85546875" customWidth="1"/>
    <col min="14" max="14" width="13.7109375" bestFit="1" customWidth="1"/>
  </cols>
  <sheetData>
    <row r="1" spans="1:14" ht="21">
      <c r="A1" s="30" t="s">
        <v>256</v>
      </c>
      <c r="B1" s="30" t="s">
        <v>257</v>
      </c>
      <c r="C1" s="30" t="s">
        <v>258</v>
      </c>
      <c r="D1" s="30" t="s">
        <v>259</v>
      </c>
      <c r="E1" s="30" t="s">
        <v>260</v>
      </c>
      <c r="F1" s="30" t="s">
        <v>285</v>
      </c>
      <c r="G1" s="30" t="s">
        <v>288</v>
      </c>
    </row>
    <row r="2" spans="1:14" ht="18.75">
      <c r="A2" s="2">
        <v>1001</v>
      </c>
      <c r="B2" s="2" t="s">
        <v>261</v>
      </c>
      <c r="C2" s="2" t="s">
        <v>262</v>
      </c>
      <c r="D2" s="2" t="s">
        <v>263</v>
      </c>
      <c r="E2" s="2">
        <v>45</v>
      </c>
      <c r="F2" s="2" t="str">
        <f t="shared" ref="F2:F11" si="0">VLOOKUP(E2,$M$3:$N$7,2,1)</f>
        <v>GOOD</v>
      </c>
      <c r="G2" s="2">
        <f>VLOOKUP(D2,$J$11:$K$14,2,0)</f>
        <v>485958</v>
      </c>
      <c r="L2" s="160" t="s">
        <v>289</v>
      </c>
      <c r="M2" s="160"/>
      <c r="N2" s="160"/>
    </row>
    <row r="3" spans="1:14">
      <c r="A3" s="2">
        <v>1002</v>
      </c>
      <c r="B3" s="2" t="s">
        <v>264</v>
      </c>
      <c r="C3" s="2" t="s">
        <v>265</v>
      </c>
      <c r="D3" s="2" t="s">
        <v>266</v>
      </c>
      <c r="E3" s="2">
        <v>65</v>
      </c>
      <c r="F3" s="2" t="str">
        <f t="shared" si="0"/>
        <v>GOOD</v>
      </c>
      <c r="G3" s="2">
        <f t="shared" ref="G3:G11" si="1">VLOOKUP(D3,$J$11:$K$14,2,0)</f>
        <v>309876</v>
      </c>
      <c r="M3" s="2" t="s">
        <v>279</v>
      </c>
      <c r="N3" s="2" t="s">
        <v>280</v>
      </c>
    </row>
    <row r="4" spans="1:14">
      <c r="A4" s="2">
        <v>1003</v>
      </c>
      <c r="B4" s="2" t="s">
        <v>267</v>
      </c>
      <c r="C4" s="2" t="s">
        <v>268</v>
      </c>
      <c r="D4" s="2" t="s">
        <v>269</v>
      </c>
      <c r="E4" s="2">
        <v>32</v>
      </c>
      <c r="F4" s="2" t="str">
        <f t="shared" si="0"/>
        <v>POOR</v>
      </c>
      <c r="G4" s="2">
        <f t="shared" si="1"/>
        <v>768594</v>
      </c>
      <c r="M4" s="2">
        <v>0</v>
      </c>
      <c r="N4" s="2" t="s">
        <v>281</v>
      </c>
    </row>
    <row r="5" spans="1:14">
      <c r="A5" s="2">
        <v>1004</v>
      </c>
      <c r="B5" s="2" t="s">
        <v>270</v>
      </c>
      <c r="C5" s="2" t="s">
        <v>271</v>
      </c>
      <c r="D5" s="2" t="s">
        <v>263</v>
      </c>
      <c r="E5" s="2">
        <v>65</v>
      </c>
      <c r="F5" s="2" t="str">
        <f t="shared" si="0"/>
        <v>GOOD</v>
      </c>
      <c r="G5" s="2">
        <f t="shared" si="1"/>
        <v>485958</v>
      </c>
      <c r="M5" s="2">
        <v>35</v>
      </c>
      <c r="N5" s="2" t="s">
        <v>283</v>
      </c>
    </row>
    <row r="6" spans="1:14">
      <c r="A6" s="2">
        <v>1005</v>
      </c>
      <c r="B6" s="2" t="s">
        <v>272</v>
      </c>
      <c r="C6" s="2" t="s">
        <v>262</v>
      </c>
      <c r="D6" s="2" t="s">
        <v>266</v>
      </c>
      <c r="E6" s="2">
        <v>98</v>
      </c>
      <c r="F6" s="2" t="str">
        <f t="shared" si="0"/>
        <v>BEST</v>
      </c>
      <c r="G6" s="2">
        <f t="shared" si="1"/>
        <v>309876</v>
      </c>
      <c r="M6" s="2">
        <v>45</v>
      </c>
      <c r="N6" s="31" t="s">
        <v>282</v>
      </c>
    </row>
    <row r="7" spans="1:14">
      <c r="A7" s="2">
        <v>1006</v>
      </c>
      <c r="B7" s="2" t="s">
        <v>273</v>
      </c>
      <c r="C7" s="2" t="s">
        <v>265</v>
      </c>
      <c r="D7" s="2" t="s">
        <v>269</v>
      </c>
      <c r="E7" s="2">
        <v>65</v>
      </c>
      <c r="F7" s="2" t="str">
        <f t="shared" si="0"/>
        <v>GOOD</v>
      </c>
      <c r="G7" s="2">
        <f t="shared" si="1"/>
        <v>768594</v>
      </c>
      <c r="M7" s="2">
        <v>70</v>
      </c>
      <c r="N7" s="2" t="s">
        <v>284</v>
      </c>
    </row>
    <row r="8" spans="1:14">
      <c r="A8" s="2">
        <v>1007</v>
      </c>
      <c r="B8" s="2" t="s">
        <v>274</v>
      </c>
      <c r="C8" s="2" t="s">
        <v>271</v>
      </c>
      <c r="D8" s="2" t="s">
        <v>263</v>
      </c>
      <c r="E8" s="2">
        <v>32</v>
      </c>
      <c r="F8" s="2" t="str">
        <f t="shared" si="0"/>
        <v>POOR</v>
      </c>
      <c r="G8" s="2">
        <f t="shared" si="1"/>
        <v>485958</v>
      </c>
    </row>
    <row r="9" spans="1:14">
      <c r="A9" s="2">
        <v>1008</v>
      </c>
      <c r="B9" s="2" t="s">
        <v>275</v>
      </c>
      <c r="C9" s="2" t="s">
        <v>276</v>
      </c>
      <c r="D9" s="2" t="s">
        <v>266</v>
      </c>
      <c r="E9" s="2">
        <v>65</v>
      </c>
      <c r="F9" s="2" t="str">
        <f t="shared" si="0"/>
        <v>GOOD</v>
      </c>
      <c r="G9" s="2">
        <f t="shared" si="1"/>
        <v>309876</v>
      </c>
    </row>
    <row r="10" spans="1:14" ht="18.75">
      <c r="A10" s="2">
        <v>1009</v>
      </c>
      <c r="B10" s="2" t="s">
        <v>277</v>
      </c>
      <c r="C10" s="2" t="s">
        <v>276</v>
      </c>
      <c r="D10" s="2" t="s">
        <v>269</v>
      </c>
      <c r="E10" s="2">
        <v>54</v>
      </c>
      <c r="F10" s="2" t="str">
        <f t="shared" si="0"/>
        <v>GOOD</v>
      </c>
      <c r="G10" s="2">
        <f t="shared" si="1"/>
        <v>768594</v>
      </c>
      <c r="I10" s="176" t="s">
        <v>290</v>
      </c>
      <c r="J10" s="176"/>
      <c r="K10" s="176"/>
    </row>
    <row r="11" spans="1:14">
      <c r="A11" s="2">
        <v>1010</v>
      </c>
      <c r="B11" s="2" t="s">
        <v>278</v>
      </c>
      <c r="C11" s="2" t="s">
        <v>265</v>
      </c>
      <c r="D11" s="2" t="s">
        <v>263</v>
      </c>
      <c r="E11" s="2">
        <v>65</v>
      </c>
      <c r="F11" s="2" t="str">
        <f t="shared" si="0"/>
        <v>GOOD</v>
      </c>
      <c r="G11" s="2">
        <f t="shared" si="1"/>
        <v>485958</v>
      </c>
      <c r="J11" s="2" t="s">
        <v>286</v>
      </c>
      <c r="K11" s="2" t="s">
        <v>287</v>
      </c>
    </row>
    <row r="12" spans="1:14">
      <c r="J12" s="2" t="s">
        <v>263</v>
      </c>
      <c r="K12" s="2">
        <v>485958</v>
      </c>
    </row>
    <row r="13" spans="1:14">
      <c r="J13" s="2" t="s">
        <v>266</v>
      </c>
      <c r="K13" s="2">
        <v>309876</v>
      </c>
    </row>
    <row r="14" spans="1:14">
      <c r="J14" s="2" t="s">
        <v>269</v>
      </c>
      <c r="K14" s="2">
        <v>768594</v>
      </c>
    </row>
  </sheetData>
  <mergeCells count="1">
    <mergeCell ref="L2:N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178EC-9739-47CC-822C-675FFFC01B6F}">
  <dimension ref="A1:N11"/>
  <sheetViews>
    <sheetView workbookViewId="0">
      <selection activeCell="I2" sqref="I2:N2"/>
    </sheetView>
  </sheetViews>
  <sheetFormatPr defaultRowHeight="15"/>
  <cols>
    <col min="1" max="1" width="16.5703125" bestFit="1" customWidth="1"/>
    <col min="2" max="2" width="13" customWidth="1"/>
    <col min="3" max="3" width="12.28515625" customWidth="1"/>
    <col min="4" max="4" width="14" customWidth="1"/>
    <col min="6" max="6" width="18.28515625" customWidth="1"/>
    <col min="9" max="9" width="16.5703125" bestFit="1" customWidth="1"/>
    <col min="10" max="10" width="13.85546875" customWidth="1"/>
    <col min="11" max="11" width="13.5703125" customWidth="1"/>
    <col min="14" max="14" width="18.7109375" customWidth="1"/>
  </cols>
  <sheetData>
    <row r="1" spans="1:14" ht="21">
      <c r="A1" s="30" t="s">
        <v>256</v>
      </c>
      <c r="B1" s="30" t="s">
        <v>257</v>
      </c>
      <c r="C1" s="30" t="s">
        <v>258</v>
      </c>
      <c r="D1" s="30" t="s">
        <v>259</v>
      </c>
      <c r="E1" s="30" t="s">
        <v>260</v>
      </c>
      <c r="F1" s="30"/>
      <c r="I1" s="30" t="s">
        <v>256</v>
      </c>
      <c r="J1" s="30" t="s">
        <v>257</v>
      </c>
      <c r="K1" s="30" t="s">
        <v>258</v>
      </c>
      <c r="L1" s="30" t="s">
        <v>259</v>
      </c>
      <c r="M1" s="30" t="s">
        <v>260</v>
      </c>
      <c r="N1" s="30" t="s">
        <v>285</v>
      </c>
    </row>
    <row r="2" spans="1:14">
      <c r="A2" s="2">
        <v>1001</v>
      </c>
      <c r="B2" s="2" t="s">
        <v>261</v>
      </c>
      <c r="C2" s="2" t="s">
        <v>262</v>
      </c>
      <c r="D2" s="2" t="s">
        <v>263</v>
      </c>
      <c r="E2" s="2">
        <v>45</v>
      </c>
      <c r="F2" s="2"/>
      <c r="I2" s="2">
        <v>1004</v>
      </c>
      <c r="J2" s="2" t="str">
        <f>IFERROR(VLOOKUP($I$2,$A$1:$F$11,COLUMN()-8,0),"INVALID")</f>
        <v>Thor</v>
      </c>
      <c r="K2" s="2" t="str">
        <f t="shared" ref="K2:N2" si="0">IFERROR(VLOOKUP($I$2,$A$1:$F$11,COLUMN()-8,0),"INVALID")</f>
        <v>Toothbrush</v>
      </c>
      <c r="L2" s="2" t="str">
        <f t="shared" si="0"/>
        <v>South City</v>
      </c>
      <c r="M2" s="2">
        <f t="shared" si="0"/>
        <v>65</v>
      </c>
      <c r="N2" s="2">
        <f t="shared" si="0"/>
        <v>0</v>
      </c>
    </row>
    <row r="3" spans="1:14">
      <c r="A3" s="2">
        <v>1002</v>
      </c>
      <c r="B3" s="2" t="s">
        <v>264</v>
      </c>
      <c r="C3" s="2" t="s">
        <v>265</v>
      </c>
      <c r="D3" s="2" t="s">
        <v>266</v>
      </c>
      <c r="E3" s="2">
        <v>65</v>
      </c>
      <c r="F3" s="2"/>
    </row>
    <row r="4" spans="1:14">
      <c r="A4" s="2">
        <v>1003</v>
      </c>
      <c r="B4" s="2" t="s">
        <v>267</v>
      </c>
      <c r="C4" s="2" t="s">
        <v>268</v>
      </c>
      <c r="D4" s="2" t="s">
        <v>269</v>
      </c>
      <c r="E4" s="2">
        <v>32</v>
      </c>
      <c r="F4" s="2"/>
    </row>
    <row r="5" spans="1:14">
      <c r="A5" s="2">
        <v>1004</v>
      </c>
      <c r="B5" s="2" t="s">
        <v>270</v>
      </c>
      <c r="C5" s="2" t="s">
        <v>271</v>
      </c>
      <c r="D5" s="2" t="s">
        <v>263</v>
      </c>
      <c r="E5" s="2">
        <v>65</v>
      </c>
      <c r="F5" s="2"/>
    </row>
    <row r="6" spans="1:14">
      <c r="A6" s="2">
        <v>1005</v>
      </c>
      <c r="B6" s="2" t="s">
        <v>272</v>
      </c>
      <c r="C6" s="2" t="s">
        <v>262</v>
      </c>
      <c r="D6" s="2" t="s">
        <v>266</v>
      </c>
      <c r="E6" s="2">
        <v>98</v>
      </c>
      <c r="F6" s="2"/>
    </row>
    <row r="7" spans="1:14">
      <c r="A7" s="2">
        <v>1006</v>
      </c>
      <c r="B7" s="2" t="s">
        <v>273</v>
      </c>
      <c r="C7" s="2" t="s">
        <v>265</v>
      </c>
      <c r="D7" s="2" t="s">
        <v>269</v>
      </c>
      <c r="E7" s="2">
        <v>65</v>
      </c>
      <c r="F7" s="2"/>
    </row>
    <row r="8" spans="1:14">
      <c r="A8" s="2">
        <v>1007</v>
      </c>
      <c r="B8" s="2" t="s">
        <v>274</v>
      </c>
      <c r="C8" s="2" t="s">
        <v>271</v>
      </c>
      <c r="D8" s="2" t="s">
        <v>263</v>
      </c>
      <c r="E8" s="2">
        <v>32</v>
      </c>
      <c r="F8" s="2"/>
    </row>
    <row r="9" spans="1:14">
      <c r="A9" s="2">
        <v>1008</v>
      </c>
      <c r="B9" s="2" t="s">
        <v>275</v>
      </c>
      <c r="C9" s="2" t="s">
        <v>276</v>
      </c>
      <c r="D9" s="2" t="s">
        <v>266</v>
      </c>
      <c r="E9" s="2">
        <v>65</v>
      </c>
      <c r="F9" s="2"/>
    </row>
    <row r="10" spans="1:14">
      <c r="A10" s="2">
        <v>1009</v>
      </c>
      <c r="B10" s="2" t="s">
        <v>277</v>
      </c>
      <c r="C10" s="2" t="s">
        <v>276</v>
      </c>
      <c r="D10" s="2" t="s">
        <v>269</v>
      </c>
      <c r="E10" s="2">
        <v>54</v>
      </c>
      <c r="F10" s="2"/>
    </row>
    <row r="11" spans="1:14">
      <c r="A11" s="2">
        <v>1010</v>
      </c>
      <c r="B11" s="2" t="s">
        <v>278</v>
      </c>
      <c r="C11" s="2" t="s">
        <v>265</v>
      </c>
      <c r="D11" s="2" t="s">
        <v>263</v>
      </c>
      <c r="E11" s="2">
        <v>65</v>
      </c>
      <c r="F11" s="2"/>
    </row>
  </sheetData>
  <dataValidations count="1">
    <dataValidation type="list" allowBlank="1" showInputMessage="1" showErrorMessage="1" sqref="I2" xr:uid="{D431B7EA-1A1F-4EA6-873E-7590CE72F8DA}">
      <formula1>$A$2:$A$11</formula1>
    </dataValidation>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DFFB0-3F54-4994-AE06-97029CA91855}">
  <dimension ref="A1:J15"/>
  <sheetViews>
    <sheetView workbookViewId="0">
      <selection activeCell="C15" sqref="C15:H15"/>
    </sheetView>
  </sheetViews>
  <sheetFormatPr defaultRowHeight="15"/>
  <cols>
    <col min="1" max="1" width="16.7109375" customWidth="1"/>
    <col min="2" max="2" width="14" customWidth="1"/>
    <col min="3" max="3" width="15.5703125" customWidth="1"/>
    <col min="4" max="4" width="22.140625" bestFit="1" customWidth="1"/>
    <col min="5" max="5" width="13.140625" bestFit="1" customWidth="1"/>
    <col min="6" max="6" width="10.85546875" bestFit="1" customWidth="1"/>
    <col min="7" max="7" width="16.5703125" bestFit="1" customWidth="1"/>
    <col min="8" max="8" width="13.140625" bestFit="1" customWidth="1"/>
    <col min="9" max="9" width="10.85546875" bestFit="1" customWidth="1"/>
    <col min="10" max="10" width="12.42578125" customWidth="1"/>
    <col min="11" max="11" width="17.28515625" customWidth="1"/>
  </cols>
  <sheetData>
    <row r="1" spans="1:10" ht="21">
      <c r="A1" s="32" t="s">
        <v>291</v>
      </c>
      <c r="B1" s="32" t="s">
        <v>292</v>
      </c>
      <c r="D1" s="30" t="s">
        <v>256</v>
      </c>
      <c r="E1" s="30" t="s">
        <v>257</v>
      </c>
      <c r="F1" s="30" t="s">
        <v>258</v>
      </c>
      <c r="G1" s="30" t="s">
        <v>259</v>
      </c>
      <c r="H1" s="30" t="s">
        <v>260</v>
      </c>
    </row>
    <row r="2" spans="1:10">
      <c r="A2" s="2">
        <v>1001</v>
      </c>
      <c r="B2" s="2" t="s">
        <v>293</v>
      </c>
      <c r="D2" s="2" t="s">
        <v>293</v>
      </c>
      <c r="E2" s="2" t="s">
        <v>261</v>
      </c>
      <c r="F2" s="2" t="s">
        <v>262</v>
      </c>
      <c r="G2" s="2" t="s">
        <v>263</v>
      </c>
      <c r="H2" s="2">
        <v>45</v>
      </c>
      <c r="J2">
        <f>MOD(ROW(I2),1)</f>
        <v>0</v>
      </c>
    </row>
    <row r="3" spans="1:10">
      <c r="A3" s="2">
        <v>1002</v>
      </c>
      <c r="B3" s="2" t="s">
        <v>295</v>
      </c>
      <c r="D3" s="2" t="s">
        <v>295</v>
      </c>
      <c r="E3" s="2" t="s">
        <v>264</v>
      </c>
      <c r="F3" s="2" t="s">
        <v>265</v>
      </c>
      <c r="G3" s="2" t="s">
        <v>266</v>
      </c>
      <c r="H3" s="2">
        <v>65</v>
      </c>
    </row>
    <row r="4" spans="1:10">
      <c r="A4" s="2">
        <v>1003</v>
      </c>
      <c r="B4" s="2" t="s">
        <v>296</v>
      </c>
      <c r="D4" s="2" t="s">
        <v>296</v>
      </c>
      <c r="E4" s="2" t="s">
        <v>267</v>
      </c>
      <c r="F4" s="2" t="s">
        <v>268</v>
      </c>
      <c r="G4" s="2" t="s">
        <v>269</v>
      </c>
      <c r="H4" s="2">
        <v>32</v>
      </c>
    </row>
    <row r="5" spans="1:10">
      <c r="A5" s="2">
        <v>1004</v>
      </c>
      <c r="B5" s="2" t="s">
        <v>297</v>
      </c>
      <c r="D5" s="2" t="s">
        <v>297</v>
      </c>
      <c r="E5" s="2" t="s">
        <v>270</v>
      </c>
      <c r="F5" s="2" t="s">
        <v>271</v>
      </c>
      <c r="G5" s="2" t="s">
        <v>263</v>
      </c>
      <c r="H5" s="2">
        <v>65</v>
      </c>
    </row>
    <row r="6" spans="1:10">
      <c r="A6" s="2">
        <v>1005</v>
      </c>
      <c r="B6" s="2" t="s">
        <v>298</v>
      </c>
      <c r="D6" s="2" t="s">
        <v>298</v>
      </c>
      <c r="E6" s="2" t="s">
        <v>272</v>
      </c>
      <c r="F6" s="2" t="s">
        <v>262</v>
      </c>
      <c r="G6" s="2" t="s">
        <v>266</v>
      </c>
      <c r="H6" s="2">
        <v>98</v>
      </c>
    </row>
    <row r="7" spans="1:10">
      <c r="A7" s="2">
        <v>1006</v>
      </c>
      <c r="B7" s="2" t="s">
        <v>299</v>
      </c>
      <c r="D7" s="2" t="s">
        <v>299</v>
      </c>
      <c r="E7" s="2" t="s">
        <v>273</v>
      </c>
      <c r="F7" s="2" t="s">
        <v>265</v>
      </c>
      <c r="G7" s="2" t="s">
        <v>269</v>
      </c>
      <c r="H7" s="2">
        <v>65</v>
      </c>
    </row>
    <row r="8" spans="1:10">
      <c r="A8" s="2">
        <v>1007</v>
      </c>
      <c r="B8" s="2" t="s">
        <v>300</v>
      </c>
      <c r="D8" s="2" t="s">
        <v>300</v>
      </c>
      <c r="E8" s="2" t="s">
        <v>274</v>
      </c>
      <c r="F8" s="2" t="s">
        <v>271</v>
      </c>
      <c r="G8" s="2" t="s">
        <v>263</v>
      </c>
      <c r="H8" s="2">
        <v>32</v>
      </c>
    </row>
    <row r="9" spans="1:10">
      <c r="A9" s="2">
        <v>1008</v>
      </c>
      <c r="B9" s="2" t="s">
        <v>301</v>
      </c>
      <c r="D9" s="2" t="s">
        <v>301</v>
      </c>
      <c r="E9" s="2" t="s">
        <v>275</v>
      </c>
      <c r="F9" s="2" t="s">
        <v>276</v>
      </c>
      <c r="G9" s="2" t="s">
        <v>266</v>
      </c>
      <c r="H9" s="2">
        <v>65</v>
      </c>
    </row>
    <row r="10" spans="1:10">
      <c r="A10" s="2">
        <v>1009</v>
      </c>
      <c r="B10" s="2" t="s">
        <v>302</v>
      </c>
      <c r="D10" s="2" t="s">
        <v>302</v>
      </c>
      <c r="E10" s="2" t="s">
        <v>277</v>
      </c>
      <c r="F10" s="2" t="s">
        <v>276</v>
      </c>
      <c r="G10" s="2" t="s">
        <v>269</v>
      </c>
      <c r="H10" s="2">
        <v>54</v>
      </c>
    </row>
    <row r="11" spans="1:10">
      <c r="A11" s="2">
        <v>1010</v>
      </c>
      <c r="B11" s="2" t="s">
        <v>294</v>
      </c>
      <c r="D11" s="2" t="s">
        <v>294</v>
      </c>
      <c r="E11" s="2" t="s">
        <v>278</v>
      </c>
      <c r="F11" s="2" t="s">
        <v>265</v>
      </c>
      <c r="G11" s="2" t="s">
        <v>263</v>
      </c>
      <c r="H11" s="2">
        <v>65</v>
      </c>
    </row>
    <row r="14" spans="1:10" ht="21">
      <c r="C14" s="30" t="s">
        <v>292</v>
      </c>
      <c r="D14" s="30" t="s">
        <v>291</v>
      </c>
      <c r="E14" s="30" t="s">
        <v>257</v>
      </c>
      <c r="F14" s="30" t="s">
        <v>258</v>
      </c>
      <c r="G14" s="30" t="s">
        <v>259</v>
      </c>
      <c r="H14" s="30" t="s">
        <v>260</v>
      </c>
    </row>
    <row r="15" spans="1:10">
      <c r="C15" s="2">
        <v>1008</v>
      </c>
      <c r="D15" s="2" t="str">
        <f>VLOOKUP($C$15,$A$1:$B$11,2,0)</f>
        <v>P1008</v>
      </c>
      <c r="E15" s="2" t="str">
        <f>VLOOKUP(VLOOKUP($C$15,$A$1:$B$11,2,0),$D$1:$H$11,COLUMN()-3,0)</f>
        <v>Hitman</v>
      </c>
      <c r="F15" s="2" t="str">
        <f t="shared" ref="F15:H15" si="0">VLOOKUP(VLOOKUP($C$15,$A$1:$B$11,2,0),$D$1:$H$11,COLUMN()-3,0)</f>
        <v>Zandubalm</v>
      </c>
      <c r="G15" s="2" t="str">
        <f t="shared" si="0"/>
        <v>North City</v>
      </c>
      <c r="H15" s="2">
        <f t="shared" si="0"/>
        <v>65</v>
      </c>
    </row>
  </sheetData>
  <conditionalFormatting sqref="D1:H11">
    <cfRule type="expression" dxfId="10" priority="2">
      <formula>MOD(ROW(I2),1)</formula>
    </cfRule>
  </conditionalFormatting>
  <conditionalFormatting sqref="D1:I11">
    <cfRule type="expression" dxfId="9" priority="1">
      <formula>MOD(ROW(I2),1)</formula>
    </cfRule>
  </conditionalFormatting>
  <dataValidations count="1">
    <dataValidation type="list" allowBlank="1" showInputMessage="1" showErrorMessage="1" sqref="J6 C15" xr:uid="{22A933B5-6041-4747-A09C-212F7306BBF9}">
      <formula1>$A$2:$A$10</formula1>
    </dataValidation>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5AD64-C04B-416F-9063-C71402B08BF6}">
  <dimension ref="A1:K14"/>
  <sheetViews>
    <sheetView workbookViewId="0">
      <selection activeCell="H2" sqref="H2:I2"/>
    </sheetView>
  </sheetViews>
  <sheetFormatPr defaultRowHeight="15"/>
  <cols>
    <col min="1" max="2" width="13.5703125" customWidth="1"/>
    <col min="3" max="3" width="18.85546875" customWidth="1"/>
    <col min="4" max="4" width="15" customWidth="1"/>
    <col min="5" max="5" width="12" customWidth="1"/>
    <col min="6" max="6" width="13.140625" customWidth="1"/>
    <col min="7" max="7" width="13.28515625" customWidth="1"/>
    <col min="8" max="8" width="18.28515625" customWidth="1"/>
    <col min="9" max="9" width="22.85546875" customWidth="1"/>
    <col min="10" max="10" width="12.140625" customWidth="1"/>
  </cols>
  <sheetData>
    <row r="1" spans="1:11" ht="21" customHeight="1">
      <c r="A1" s="32" t="s">
        <v>303</v>
      </c>
      <c r="B1" s="32" t="s">
        <v>304</v>
      </c>
      <c r="C1" s="30" t="s">
        <v>257</v>
      </c>
      <c r="D1" s="30" t="s">
        <v>258</v>
      </c>
      <c r="E1" s="30" t="s">
        <v>259</v>
      </c>
      <c r="F1" s="30" t="s">
        <v>260</v>
      </c>
      <c r="H1" s="162" t="s">
        <v>303</v>
      </c>
      <c r="I1" s="162"/>
      <c r="J1" s="33"/>
      <c r="K1" s="33"/>
    </row>
    <row r="2" spans="1:11" ht="21" customHeight="1">
      <c r="A2" s="2">
        <v>1001</v>
      </c>
      <c r="B2" s="2" t="s">
        <v>293</v>
      </c>
      <c r="C2" s="2" t="s">
        <v>261</v>
      </c>
      <c r="D2" s="2" t="s">
        <v>262</v>
      </c>
      <c r="E2" s="2" t="s">
        <v>263</v>
      </c>
      <c r="F2" s="2">
        <v>45</v>
      </c>
      <c r="H2" s="161">
        <v>1003</v>
      </c>
      <c r="I2" s="161"/>
      <c r="J2" s="24"/>
      <c r="K2" s="24"/>
    </row>
    <row r="3" spans="1:11" ht="21" customHeight="1">
      <c r="A3" s="2">
        <v>1002</v>
      </c>
      <c r="B3" s="2" t="s">
        <v>295</v>
      </c>
      <c r="C3" s="2" t="s">
        <v>264</v>
      </c>
      <c r="D3" s="2" t="s">
        <v>265</v>
      </c>
      <c r="E3" s="2" t="s">
        <v>266</v>
      </c>
      <c r="F3" s="2">
        <v>65</v>
      </c>
      <c r="H3" s="30" t="s">
        <v>257</v>
      </c>
      <c r="I3" s="2" t="str">
        <f>IFERROR(VLOOKUP($H$2,$A$1:$F$11,ROW(),0),VLOOKUP($H$2,$B$1:$F$11,ROW()-1,0))</f>
        <v>Superman</v>
      </c>
    </row>
    <row r="4" spans="1:11" ht="21" customHeight="1">
      <c r="A4" s="2">
        <v>1003</v>
      </c>
      <c r="B4" s="2" t="s">
        <v>296</v>
      </c>
      <c r="C4" s="2" t="s">
        <v>267</v>
      </c>
      <c r="D4" s="2" t="s">
        <v>268</v>
      </c>
      <c r="E4" s="2" t="s">
        <v>269</v>
      </c>
      <c r="F4" s="2">
        <v>32</v>
      </c>
      <c r="H4" s="30" t="s">
        <v>258</v>
      </c>
      <c r="I4" s="2" t="str">
        <f t="shared" ref="I4:I6" si="0">IFERROR(VLOOKUP($H$2,$A$1:$F$11,ROW(),0),VLOOKUP($H$2,$B$1:$F$11,ROW()-1,0))</f>
        <v>Toothpaste</v>
      </c>
    </row>
    <row r="5" spans="1:11" ht="21" customHeight="1">
      <c r="A5" s="2">
        <v>1004</v>
      </c>
      <c r="B5" s="2" t="s">
        <v>297</v>
      </c>
      <c r="C5" s="2" t="s">
        <v>270</v>
      </c>
      <c r="D5" s="2" t="s">
        <v>271</v>
      </c>
      <c r="E5" s="2" t="s">
        <v>263</v>
      </c>
      <c r="F5" s="2">
        <v>65</v>
      </c>
      <c r="H5" s="30" t="s">
        <v>259</v>
      </c>
      <c r="I5" s="2" t="str">
        <f t="shared" si="0"/>
        <v>West City</v>
      </c>
    </row>
    <row r="6" spans="1:11" ht="21" customHeight="1">
      <c r="A6" s="2">
        <v>1005</v>
      </c>
      <c r="B6" s="2" t="s">
        <v>298</v>
      </c>
      <c r="C6" s="2" t="s">
        <v>272</v>
      </c>
      <c r="D6" s="2" t="s">
        <v>262</v>
      </c>
      <c r="E6" s="2" t="s">
        <v>266</v>
      </c>
      <c r="F6" s="2">
        <v>98</v>
      </c>
      <c r="H6" s="30" t="s">
        <v>260</v>
      </c>
      <c r="I6" s="2">
        <f t="shared" si="0"/>
        <v>32</v>
      </c>
    </row>
    <row r="7" spans="1:11" ht="21" customHeight="1">
      <c r="A7" s="2">
        <v>1006</v>
      </c>
      <c r="B7" s="2" t="s">
        <v>299</v>
      </c>
      <c r="C7" s="2" t="s">
        <v>273</v>
      </c>
      <c r="D7" s="2" t="s">
        <v>265</v>
      </c>
      <c r="E7" s="2" t="s">
        <v>269</v>
      </c>
      <c r="F7" s="2">
        <v>65</v>
      </c>
    </row>
    <row r="8" spans="1:11" ht="21" customHeight="1">
      <c r="A8" s="2">
        <v>1007</v>
      </c>
      <c r="B8" s="2" t="s">
        <v>300</v>
      </c>
      <c r="C8" s="2" t="s">
        <v>274</v>
      </c>
      <c r="D8" s="2" t="s">
        <v>271</v>
      </c>
      <c r="E8" s="2" t="s">
        <v>263</v>
      </c>
      <c r="F8" s="2">
        <v>32</v>
      </c>
    </row>
    <row r="9" spans="1:11" ht="21" customHeight="1">
      <c r="A9" s="2">
        <v>1008</v>
      </c>
      <c r="B9" s="2" t="s">
        <v>301</v>
      </c>
      <c r="C9" s="2" t="s">
        <v>275</v>
      </c>
      <c r="D9" s="2" t="s">
        <v>276</v>
      </c>
      <c r="E9" s="2" t="s">
        <v>266</v>
      </c>
      <c r="F9" s="2">
        <v>65</v>
      </c>
    </row>
    <row r="10" spans="1:11" ht="21" customHeight="1">
      <c r="A10" s="2">
        <v>1009</v>
      </c>
      <c r="B10" s="2" t="s">
        <v>302</v>
      </c>
      <c r="C10" s="2" t="s">
        <v>277</v>
      </c>
      <c r="D10" s="2" t="s">
        <v>276</v>
      </c>
      <c r="E10" s="2" t="s">
        <v>269</v>
      </c>
      <c r="F10" s="2">
        <v>54</v>
      </c>
    </row>
    <row r="11" spans="1:11" ht="21" customHeight="1">
      <c r="A11" s="2">
        <v>1010</v>
      </c>
      <c r="B11" s="2" t="s">
        <v>294</v>
      </c>
      <c r="C11" s="2" t="s">
        <v>278</v>
      </c>
      <c r="D11" s="2" t="s">
        <v>265</v>
      </c>
      <c r="E11" s="2" t="s">
        <v>263</v>
      </c>
      <c r="F11" s="2">
        <v>65</v>
      </c>
    </row>
    <row r="14" spans="1:11" ht="21">
      <c r="A14" s="73"/>
      <c r="B14" s="74" t="s">
        <v>305</v>
      </c>
      <c r="C14" s="75"/>
    </row>
  </sheetData>
  <mergeCells count="2">
    <mergeCell ref="H2:I2"/>
    <mergeCell ref="H1:I1"/>
  </mergeCells>
  <dataValidations count="2">
    <dataValidation type="list" allowBlank="1" showInputMessage="1" showErrorMessage="1" sqref="H1" xr:uid="{D73D5B6D-C831-401F-A882-228FA5CE6368}">
      <formula1>$A$1:$B$1</formula1>
    </dataValidation>
    <dataValidation type="list" allowBlank="1" showInputMessage="1" showErrorMessage="1" sqref="H2:I2" xr:uid="{28E3123F-BA58-4366-8B70-21DC587E6C1A}">
      <formula1>INDEX($A$1:$F$11,0,MATCH($H$1,$A$1:$B$1,0))</formula1>
    </dataValidation>
  </dataValidation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CC3C5-12A4-440A-B787-A84404622DC6}">
  <dimension ref="A1:M18"/>
  <sheetViews>
    <sheetView workbookViewId="0">
      <selection activeCell="D16" sqref="D16"/>
    </sheetView>
  </sheetViews>
  <sheetFormatPr defaultRowHeight="15"/>
  <cols>
    <col min="1" max="1" width="16" customWidth="1"/>
    <col min="2" max="2" width="19.5703125" customWidth="1"/>
    <col min="3" max="3" width="13.7109375" customWidth="1"/>
    <col min="4" max="4" width="17.5703125" customWidth="1"/>
    <col min="5" max="5" width="12.85546875" customWidth="1"/>
    <col min="6" max="6" width="11" customWidth="1"/>
    <col min="7" max="7" width="15.85546875" customWidth="1"/>
    <col min="8" max="8" width="15.28515625" customWidth="1"/>
    <col min="10" max="10" width="2.28515625" customWidth="1"/>
    <col min="11" max="11" width="11.140625" customWidth="1"/>
    <col min="12" max="12" width="12.85546875" customWidth="1"/>
    <col min="13" max="13" width="11.28515625" customWidth="1"/>
  </cols>
  <sheetData>
    <row r="1" spans="1:13" ht="21">
      <c r="A1" s="32" t="s">
        <v>304</v>
      </c>
      <c r="B1" s="30" t="s">
        <v>258</v>
      </c>
      <c r="C1" s="30" t="s">
        <v>260</v>
      </c>
      <c r="F1" s="32" t="s">
        <v>304</v>
      </c>
      <c r="G1" s="30" t="s">
        <v>258</v>
      </c>
      <c r="H1" s="30" t="s">
        <v>260</v>
      </c>
      <c r="K1" s="32" t="s">
        <v>304</v>
      </c>
      <c r="L1" s="30" t="s">
        <v>258</v>
      </c>
      <c r="M1" s="30" t="s">
        <v>260</v>
      </c>
    </row>
    <row r="2" spans="1:13">
      <c r="A2" s="2">
        <v>1001</v>
      </c>
      <c r="B2" s="2" t="s">
        <v>262</v>
      </c>
      <c r="C2" s="2">
        <v>45</v>
      </c>
      <c r="F2" s="2">
        <v>1011</v>
      </c>
      <c r="G2" s="2" t="s">
        <v>262</v>
      </c>
      <c r="H2" s="2">
        <v>45</v>
      </c>
      <c r="K2" s="2">
        <v>1021</v>
      </c>
      <c r="L2" s="2" t="s">
        <v>262</v>
      </c>
      <c r="M2" s="2">
        <v>45</v>
      </c>
    </row>
    <row r="3" spans="1:13">
      <c r="A3" s="2">
        <v>1002</v>
      </c>
      <c r="B3" s="2" t="s">
        <v>265</v>
      </c>
      <c r="C3" s="2">
        <v>65</v>
      </c>
      <c r="F3" s="2">
        <v>1012</v>
      </c>
      <c r="G3" s="2" t="s">
        <v>265</v>
      </c>
      <c r="H3" s="2">
        <v>65</v>
      </c>
      <c r="K3" s="2">
        <v>1022</v>
      </c>
      <c r="L3" s="2" t="s">
        <v>265</v>
      </c>
      <c r="M3" s="2">
        <v>65</v>
      </c>
    </row>
    <row r="4" spans="1:13">
      <c r="A4" s="2">
        <v>1003</v>
      </c>
      <c r="B4" s="2" t="s">
        <v>268</v>
      </c>
      <c r="C4" s="2">
        <v>32</v>
      </c>
      <c r="F4" s="2">
        <v>1013</v>
      </c>
      <c r="G4" s="2" t="s">
        <v>268</v>
      </c>
      <c r="H4" s="2">
        <v>32</v>
      </c>
      <c r="K4" s="2">
        <v>1023</v>
      </c>
      <c r="L4" s="2" t="s">
        <v>268</v>
      </c>
      <c r="M4" s="2">
        <v>32</v>
      </c>
    </row>
    <row r="5" spans="1:13">
      <c r="A5" s="2">
        <v>1004</v>
      </c>
      <c r="B5" s="2" t="s">
        <v>271</v>
      </c>
      <c r="C5" s="2">
        <v>65</v>
      </c>
      <c r="F5" s="2">
        <v>1014</v>
      </c>
      <c r="G5" s="2" t="s">
        <v>271</v>
      </c>
      <c r="H5" s="2">
        <v>65</v>
      </c>
      <c r="K5" s="2">
        <v>1024</v>
      </c>
      <c r="L5" s="2" t="s">
        <v>271</v>
      </c>
      <c r="M5" s="2">
        <v>65</v>
      </c>
    </row>
    <row r="6" spans="1:13">
      <c r="A6" s="2">
        <v>1005</v>
      </c>
      <c r="B6" s="2" t="s">
        <v>262</v>
      </c>
      <c r="C6" s="2">
        <v>98</v>
      </c>
      <c r="F6" s="2">
        <v>1015</v>
      </c>
      <c r="G6" s="2" t="s">
        <v>262</v>
      </c>
      <c r="H6" s="2">
        <v>98</v>
      </c>
      <c r="K6" s="2">
        <v>1025</v>
      </c>
      <c r="L6" s="2" t="s">
        <v>262</v>
      </c>
      <c r="M6" s="2">
        <v>98</v>
      </c>
    </row>
    <row r="7" spans="1:13">
      <c r="A7" s="2">
        <v>1006</v>
      </c>
      <c r="B7" s="2" t="s">
        <v>265</v>
      </c>
      <c r="C7" s="2">
        <v>65</v>
      </c>
      <c r="F7" s="2">
        <v>1016</v>
      </c>
      <c r="G7" s="2" t="s">
        <v>265</v>
      </c>
      <c r="H7" s="2">
        <v>65</v>
      </c>
      <c r="K7" s="2">
        <v>1026</v>
      </c>
      <c r="L7" s="2" t="s">
        <v>265</v>
      </c>
      <c r="M7" s="2">
        <v>65</v>
      </c>
    </row>
    <row r="8" spans="1:13">
      <c r="A8" s="2">
        <v>1007</v>
      </c>
      <c r="B8" s="2" t="s">
        <v>271</v>
      </c>
      <c r="C8" s="2">
        <v>32</v>
      </c>
      <c r="F8" s="2">
        <v>1017</v>
      </c>
      <c r="G8" s="2" t="s">
        <v>271</v>
      </c>
      <c r="H8" s="2">
        <v>32</v>
      </c>
      <c r="K8" s="2">
        <v>1027</v>
      </c>
      <c r="L8" s="2" t="s">
        <v>271</v>
      </c>
      <c r="M8" s="2">
        <v>32</v>
      </c>
    </row>
    <row r="9" spans="1:13">
      <c r="A9" s="2">
        <v>1008</v>
      </c>
      <c r="B9" s="2" t="s">
        <v>276</v>
      </c>
      <c r="C9" s="2">
        <v>65</v>
      </c>
      <c r="F9" s="2">
        <v>1018</v>
      </c>
      <c r="G9" s="2" t="s">
        <v>276</v>
      </c>
      <c r="H9" s="2">
        <v>65</v>
      </c>
      <c r="K9" s="2">
        <v>1028</v>
      </c>
      <c r="L9" s="2" t="s">
        <v>276</v>
      </c>
      <c r="M9" s="2">
        <v>65</v>
      </c>
    </row>
    <row r="10" spans="1:13">
      <c r="A10" s="2">
        <v>1009</v>
      </c>
      <c r="B10" s="2" t="s">
        <v>276</v>
      </c>
      <c r="C10" s="2">
        <v>54</v>
      </c>
      <c r="F10" s="2">
        <v>1019</v>
      </c>
      <c r="G10" s="2" t="s">
        <v>276</v>
      </c>
      <c r="H10" s="2">
        <v>54</v>
      </c>
      <c r="K10" s="2">
        <v>1029</v>
      </c>
      <c r="L10" s="2" t="s">
        <v>276</v>
      </c>
      <c r="M10" s="2">
        <v>54</v>
      </c>
    </row>
    <row r="11" spans="1:13">
      <c r="A11" s="2">
        <v>1010</v>
      </c>
      <c r="B11" s="2" t="s">
        <v>265</v>
      </c>
      <c r="C11" s="2">
        <v>65</v>
      </c>
      <c r="F11" s="2">
        <v>1020</v>
      </c>
      <c r="G11" s="2" t="s">
        <v>265</v>
      </c>
      <c r="H11" s="2">
        <v>65</v>
      </c>
      <c r="K11" s="2">
        <v>1030</v>
      </c>
      <c r="L11" s="2" t="s">
        <v>265</v>
      </c>
      <c r="M11" s="2">
        <v>65</v>
      </c>
    </row>
    <row r="16" spans="1:13" ht="18.75">
      <c r="C16" s="35" t="s">
        <v>304</v>
      </c>
      <c r="D16" s="2">
        <v>1012</v>
      </c>
    </row>
    <row r="17" spans="3:4" ht="21">
      <c r="C17" s="34" t="s">
        <v>258</v>
      </c>
      <c r="D17" s="2" t="e">
        <f>VLOOKUP($D$16,IF($D$16&lt;=1010,BILL1,IF($D$16&lt;=1020,BILL2,IF($D$16&lt;=1030,BILL3))),ROW()-15,0)</f>
        <v>#NAME?</v>
      </c>
    </row>
    <row r="18" spans="3:4" ht="21">
      <c r="C18" s="30" t="s">
        <v>260</v>
      </c>
      <c r="D18" s="2" t="e">
        <f>VLOOKUP($D$16,IF($D$16&lt;=1010,BILL1,IF($D$16&lt;=1020,BILL2,IF($D$16&lt;=1030,BILL3))),ROW()-15,0)</f>
        <v>#NAME?</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76128-0F4F-4B59-95CA-73FF67CF4500}">
  <dimension ref="A1:P19"/>
  <sheetViews>
    <sheetView topLeftCell="E1" workbookViewId="0">
      <selection activeCell="P5" sqref="P5:P13"/>
    </sheetView>
  </sheetViews>
  <sheetFormatPr defaultRowHeight="15"/>
  <cols>
    <col min="1" max="1" width="9.28515625" bestFit="1" customWidth="1"/>
    <col min="2" max="2" width="10.85546875" bestFit="1" customWidth="1"/>
    <col min="3" max="3" width="15.28515625" customWidth="1"/>
    <col min="8" max="8" width="14.7109375" bestFit="1" customWidth="1"/>
    <col min="9" max="9" width="18.28515625" customWidth="1"/>
    <col min="10" max="10" width="19.28515625" customWidth="1"/>
    <col min="12" max="12" width="11.28515625" bestFit="1" customWidth="1"/>
    <col min="13" max="13" width="10.42578125" bestFit="1" customWidth="1"/>
    <col min="14" max="14" width="12.5703125" customWidth="1"/>
    <col min="15" max="15" width="9.7109375" customWidth="1"/>
    <col min="16" max="16" width="15.5703125" customWidth="1"/>
    <col min="17" max="17" width="13.28515625" customWidth="1"/>
  </cols>
  <sheetData>
    <row r="1" spans="1:16" ht="21">
      <c r="A1" s="32" t="s">
        <v>304</v>
      </c>
      <c r="B1" s="30" t="s">
        <v>258</v>
      </c>
      <c r="C1" s="30" t="s">
        <v>260</v>
      </c>
      <c r="G1" t="s">
        <v>306</v>
      </c>
    </row>
    <row r="2" spans="1:16">
      <c r="A2" s="2">
        <v>1002</v>
      </c>
      <c r="B2" s="2" t="s">
        <v>265</v>
      </c>
      <c r="C2" s="2">
        <v>65</v>
      </c>
    </row>
    <row r="3" spans="1:16">
      <c r="A3" s="2">
        <v>1004</v>
      </c>
      <c r="B3" s="2" t="s">
        <v>271</v>
      </c>
      <c r="C3" s="2">
        <v>65</v>
      </c>
    </row>
    <row r="4" spans="1:16">
      <c r="A4" s="2">
        <v>1006</v>
      </c>
      <c r="B4" s="2" t="s">
        <v>265</v>
      </c>
      <c r="C4" s="2">
        <v>65</v>
      </c>
      <c r="G4" t="s">
        <v>310</v>
      </c>
    </row>
    <row r="5" spans="1:16">
      <c r="A5" s="2">
        <v>1008</v>
      </c>
      <c r="B5" s="2" t="s">
        <v>276</v>
      </c>
      <c r="C5" s="2">
        <v>65</v>
      </c>
      <c r="L5" s="2" t="s">
        <v>312</v>
      </c>
      <c r="M5" s="2" t="s">
        <v>313</v>
      </c>
      <c r="N5" s="2" t="s">
        <v>314</v>
      </c>
      <c r="O5" s="2" t="s">
        <v>315</v>
      </c>
      <c r="P5" s="2" t="s">
        <v>283</v>
      </c>
    </row>
    <row r="6" spans="1:16">
      <c r="A6" s="2">
        <v>1010</v>
      </c>
      <c r="B6" s="2" t="s">
        <v>265</v>
      </c>
      <c r="C6" s="2">
        <v>65</v>
      </c>
      <c r="G6" s="2" t="s">
        <v>50</v>
      </c>
      <c r="H6" s="36" t="s">
        <v>307</v>
      </c>
      <c r="I6" s="2" t="s">
        <v>308</v>
      </c>
      <c r="J6" s="2" t="s">
        <v>309</v>
      </c>
      <c r="L6" s="2" t="s">
        <v>262</v>
      </c>
      <c r="M6" s="2">
        <v>3424</v>
      </c>
      <c r="N6" s="2">
        <v>3500</v>
      </c>
      <c r="O6" s="2">
        <v>4579</v>
      </c>
      <c r="P6" s="2">
        <f>AVERAGE(M6:O6)</f>
        <v>3834.3333333333335</v>
      </c>
    </row>
    <row r="7" spans="1:16">
      <c r="G7" s="2">
        <v>10</v>
      </c>
      <c r="H7" s="2">
        <v>500</v>
      </c>
      <c r="I7" s="2">
        <f t="shared" ref="I7:I12" si="0">G7*H7</f>
        <v>5000</v>
      </c>
      <c r="J7" s="2">
        <f t="shared" ref="J7:J12" si="1">I7/G7</f>
        <v>500</v>
      </c>
      <c r="L7" s="2" t="s">
        <v>265</v>
      </c>
      <c r="M7" s="2">
        <v>1125</v>
      </c>
      <c r="N7" s="2">
        <v>1736</v>
      </c>
      <c r="O7" s="2">
        <v>765</v>
      </c>
      <c r="P7" s="2">
        <f>AVERAGE(M7:O7)</f>
        <v>1208.6666666666667</v>
      </c>
    </row>
    <row r="8" spans="1:16">
      <c r="G8" s="2">
        <v>150</v>
      </c>
      <c r="H8" s="2">
        <v>30</v>
      </c>
      <c r="I8" s="2">
        <f t="shared" si="0"/>
        <v>4500</v>
      </c>
      <c r="J8" s="2">
        <f t="shared" si="1"/>
        <v>30</v>
      </c>
      <c r="L8" s="2" t="s">
        <v>268</v>
      </c>
      <c r="M8" s="2">
        <v>884</v>
      </c>
      <c r="N8" s="2">
        <v>2996</v>
      </c>
      <c r="O8" s="2">
        <v>2791</v>
      </c>
      <c r="P8" s="2">
        <f>AVERAGE(M8:O8)</f>
        <v>2223.6666666666665</v>
      </c>
    </row>
    <row r="9" spans="1:16">
      <c r="G9" s="2">
        <v>20</v>
      </c>
      <c r="H9" s="2">
        <v>400</v>
      </c>
      <c r="I9" s="2">
        <f t="shared" si="0"/>
        <v>8000</v>
      </c>
      <c r="J9" s="2">
        <f t="shared" si="1"/>
        <v>400</v>
      </c>
      <c r="L9" s="2" t="s">
        <v>271</v>
      </c>
      <c r="M9" s="2">
        <v>1910</v>
      </c>
      <c r="N9" s="2">
        <v>1326</v>
      </c>
      <c r="O9" s="2">
        <v>4869</v>
      </c>
      <c r="P9" s="2">
        <f>AVERAGE(M9:O9)</f>
        <v>2701.6666666666665</v>
      </c>
    </row>
    <row r="10" spans="1:16">
      <c r="G10" s="2">
        <v>12</v>
      </c>
      <c r="H10" s="2">
        <v>250</v>
      </c>
      <c r="I10" s="2">
        <f t="shared" si="0"/>
        <v>3000</v>
      </c>
      <c r="J10" s="2">
        <f t="shared" si="1"/>
        <v>250</v>
      </c>
      <c r="L10" s="2" t="s">
        <v>262</v>
      </c>
      <c r="M10" s="2">
        <v>2504</v>
      </c>
      <c r="N10" s="2">
        <v>1464</v>
      </c>
      <c r="O10" s="2">
        <v>4246</v>
      </c>
      <c r="P10" s="2">
        <f>AVERAGE(M10:O10)</f>
        <v>2738</v>
      </c>
    </row>
    <row r="11" spans="1:16">
      <c r="G11" s="2">
        <v>30</v>
      </c>
      <c r="H11" s="2">
        <v>150</v>
      </c>
      <c r="I11" s="2">
        <f t="shared" si="0"/>
        <v>4500</v>
      </c>
      <c r="J11" s="2">
        <f t="shared" si="1"/>
        <v>150</v>
      </c>
      <c r="L11" s="2" t="s">
        <v>265</v>
      </c>
      <c r="M11" s="2">
        <v>590</v>
      </c>
      <c r="N11" s="2">
        <v>1538</v>
      </c>
      <c r="O11" s="2">
        <v>4982</v>
      </c>
      <c r="P11" s="2">
        <f>AVERAGE(M11:O11)</f>
        <v>2370</v>
      </c>
    </row>
    <row r="12" spans="1:16">
      <c r="G12" s="2">
        <v>40</v>
      </c>
      <c r="H12" s="2">
        <v>320</v>
      </c>
      <c r="I12" s="2">
        <f t="shared" si="0"/>
        <v>12800</v>
      </c>
      <c r="J12" s="2">
        <f t="shared" si="1"/>
        <v>320</v>
      </c>
      <c r="L12" s="2" t="s">
        <v>271</v>
      </c>
      <c r="M12" s="2">
        <v>3564</v>
      </c>
      <c r="N12" s="2">
        <v>980</v>
      </c>
      <c r="O12" s="2">
        <v>2223</v>
      </c>
      <c r="P12" s="2">
        <f>AVERAGE(M12:O12)</f>
        <v>2255.6666666666665</v>
      </c>
    </row>
    <row r="13" spans="1:16">
      <c r="L13" s="2" t="s">
        <v>276</v>
      </c>
      <c r="M13" s="2">
        <v>3125</v>
      </c>
      <c r="N13" s="2">
        <v>622</v>
      </c>
      <c r="O13" s="2">
        <v>2962</v>
      </c>
      <c r="P13" s="2">
        <f>AVERAGE(M13:O13)</f>
        <v>2236.3333333333335</v>
      </c>
    </row>
    <row r="15" spans="1:16" ht="18.75">
      <c r="G15" s="161" t="s">
        <v>311</v>
      </c>
      <c r="H15" s="161"/>
      <c r="I15" s="161"/>
    </row>
    <row r="16" spans="1:16">
      <c r="G16" s="2">
        <v>500</v>
      </c>
      <c r="H16" s="2">
        <f>10/100*500</f>
        <v>50</v>
      </c>
      <c r="I16" s="2">
        <f>10/100*50</f>
        <v>5</v>
      </c>
    </row>
    <row r="17" spans="7:9">
      <c r="G17" s="2">
        <v>1000</v>
      </c>
      <c r="H17" s="2">
        <f>20/100*1000</f>
        <v>200</v>
      </c>
      <c r="I17" s="2">
        <f>10/100*200</f>
        <v>20</v>
      </c>
    </row>
    <row r="18" spans="7:9">
      <c r="G18" s="2">
        <v>1500</v>
      </c>
      <c r="H18" s="2">
        <f>15/100*1500</f>
        <v>225</v>
      </c>
      <c r="I18" s="2">
        <f>10/100*225</f>
        <v>22.5</v>
      </c>
    </row>
    <row r="19" spans="7:9">
      <c r="G19" s="2">
        <v>2300</v>
      </c>
      <c r="H19" s="2">
        <f>8/100*2300</f>
        <v>184</v>
      </c>
      <c r="I19" s="2">
        <f>10/100*184</f>
        <v>18.400000000000002</v>
      </c>
    </row>
  </sheetData>
  <mergeCells count="1">
    <mergeCell ref="G15:I1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8DA25-93E6-4F10-A4CA-7A682318879A}">
  <dimension ref="A1:V14"/>
  <sheetViews>
    <sheetView topLeftCell="G1" workbookViewId="0">
      <selection activeCell="H3" sqref="H3:I4"/>
    </sheetView>
  </sheetViews>
  <sheetFormatPr defaultRowHeight="15"/>
  <cols>
    <col min="16" max="16" width="15.7109375" customWidth="1"/>
    <col min="20" max="20" width="15.28515625" customWidth="1"/>
  </cols>
  <sheetData>
    <row r="1" spans="1:22">
      <c r="A1" s="23" t="s">
        <v>316</v>
      </c>
      <c r="B1" s="2"/>
      <c r="C1" s="2"/>
      <c r="D1" s="2"/>
      <c r="E1" s="2"/>
      <c r="F1" s="2"/>
    </row>
    <row r="2" spans="1:22" ht="18.75">
      <c r="A2" s="39"/>
      <c r="B2" s="2"/>
      <c r="C2" s="2"/>
      <c r="D2" s="2"/>
      <c r="E2" s="2"/>
      <c r="F2" s="2"/>
      <c r="K2" s="35" t="s">
        <v>323</v>
      </c>
      <c r="L2" s="35" t="s">
        <v>323</v>
      </c>
      <c r="M2" s="35" t="s">
        <v>323</v>
      </c>
      <c r="N2" s="35" t="s">
        <v>323</v>
      </c>
      <c r="O2" s="35" t="s">
        <v>323</v>
      </c>
      <c r="V2" t="s">
        <v>325</v>
      </c>
    </row>
    <row r="3" spans="1:22" ht="22.15" customHeight="1">
      <c r="A3" s="40" t="s">
        <v>317</v>
      </c>
      <c r="B3" s="2"/>
      <c r="C3" s="2"/>
      <c r="D3" s="2"/>
      <c r="E3" s="2"/>
      <c r="F3" s="2"/>
      <c r="H3" s="2"/>
      <c r="I3" s="2">
        <f>POWER(5,  3)</f>
        <v>125</v>
      </c>
      <c r="K3" s="2">
        <v>47</v>
      </c>
      <c r="L3" s="2">
        <v>37</v>
      </c>
      <c r="M3" s="2">
        <v>72</v>
      </c>
      <c r="N3" s="2">
        <v>10</v>
      </c>
      <c r="O3" s="2">
        <v>86</v>
      </c>
    </row>
    <row r="4" spans="1:22" ht="22.15" customHeight="1">
      <c r="A4" s="40" t="s">
        <v>318</v>
      </c>
      <c r="B4" s="2"/>
      <c r="C4" s="2"/>
      <c r="D4" s="2"/>
      <c r="E4" s="2"/>
      <c r="F4" s="2"/>
      <c r="H4" s="2">
        <v>10</v>
      </c>
      <c r="I4" s="2">
        <f>POWER(H4,0.5)</f>
        <v>3.1622776601683795</v>
      </c>
      <c r="K4" s="2">
        <v>19</v>
      </c>
      <c r="L4" s="2">
        <v>92</v>
      </c>
      <c r="M4" s="2">
        <v>29</v>
      </c>
      <c r="N4" s="2">
        <v>10</v>
      </c>
      <c r="O4" s="2">
        <v>30</v>
      </c>
    </row>
    <row r="5" spans="1:22" ht="22.15" customHeight="1">
      <c r="A5" s="40" t="s">
        <v>319</v>
      </c>
      <c r="B5" s="2"/>
      <c r="C5" s="2"/>
      <c r="D5" s="2"/>
      <c r="E5" s="2"/>
      <c r="F5" s="2"/>
      <c r="K5" s="2">
        <v>16</v>
      </c>
      <c r="L5" s="2">
        <v>94</v>
      </c>
      <c r="M5" s="2">
        <v>27</v>
      </c>
      <c r="N5" s="2">
        <v>25</v>
      </c>
      <c r="O5" s="2">
        <v>46</v>
      </c>
    </row>
    <row r="6" spans="1:22">
      <c r="K6" s="2">
        <v>31</v>
      </c>
      <c r="L6" s="2">
        <v>77</v>
      </c>
      <c r="M6" s="2">
        <v>22</v>
      </c>
      <c r="N6" s="2">
        <v>96</v>
      </c>
      <c r="O6" s="2">
        <v>37</v>
      </c>
    </row>
    <row r="7" spans="1:22">
      <c r="K7" s="2">
        <v>60</v>
      </c>
      <c r="L7" s="2">
        <v>95</v>
      </c>
      <c r="M7" s="2">
        <v>30</v>
      </c>
      <c r="N7" s="2">
        <v>87</v>
      </c>
      <c r="O7" s="2">
        <v>35</v>
      </c>
    </row>
    <row r="8" spans="1:22">
      <c r="K8" s="2">
        <v>78</v>
      </c>
      <c r="L8" s="2">
        <v>81</v>
      </c>
      <c r="M8" s="2">
        <v>22</v>
      </c>
      <c r="N8" s="2">
        <v>20</v>
      </c>
      <c r="O8" s="2">
        <v>39</v>
      </c>
    </row>
    <row r="9" spans="1:22">
      <c r="A9" s="23" t="s">
        <v>316</v>
      </c>
      <c r="B9" s="2"/>
      <c r="C9" s="2"/>
      <c r="D9" s="2"/>
      <c r="E9" s="2"/>
      <c r="F9" s="2"/>
      <c r="K9" s="2">
        <v>29</v>
      </c>
      <c r="L9" s="2">
        <v>10</v>
      </c>
      <c r="M9" s="2">
        <v>17</v>
      </c>
      <c r="N9" s="2">
        <v>55</v>
      </c>
      <c r="O9" s="2">
        <v>82</v>
      </c>
    </row>
    <row r="10" spans="1:22">
      <c r="A10" s="37"/>
      <c r="B10" s="2"/>
      <c r="C10" s="2"/>
      <c r="D10" s="2"/>
      <c r="E10" s="2"/>
      <c r="F10" s="2"/>
      <c r="K10" s="2">
        <v>14</v>
      </c>
      <c r="L10" s="2">
        <v>30</v>
      </c>
      <c r="M10" s="2">
        <v>74</v>
      </c>
      <c r="N10" s="2">
        <v>31</v>
      </c>
      <c r="O10" s="2">
        <v>14</v>
      </c>
    </row>
    <row r="11" spans="1:22" ht="24.6" customHeight="1">
      <c r="A11" s="38" t="s">
        <v>320</v>
      </c>
      <c r="B11" s="2"/>
      <c r="C11" s="2"/>
      <c r="D11" s="2"/>
      <c r="E11" s="2"/>
      <c r="F11" s="2"/>
      <c r="K11" s="2">
        <v>58</v>
      </c>
      <c r="L11" s="2">
        <v>93</v>
      </c>
      <c r="M11" s="2">
        <v>95</v>
      </c>
      <c r="N11" s="2">
        <v>52</v>
      </c>
      <c r="O11" s="2">
        <v>22</v>
      </c>
    </row>
    <row r="12" spans="1:22">
      <c r="A12" s="38" t="s">
        <v>321</v>
      </c>
      <c r="B12" s="2"/>
      <c r="C12" s="2"/>
      <c r="D12" s="2"/>
      <c r="E12" s="2"/>
      <c r="F12" s="2"/>
    </row>
    <row r="13" spans="1:22" ht="25.9" customHeight="1">
      <c r="A13" s="38" t="s">
        <v>322</v>
      </c>
      <c r="B13" s="2"/>
      <c r="C13" s="2"/>
      <c r="D13" s="2"/>
      <c r="E13" s="2"/>
      <c r="F13" s="2"/>
    </row>
    <row r="14" spans="1:22">
      <c r="A14" s="2"/>
      <c r="B14" s="2"/>
      <c r="C14" s="2"/>
      <c r="D14" s="2"/>
      <c r="E14" s="2"/>
      <c r="F14" s="2"/>
    </row>
  </sheetData>
  <conditionalFormatting sqref="K2:O11">
    <cfRule type="expression" dxfId="8" priority="1">
      <formula>MOD(ROW(P3),1)</formula>
    </cfRule>
    <cfRule type="expression" dxfId="7" priority="2">
      <formula>MOD(ROW(O3),1)</formula>
    </cfRule>
    <cfRule type="expression" dxfId="6" priority="3">
      <formula>MOD(ROW(O3),1)</formula>
    </cfRule>
    <cfRule type="expression" dxfId="5" priority="4">
      <formula>MOD(ROW(P3),1)</formula>
    </cfRule>
    <cfRule type="expression" dxfId="4" priority="6">
      <formula>MOD(P2,1)</formula>
    </cfRule>
    <cfRule type="expression" priority="7">
      <formula>MOD(P2,1)</formula>
    </cfRule>
  </conditionalFormatting>
  <conditionalFormatting sqref="P3">
    <cfRule type="expression" dxfId="3" priority="5">
      <formula>MOD(ROW(P3),1)</formula>
    </cfRule>
  </conditionalFormatting>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E5AF4-15C0-419C-9AC2-D594AAA08D46}">
  <dimension ref="A1:E10"/>
  <sheetViews>
    <sheetView workbookViewId="0">
      <selection activeCell="F2" sqref="F2"/>
    </sheetView>
  </sheetViews>
  <sheetFormatPr defaultRowHeight="15"/>
  <cols>
    <col min="1" max="1" width="10.28515625" customWidth="1"/>
    <col min="2" max="2" width="17" customWidth="1"/>
    <col min="3" max="3" width="10.7109375" bestFit="1" customWidth="1"/>
    <col min="4" max="4" width="11.85546875" customWidth="1"/>
    <col min="5" max="5" width="12" customWidth="1"/>
  </cols>
  <sheetData>
    <row r="1" spans="1:5" ht="18.600000000000001" customHeight="1">
      <c r="A1" s="85" t="s">
        <v>326</v>
      </c>
      <c r="B1" s="86" t="s">
        <v>327</v>
      </c>
      <c r="C1" s="86" t="s">
        <v>328</v>
      </c>
      <c r="D1" s="86" t="s">
        <v>329</v>
      </c>
      <c r="E1" s="73" t="s">
        <v>338</v>
      </c>
    </row>
    <row r="2" spans="1:5" ht="18.600000000000001" customHeight="1">
      <c r="A2" s="83">
        <v>1</v>
      </c>
      <c r="B2" s="2" t="s">
        <v>330</v>
      </c>
      <c r="C2" s="2">
        <v>34</v>
      </c>
      <c r="D2" s="2">
        <v>2500</v>
      </c>
      <c r="E2" s="21">
        <f t="shared" ref="E2:E10" si="0">C2*D2/100</f>
        <v>850</v>
      </c>
    </row>
    <row r="3" spans="1:5" ht="18.600000000000001" customHeight="1">
      <c r="A3" s="83">
        <v>2</v>
      </c>
      <c r="B3" s="2" t="s">
        <v>331</v>
      </c>
      <c r="C3" s="2">
        <v>54</v>
      </c>
      <c r="D3" s="2">
        <v>300</v>
      </c>
      <c r="E3" s="21">
        <f t="shared" si="0"/>
        <v>162</v>
      </c>
    </row>
    <row r="4" spans="1:5" ht="18.600000000000001" customHeight="1">
      <c r="A4" s="83">
        <v>3</v>
      </c>
      <c r="B4" s="2" t="s">
        <v>332</v>
      </c>
      <c r="C4" s="2">
        <v>32</v>
      </c>
      <c r="D4" s="2">
        <v>240</v>
      </c>
      <c r="E4" s="21">
        <f t="shared" si="0"/>
        <v>76.8</v>
      </c>
    </row>
    <row r="5" spans="1:5" ht="18.600000000000001" customHeight="1">
      <c r="A5" s="83">
        <v>4</v>
      </c>
      <c r="B5" s="2" t="s">
        <v>324</v>
      </c>
      <c r="C5" s="2">
        <v>43</v>
      </c>
      <c r="D5" s="2">
        <v>500</v>
      </c>
      <c r="E5" s="21">
        <f t="shared" si="0"/>
        <v>215</v>
      </c>
    </row>
    <row r="6" spans="1:5" ht="18.600000000000001" customHeight="1">
      <c r="A6" s="83">
        <v>5</v>
      </c>
      <c r="B6" s="2" t="s">
        <v>333</v>
      </c>
      <c r="C6" s="2">
        <v>25</v>
      </c>
      <c r="D6" s="2">
        <v>400</v>
      </c>
      <c r="E6" s="21">
        <f t="shared" si="0"/>
        <v>100</v>
      </c>
    </row>
    <row r="7" spans="1:5" ht="18.600000000000001" customHeight="1">
      <c r="A7" s="83">
        <v>6</v>
      </c>
      <c r="B7" s="2" t="s">
        <v>334</v>
      </c>
      <c r="C7" s="2">
        <v>54</v>
      </c>
      <c r="D7" s="2">
        <v>4500</v>
      </c>
      <c r="E7" s="21">
        <f t="shared" si="0"/>
        <v>2430</v>
      </c>
    </row>
    <row r="8" spans="1:5" ht="18.600000000000001" customHeight="1">
      <c r="A8" s="83">
        <v>7</v>
      </c>
      <c r="B8" s="2" t="s">
        <v>335</v>
      </c>
      <c r="C8" s="2">
        <v>35</v>
      </c>
      <c r="D8" s="2">
        <v>3400</v>
      </c>
      <c r="E8" s="21">
        <f t="shared" si="0"/>
        <v>1190</v>
      </c>
    </row>
    <row r="9" spans="1:5" ht="18.600000000000001" customHeight="1">
      <c r="A9" s="83">
        <v>8</v>
      </c>
      <c r="B9" s="2" t="s">
        <v>336</v>
      </c>
      <c r="C9" s="2">
        <v>53</v>
      </c>
      <c r="D9" s="2">
        <v>3500</v>
      </c>
      <c r="E9" s="21">
        <f t="shared" si="0"/>
        <v>1855</v>
      </c>
    </row>
    <row r="10" spans="1:5" ht="18.600000000000001" customHeight="1">
      <c r="A10" s="90">
        <v>9</v>
      </c>
      <c r="B10" s="91" t="s">
        <v>337</v>
      </c>
      <c r="C10" s="91">
        <v>44</v>
      </c>
      <c r="D10" s="91">
        <v>200</v>
      </c>
      <c r="E10" s="109">
        <f t="shared" si="0"/>
        <v>88</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9C596-07BB-477C-8C38-1FC0E5F19778}">
  <dimension ref="A3:B13"/>
  <sheetViews>
    <sheetView workbookViewId="0">
      <selection activeCell="D9" sqref="D9"/>
    </sheetView>
  </sheetViews>
  <sheetFormatPr defaultRowHeight="15"/>
  <cols>
    <col min="1" max="1" width="13.140625" bestFit="1" customWidth="1"/>
    <col min="2" max="2" width="13" customWidth="1"/>
    <col min="3" max="3" width="10.7109375" bestFit="1" customWidth="1"/>
  </cols>
  <sheetData>
    <row r="3" spans="1:2">
      <c r="A3" s="3" t="s">
        <v>44</v>
      </c>
      <c r="B3" t="s">
        <v>339</v>
      </c>
    </row>
    <row r="4" spans="1:2">
      <c r="A4" s="4" t="s">
        <v>337</v>
      </c>
      <c r="B4">
        <v>44</v>
      </c>
    </row>
    <row r="5" spans="1:2">
      <c r="A5" s="4" t="s">
        <v>334</v>
      </c>
      <c r="B5">
        <v>54</v>
      </c>
    </row>
    <row r="6" spans="1:2">
      <c r="A6" s="4" t="s">
        <v>331</v>
      </c>
      <c r="B6">
        <v>54</v>
      </c>
    </row>
    <row r="7" spans="1:2">
      <c r="A7" s="4" t="s">
        <v>332</v>
      </c>
      <c r="B7">
        <v>32</v>
      </c>
    </row>
    <row r="8" spans="1:2">
      <c r="A8" s="4" t="s">
        <v>336</v>
      </c>
      <c r="B8">
        <v>53</v>
      </c>
    </row>
    <row r="9" spans="1:2">
      <c r="A9" s="4" t="s">
        <v>324</v>
      </c>
      <c r="B9">
        <v>43</v>
      </c>
    </row>
    <row r="10" spans="1:2">
      <c r="A10" s="4" t="s">
        <v>333</v>
      </c>
      <c r="B10">
        <v>25</v>
      </c>
    </row>
    <row r="11" spans="1:2">
      <c r="A11" s="4" t="s">
        <v>330</v>
      </c>
      <c r="B11">
        <v>34</v>
      </c>
    </row>
    <row r="12" spans="1:2">
      <c r="A12" s="4" t="s">
        <v>335</v>
      </c>
      <c r="B12">
        <v>35</v>
      </c>
    </row>
    <row r="13" spans="1:2">
      <c r="A13" s="4" t="s">
        <v>45</v>
      </c>
      <c r="B13">
        <v>374</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C3BFC-0129-4DEE-B356-210C2BC018F8}">
  <dimension ref="A3:B13"/>
  <sheetViews>
    <sheetView workbookViewId="0">
      <selection activeCell="N11" sqref="N11"/>
    </sheetView>
  </sheetViews>
  <sheetFormatPr defaultRowHeight="15"/>
  <cols>
    <col min="1" max="1" width="13.140625" bestFit="1" customWidth="1"/>
    <col min="2" max="2" width="15.140625" bestFit="1" customWidth="1"/>
    <col min="3" max="3" width="14.7109375" bestFit="1" customWidth="1"/>
  </cols>
  <sheetData>
    <row r="3" spans="1:2">
      <c r="A3" s="3" t="s">
        <v>44</v>
      </c>
      <c r="B3" t="s">
        <v>340</v>
      </c>
    </row>
    <row r="4" spans="1:2">
      <c r="A4" s="4" t="s">
        <v>337</v>
      </c>
      <c r="B4">
        <v>200</v>
      </c>
    </row>
    <row r="5" spans="1:2">
      <c r="A5" s="4" t="s">
        <v>334</v>
      </c>
      <c r="B5">
        <v>4500</v>
      </c>
    </row>
    <row r="6" spans="1:2">
      <c r="A6" s="4" t="s">
        <v>331</v>
      </c>
      <c r="B6">
        <v>300</v>
      </c>
    </row>
    <row r="7" spans="1:2">
      <c r="A7" s="4" t="s">
        <v>332</v>
      </c>
      <c r="B7">
        <v>240</v>
      </c>
    </row>
    <row r="8" spans="1:2">
      <c r="A8" s="4" t="s">
        <v>336</v>
      </c>
      <c r="B8">
        <v>3500</v>
      </c>
    </row>
    <row r="9" spans="1:2">
      <c r="A9" s="4" t="s">
        <v>324</v>
      </c>
      <c r="B9">
        <v>500</v>
      </c>
    </row>
    <row r="10" spans="1:2">
      <c r="A10" s="4" t="s">
        <v>333</v>
      </c>
      <c r="B10">
        <v>400</v>
      </c>
    </row>
    <row r="11" spans="1:2">
      <c r="A11" s="4" t="s">
        <v>330</v>
      </c>
      <c r="B11">
        <v>2500</v>
      </c>
    </row>
    <row r="12" spans="1:2">
      <c r="A12" s="4" t="s">
        <v>335</v>
      </c>
      <c r="B12">
        <v>3400</v>
      </c>
    </row>
    <row r="13" spans="1:2">
      <c r="A13" s="4" t="s">
        <v>45</v>
      </c>
      <c r="B13">
        <v>15540</v>
      </c>
    </row>
  </sheetData>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98C4A-C998-4DCB-A1C9-3FEAB0FE73E6}">
  <sheetPr>
    <tabColor rgb="FF0070C0"/>
  </sheetPr>
  <dimension ref="A1:H16"/>
  <sheetViews>
    <sheetView workbookViewId="0">
      <selection activeCell="H13" sqref="H13"/>
    </sheetView>
  </sheetViews>
  <sheetFormatPr defaultRowHeight="15"/>
  <cols>
    <col min="1" max="1" width="12.7109375" customWidth="1"/>
    <col min="2" max="2" width="9.28515625" bestFit="1" customWidth="1"/>
    <col min="3" max="3" width="9.85546875" bestFit="1" customWidth="1"/>
    <col min="4" max="4" width="13" customWidth="1"/>
    <col min="5" max="5" width="14" customWidth="1"/>
    <col min="6" max="6" width="12.5703125" bestFit="1" customWidth="1"/>
    <col min="7" max="7" width="18" customWidth="1"/>
    <col min="8" max="8" width="20" customWidth="1"/>
    <col min="9" max="9" width="16" customWidth="1"/>
  </cols>
  <sheetData>
    <row r="1" spans="1:8" ht="19.899999999999999" customHeight="1">
      <c r="A1" s="2" t="s">
        <v>341</v>
      </c>
      <c r="B1" s="2" t="s">
        <v>342</v>
      </c>
      <c r="C1" s="2" t="s">
        <v>351</v>
      </c>
      <c r="D1" s="2" t="s">
        <v>352</v>
      </c>
      <c r="F1" s="3" t="s">
        <v>341</v>
      </c>
      <c r="G1" t="s">
        <v>56</v>
      </c>
    </row>
    <row r="2" spans="1:8" ht="19.899999999999999" customHeight="1">
      <c r="A2" s="41">
        <v>45293</v>
      </c>
      <c r="B2" s="2" t="s">
        <v>343</v>
      </c>
      <c r="C2" s="2" t="s">
        <v>348</v>
      </c>
      <c r="D2" s="2">
        <v>300</v>
      </c>
    </row>
    <row r="3" spans="1:8" ht="19.899999999999999" customHeight="1">
      <c r="A3" s="41">
        <v>45294</v>
      </c>
      <c r="B3" s="2" t="s">
        <v>344</v>
      </c>
      <c r="C3" s="2" t="s">
        <v>349</v>
      </c>
      <c r="D3" s="2">
        <v>500</v>
      </c>
      <c r="F3" s="3" t="s">
        <v>44</v>
      </c>
      <c r="G3" t="s">
        <v>353</v>
      </c>
    </row>
    <row r="4" spans="1:8" ht="19.899999999999999" customHeight="1">
      <c r="A4" s="41">
        <v>45295</v>
      </c>
      <c r="B4" s="2" t="s">
        <v>345</v>
      </c>
      <c r="C4" s="2" t="s">
        <v>350</v>
      </c>
      <c r="D4" s="2">
        <v>200</v>
      </c>
      <c r="F4" s="4" t="s">
        <v>346</v>
      </c>
      <c r="G4">
        <v>240</v>
      </c>
    </row>
    <row r="5" spans="1:8" ht="19.899999999999999" customHeight="1">
      <c r="A5" s="41">
        <v>44962</v>
      </c>
      <c r="B5" s="2" t="s">
        <v>346</v>
      </c>
      <c r="C5" s="2" t="str">
        <f>C2</f>
        <v>production</v>
      </c>
      <c r="D5" s="2">
        <v>240</v>
      </c>
      <c r="F5" s="4" t="s">
        <v>345</v>
      </c>
      <c r="G5">
        <v>200</v>
      </c>
    </row>
    <row r="6" spans="1:8" ht="19.899999999999999" customHeight="1">
      <c r="A6" s="41">
        <v>43894</v>
      </c>
      <c r="B6" s="2" t="s">
        <v>347</v>
      </c>
      <c r="C6" s="2" t="str">
        <f>C3</f>
        <v>sales</v>
      </c>
      <c r="D6" s="2">
        <v>250</v>
      </c>
      <c r="F6" s="4" t="s">
        <v>344</v>
      </c>
      <c r="G6">
        <v>500</v>
      </c>
    </row>
    <row r="7" spans="1:8" ht="19.899999999999999" customHeight="1">
      <c r="F7" s="4" t="s">
        <v>343</v>
      </c>
      <c r="G7">
        <v>300</v>
      </c>
    </row>
    <row r="8" spans="1:8">
      <c r="F8" s="4" t="s">
        <v>347</v>
      </c>
      <c r="G8">
        <v>250</v>
      </c>
    </row>
    <row r="9" spans="1:8">
      <c r="F9" s="4" t="s">
        <v>45</v>
      </c>
      <c r="G9">
        <v>1490</v>
      </c>
    </row>
    <row r="12" spans="1:8">
      <c r="B12" s="2">
        <v>343</v>
      </c>
      <c r="C12" s="2">
        <f>B12/500*100</f>
        <v>68.600000000000009</v>
      </c>
      <c r="F12" s="2">
        <v>10</v>
      </c>
      <c r="G12" s="2">
        <v>5000</v>
      </c>
      <c r="H12" s="116">
        <f>F12/G12</f>
        <v>2E-3</v>
      </c>
    </row>
    <row r="13" spans="1:8">
      <c r="B13" s="2">
        <v>453</v>
      </c>
      <c r="C13" s="2">
        <f t="shared" ref="C13:C16" si="0">B13/500*100</f>
        <v>90.600000000000009</v>
      </c>
      <c r="F13" s="2">
        <v>20</v>
      </c>
      <c r="G13" s="2">
        <v>5000</v>
      </c>
      <c r="H13" s="2">
        <f>G13/F13</f>
        <v>250</v>
      </c>
    </row>
    <row r="14" spans="1:8">
      <c r="B14" s="2">
        <v>453</v>
      </c>
      <c r="C14" s="2">
        <f t="shared" si="0"/>
        <v>90.600000000000009</v>
      </c>
    </row>
    <row r="15" spans="1:8">
      <c r="B15" s="2">
        <v>453</v>
      </c>
      <c r="C15" s="2">
        <f t="shared" si="0"/>
        <v>90.600000000000009</v>
      </c>
    </row>
    <row r="16" spans="1:8">
      <c r="B16" s="2">
        <v>453</v>
      </c>
      <c r="C16" s="2">
        <f t="shared" si="0"/>
        <v>90.600000000000009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C5AA4-3C04-4CC9-894F-828A58F1A657}">
  <sheetPr>
    <tabColor rgb="FF7030A0"/>
  </sheetPr>
  <dimension ref="A1:C12"/>
  <sheetViews>
    <sheetView topLeftCell="B1" workbookViewId="0">
      <selection activeCell="E29" sqref="E29"/>
    </sheetView>
  </sheetViews>
  <sheetFormatPr defaultColWidth="8.85546875" defaultRowHeight="15"/>
  <cols>
    <col min="1" max="1" width="12.5703125" style="43" bestFit="1" customWidth="1"/>
    <col min="2" max="2" width="16.28515625" style="43" bestFit="1" customWidth="1"/>
    <col min="3" max="4" width="11.5703125" style="43" bestFit="1" customWidth="1"/>
    <col min="5" max="16384" width="8.85546875" style="43"/>
  </cols>
  <sheetData>
    <row r="1" spans="1:3">
      <c r="A1" s="43" t="s">
        <v>354</v>
      </c>
      <c r="B1" s="43" t="s">
        <v>56</v>
      </c>
    </row>
    <row r="3" spans="1:3">
      <c r="A3" s="43" t="s">
        <v>44</v>
      </c>
      <c r="B3" s="43" t="s">
        <v>374</v>
      </c>
      <c r="C3" s="43" t="s">
        <v>373</v>
      </c>
    </row>
    <row r="4" spans="1:3">
      <c r="A4" s="44" t="s">
        <v>372</v>
      </c>
      <c r="B4" s="43">
        <v>2</v>
      </c>
      <c r="C4" s="43">
        <v>600000</v>
      </c>
    </row>
    <row r="5" spans="1:3">
      <c r="A5" s="44" t="s">
        <v>365</v>
      </c>
      <c r="B5" s="43">
        <v>3</v>
      </c>
      <c r="C5" s="43">
        <v>355000</v>
      </c>
    </row>
    <row r="6" spans="1:3">
      <c r="A6" s="44" t="s">
        <v>369</v>
      </c>
      <c r="B6" s="43">
        <v>3</v>
      </c>
      <c r="C6" s="43">
        <v>675000</v>
      </c>
    </row>
    <row r="7" spans="1:3">
      <c r="A7" s="44" t="s">
        <v>367</v>
      </c>
      <c r="B7" s="43">
        <v>3</v>
      </c>
      <c r="C7" s="43">
        <v>435000</v>
      </c>
    </row>
    <row r="8" spans="1:3">
      <c r="A8" s="44" t="s">
        <v>361</v>
      </c>
      <c r="B8" s="43">
        <v>3</v>
      </c>
      <c r="C8" s="43">
        <v>205000</v>
      </c>
    </row>
    <row r="9" spans="1:3">
      <c r="A9" s="44" t="s">
        <v>371</v>
      </c>
      <c r="B9" s="43">
        <v>2</v>
      </c>
      <c r="C9" s="43">
        <v>290000</v>
      </c>
    </row>
    <row r="10" spans="1:3">
      <c r="A10" s="44" t="s">
        <v>363</v>
      </c>
      <c r="B10" s="43">
        <v>3</v>
      </c>
      <c r="C10" s="43">
        <v>670000</v>
      </c>
    </row>
    <row r="11" spans="1:3">
      <c r="A11" s="44" t="s">
        <v>359</v>
      </c>
      <c r="B11" s="43">
        <v>1</v>
      </c>
      <c r="C11" s="43">
        <v>35000</v>
      </c>
    </row>
    <row r="12" spans="1:3">
      <c r="A12" s="44" t="s">
        <v>45</v>
      </c>
      <c r="B12" s="43">
        <v>20</v>
      </c>
      <c r="C12" s="43">
        <v>3265000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68E63-A2D1-4B7A-B185-B8C1967ECDCC}">
  <sheetPr>
    <tabColor rgb="FFFFFF00"/>
  </sheetPr>
  <dimension ref="A1:C10"/>
  <sheetViews>
    <sheetView workbookViewId="0">
      <selection activeCell="D9" sqref="D9"/>
    </sheetView>
  </sheetViews>
  <sheetFormatPr defaultRowHeight="15"/>
  <cols>
    <col min="1" max="1" width="13.140625" bestFit="1" customWidth="1"/>
    <col min="2" max="2" width="16.85546875" bestFit="1" customWidth="1"/>
    <col min="3" max="3" width="12" bestFit="1" customWidth="1"/>
  </cols>
  <sheetData>
    <row r="1" spans="1:3">
      <c r="A1" s="3" t="s">
        <v>355</v>
      </c>
      <c r="B1" t="s">
        <v>56</v>
      </c>
    </row>
    <row r="3" spans="1:3">
      <c r="A3" s="3" t="s">
        <v>44</v>
      </c>
      <c r="B3" t="s">
        <v>374</v>
      </c>
      <c r="C3" t="s">
        <v>373</v>
      </c>
    </row>
    <row r="4" spans="1:3">
      <c r="A4" s="4" t="s">
        <v>360</v>
      </c>
      <c r="B4">
        <v>2</v>
      </c>
      <c r="C4">
        <v>75000</v>
      </c>
    </row>
    <row r="5" spans="1:3">
      <c r="A5" s="4" t="s">
        <v>364</v>
      </c>
      <c r="B5">
        <v>1</v>
      </c>
      <c r="C5">
        <v>150000</v>
      </c>
    </row>
    <row r="6" spans="1:3">
      <c r="A6" s="4" t="s">
        <v>366</v>
      </c>
      <c r="B6">
        <v>5</v>
      </c>
      <c r="C6">
        <v>945000</v>
      </c>
    </row>
    <row r="7" spans="1:3">
      <c r="A7" s="4" t="s">
        <v>362</v>
      </c>
      <c r="B7">
        <v>2</v>
      </c>
      <c r="C7">
        <v>120000</v>
      </c>
    </row>
    <row r="8" spans="1:3">
      <c r="A8" s="4" t="s">
        <v>370</v>
      </c>
      <c r="B8">
        <v>6</v>
      </c>
      <c r="C8">
        <v>1345000</v>
      </c>
    </row>
    <row r="9" spans="1:3">
      <c r="A9" s="4" t="s">
        <v>368</v>
      </c>
      <c r="B9">
        <v>4</v>
      </c>
      <c r="C9">
        <v>630000</v>
      </c>
    </row>
    <row r="10" spans="1:3">
      <c r="A10" s="4" t="s">
        <v>45</v>
      </c>
      <c r="B10">
        <v>20</v>
      </c>
      <c r="C10">
        <v>3265000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EDE10-E35E-4BF4-A880-3387D6E5189A}">
  <sheetPr>
    <tabColor rgb="FFFFC000"/>
  </sheetPr>
  <dimension ref="A1:N9"/>
  <sheetViews>
    <sheetView workbookViewId="0">
      <selection activeCell="N4" sqref="N4"/>
    </sheetView>
  </sheetViews>
  <sheetFormatPr defaultRowHeight="15"/>
  <cols>
    <col min="1" max="1" width="14.7109375" customWidth="1"/>
    <col min="2" max="2" width="18.42578125" customWidth="1"/>
    <col min="3" max="3" width="15.140625" customWidth="1"/>
    <col min="7" max="7" width="0.7109375" customWidth="1"/>
    <col min="8" max="8" width="11.28515625" customWidth="1"/>
    <col min="9" max="9" width="15.7109375" customWidth="1"/>
    <col min="10" max="10" width="20.140625" customWidth="1"/>
    <col min="13" max="13" width="15.28515625" bestFit="1" customWidth="1"/>
    <col min="14" max="14" width="22.7109375" customWidth="1"/>
  </cols>
  <sheetData>
    <row r="1" spans="1:14" ht="20.45" customHeight="1">
      <c r="A1" s="72" t="s">
        <v>438</v>
      </c>
      <c r="B1" s="72" t="s">
        <v>439</v>
      </c>
      <c r="C1" s="72" t="s">
        <v>440</v>
      </c>
      <c r="H1" s="163" t="s">
        <v>451</v>
      </c>
      <c r="I1" s="164"/>
      <c r="J1" s="165"/>
      <c r="L1" s="163" t="s">
        <v>450</v>
      </c>
      <c r="M1" s="164"/>
      <c r="N1" s="165"/>
    </row>
    <row r="2" spans="1:14" ht="20.45" customHeight="1">
      <c r="A2" s="58">
        <v>1</v>
      </c>
      <c r="B2" s="58" t="s">
        <v>441</v>
      </c>
      <c r="C2" s="58" t="s">
        <v>449</v>
      </c>
      <c r="H2" s="71" t="s">
        <v>438</v>
      </c>
      <c r="I2" s="71" t="s">
        <v>439</v>
      </c>
      <c r="J2" s="71" t="s">
        <v>440</v>
      </c>
      <c r="L2" s="71" t="s">
        <v>438</v>
      </c>
      <c r="M2" s="71" t="s">
        <v>439</v>
      </c>
      <c r="N2" s="71" t="s">
        <v>440</v>
      </c>
    </row>
    <row r="3" spans="1:14" ht="20.45" customHeight="1">
      <c r="A3" s="58">
        <v>2</v>
      </c>
      <c r="B3" s="58" t="s">
        <v>442</v>
      </c>
      <c r="C3" s="58" t="s">
        <v>447</v>
      </c>
      <c r="H3" s="58">
        <f t="shared" ref="H3:J9" si="0">IF($C2="COMPELETED",A2,"")</f>
        <v>1</v>
      </c>
      <c r="I3" s="58" t="str">
        <f t="shared" si="0"/>
        <v>EMP MEATING</v>
      </c>
      <c r="J3" s="58" t="str">
        <f t="shared" si="0"/>
        <v>COMPELETED</v>
      </c>
      <c r="L3" s="58" t="str">
        <f>IF($C2="PENDING",A2,"")</f>
        <v/>
      </c>
      <c r="M3" s="58" t="str">
        <f t="shared" ref="M3:N3" si="1">IF($C2="PENDING",B2,"")</f>
        <v/>
      </c>
      <c r="N3" s="58" t="str">
        <f t="shared" si="1"/>
        <v/>
      </c>
    </row>
    <row r="4" spans="1:14" ht="20.45" customHeight="1">
      <c r="A4" s="58">
        <v>3</v>
      </c>
      <c r="B4" s="58" t="s">
        <v>443</v>
      </c>
      <c r="C4" s="58" t="s">
        <v>449</v>
      </c>
      <c r="H4" s="58" t="str">
        <f t="shared" si="0"/>
        <v/>
      </c>
      <c r="I4" s="58" t="str">
        <f t="shared" si="0"/>
        <v/>
      </c>
      <c r="J4" s="58" t="str">
        <f t="shared" si="0"/>
        <v/>
      </c>
      <c r="L4" s="58">
        <f t="shared" ref="L4:L9" si="2">IF($C3="PENDING",A3,"")</f>
        <v>2</v>
      </c>
      <c r="M4" s="58" t="str">
        <f t="shared" ref="M4:M9" si="3">IF($C3="PENDING",B3,"")</f>
        <v>SALES REORT</v>
      </c>
      <c r="N4" s="58" t="str">
        <f t="shared" ref="N4:N9" si="4">IF($C3="PENDING",C3,"")</f>
        <v>PENDING</v>
      </c>
    </row>
    <row r="5" spans="1:14" ht="20.45" customHeight="1">
      <c r="A5" s="58">
        <v>4</v>
      </c>
      <c r="B5" s="58" t="s">
        <v>444</v>
      </c>
      <c r="C5" s="58" t="s">
        <v>447</v>
      </c>
      <c r="H5" s="58">
        <f t="shared" si="0"/>
        <v>3</v>
      </c>
      <c r="I5" s="58" t="str">
        <f t="shared" si="0"/>
        <v>MARKET RESEARCH</v>
      </c>
      <c r="J5" s="58" t="str">
        <f t="shared" si="0"/>
        <v>COMPELETED</v>
      </c>
      <c r="L5" s="58" t="str">
        <f t="shared" si="2"/>
        <v/>
      </c>
      <c r="M5" s="58" t="str">
        <f t="shared" si="3"/>
        <v/>
      </c>
      <c r="N5" s="58" t="str">
        <f t="shared" si="4"/>
        <v/>
      </c>
    </row>
    <row r="6" spans="1:14" ht="20.45" customHeight="1">
      <c r="A6" s="58">
        <v>5</v>
      </c>
      <c r="B6" s="58" t="s">
        <v>445</v>
      </c>
      <c r="C6" s="58" t="s">
        <v>449</v>
      </c>
      <c r="H6" s="58" t="str">
        <f t="shared" si="0"/>
        <v/>
      </c>
      <c r="I6" s="58" t="str">
        <f t="shared" si="0"/>
        <v/>
      </c>
      <c r="J6" s="58" t="str">
        <f t="shared" si="0"/>
        <v/>
      </c>
      <c r="L6" s="58">
        <f t="shared" si="2"/>
        <v>4</v>
      </c>
      <c r="M6" s="58" t="str">
        <f t="shared" si="3"/>
        <v>BOARD MEETING</v>
      </c>
      <c r="N6" s="58" t="str">
        <f t="shared" si="4"/>
        <v>PENDING</v>
      </c>
    </row>
    <row r="7" spans="1:14" ht="20.45" customHeight="1">
      <c r="A7" s="58">
        <v>6</v>
      </c>
      <c r="B7" s="58" t="s">
        <v>446</v>
      </c>
      <c r="C7" s="58" t="s">
        <v>447</v>
      </c>
      <c r="H7" s="58">
        <f t="shared" si="0"/>
        <v>5</v>
      </c>
      <c r="I7" s="58" t="str">
        <f t="shared" si="0"/>
        <v>CRM DETIALS</v>
      </c>
      <c r="J7" s="58" t="str">
        <f t="shared" si="0"/>
        <v>COMPELETED</v>
      </c>
      <c r="L7" s="58" t="str">
        <f t="shared" si="2"/>
        <v/>
      </c>
      <c r="M7" s="58" t="str">
        <f t="shared" si="3"/>
        <v/>
      </c>
      <c r="N7" s="58" t="str">
        <f t="shared" si="4"/>
        <v/>
      </c>
    </row>
    <row r="8" spans="1:14" ht="20.45" customHeight="1">
      <c r="A8" s="58">
        <v>7</v>
      </c>
      <c r="B8" s="58" t="s">
        <v>448</v>
      </c>
      <c r="C8" s="58" t="s">
        <v>449</v>
      </c>
      <c r="H8" s="58" t="str">
        <f t="shared" si="0"/>
        <v/>
      </c>
      <c r="I8" s="58" t="str">
        <f t="shared" si="0"/>
        <v/>
      </c>
      <c r="J8" s="58" t="str">
        <f t="shared" si="0"/>
        <v/>
      </c>
      <c r="L8" s="58">
        <f t="shared" si="2"/>
        <v>6</v>
      </c>
      <c r="M8" s="58" t="str">
        <f t="shared" si="3"/>
        <v>AUDIT</v>
      </c>
      <c r="N8" s="58" t="str">
        <f t="shared" si="4"/>
        <v>PENDING</v>
      </c>
    </row>
    <row r="9" spans="1:14">
      <c r="H9" s="58">
        <f t="shared" si="0"/>
        <v>7</v>
      </c>
      <c r="I9" s="58" t="str">
        <f t="shared" si="0"/>
        <v>SHARE MARKET</v>
      </c>
      <c r="J9" s="58" t="str">
        <f t="shared" si="0"/>
        <v>COMPELETED</v>
      </c>
      <c r="L9" s="58" t="str">
        <f t="shared" si="2"/>
        <v/>
      </c>
      <c r="M9" s="58" t="str">
        <f t="shared" si="3"/>
        <v/>
      </c>
      <c r="N9" s="58" t="str">
        <f t="shared" si="4"/>
        <v/>
      </c>
    </row>
  </sheetData>
  <mergeCells count="2">
    <mergeCell ref="L1:N1"/>
    <mergeCell ref="H1:J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8C4EA-08DC-442A-8037-875E4F705011}">
  <sheetPr>
    <tabColor theme="1" tint="0.249977111117893"/>
  </sheetPr>
  <dimension ref="A1:E22"/>
  <sheetViews>
    <sheetView workbookViewId="0">
      <selection sqref="A1:E22"/>
    </sheetView>
  </sheetViews>
  <sheetFormatPr defaultRowHeight="15"/>
  <cols>
    <col min="1" max="1" width="13.140625" customWidth="1"/>
    <col min="2" max="2" width="18" customWidth="1"/>
    <col min="3" max="3" width="13.7109375" customWidth="1"/>
    <col min="5" max="5" width="15.28515625" customWidth="1"/>
  </cols>
  <sheetData>
    <row r="1" spans="1:5">
      <c r="A1" s="1" t="s">
        <v>354</v>
      </c>
      <c r="B1" s="1" t="s">
        <v>355</v>
      </c>
      <c r="C1" s="1" t="s">
        <v>356</v>
      </c>
      <c r="D1" s="1" t="s">
        <v>357</v>
      </c>
      <c r="E1" s="1" t="s">
        <v>358</v>
      </c>
    </row>
    <row r="2" spans="1:5">
      <c r="A2" s="2">
        <v>2019</v>
      </c>
      <c r="B2" s="2" t="s">
        <v>359</v>
      </c>
      <c r="C2" s="2" t="s">
        <v>360</v>
      </c>
      <c r="D2" s="2">
        <v>3</v>
      </c>
      <c r="E2" s="2">
        <v>35000</v>
      </c>
    </row>
    <row r="3" spans="1:5">
      <c r="A3" s="2">
        <v>2019</v>
      </c>
      <c r="B3" s="2" t="s">
        <v>361</v>
      </c>
      <c r="C3" s="2" t="s">
        <v>362</v>
      </c>
      <c r="D3" s="2">
        <v>5</v>
      </c>
      <c r="E3" s="2">
        <v>85000</v>
      </c>
    </row>
    <row r="4" spans="1:5">
      <c r="A4" s="2">
        <v>2020</v>
      </c>
      <c r="B4" s="2" t="s">
        <v>363</v>
      </c>
      <c r="C4" s="2" t="s">
        <v>364</v>
      </c>
      <c r="D4" s="2">
        <v>6</v>
      </c>
      <c r="E4" s="2">
        <v>150000</v>
      </c>
    </row>
    <row r="5" spans="1:5">
      <c r="A5" s="2">
        <v>2020</v>
      </c>
      <c r="B5" s="2" t="s">
        <v>365</v>
      </c>
      <c r="C5" s="2" t="s">
        <v>366</v>
      </c>
      <c r="D5" s="2">
        <v>4</v>
      </c>
      <c r="E5" s="2">
        <v>85000</v>
      </c>
    </row>
    <row r="6" spans="1:5">
      <c r="A6" s="2">
        <v>2021</v>
      </c>
      <c r="B6" s="2" t="s">
        <v>367</v>
      </c>
      <c r="C6" s="2" t="s">
        <v>368</v>
      </c>
      <c r="D6" s="2">
        <v>4</v>
      </c>
      <c r="E6" s="2">
        <v>50000</v>
      </c>
    </row>
    <row r="7" spans="1:5">
      <c r="A7" s="2">
        <v>2021</v>
      </c>
      <c r="B7" s="2" t="s">
        <v>369</v>
      </c>
      <c r="C7" s="2" t="s">
        <v>370</v>
      </c>
      <c r="D7" s="2">
        <v>5</v>
      </c>
      <c r="E7" s="2">
        <v>125000</v>
      </c>
    </row>
    <row r="8" spans="1:5">
      <c r="A8" s="2">
        <v>2017</v>
      </c>
      <c r="B8" s="2" t="s">
        <v>371</v>
      </c>
      <c r="C8" s="2" t="s">
        <v>366</v>
      </c>
      <c r="D8" s="2">
        <v>1</v>
      </c>
      <c r="E8" s="2">
        <v>120000</v>
      </c>
    </row>
    <row r="9" spans="1:5">
      <c r="A9" s="2">
        <v>2017</v>
      </c>
      <c r="B9" s="2" t="s">
        <v>372</v>
      </c>
      <c r="C9" s="2" t="s">
        <v>370</v>
      </c>
      <c r="D9" s="2">
        <v>4</v>
      </c>
      <c r="E9" s="2">
        <v>250000</v>
      </c>
    </row>
    <row r="10" spans="1:5">
      <c r="A10" s="2">
        <v>2018</v>
      </c>
      <c r="B10" s="2" t="s">
        <v>361</v>
      </c>
      <c r="C10" s="2" t="s">
        <v>360</v>
      </c>
      <c r="D10" s="2">
        <v>2</v>
      </c>
      <c r="E10" s="2">
        <v>40000</v>
      </c>
    </row>
    <row r="11" spans="1:5">
      <c r="A11" s="2">
        <v>2018</v>
      </c>
      <c r="B11" s="2" t="s">
        <v>363</v>
      </c>
      <c r="C11" s="2" t="s">
        <v>366</v>
      </c>
      <c r="D11" s="2">
        <v>4</v>
      </c>
      <c r="E11" s="2">
        <v>220000</v>
      </c>
    </row>
    <row r="12" spans="1:5">
      <c r="A12" s="2">
        <v>2019</v>
      </c>
      <c r="B12" s="2" t="s">
        <v>365</v>
      </c>
      <c r="C12" s="2" t="s">
        <v>370</v>
      </c>
      <c r="D12" s="2">
        <v>7</v>
      </c>
      <c r="E12" s="2">
        <v>120000</v>
      </c>
    </row>
    <row r="13" spans="1:5">
      <c r="A13" s="2">
        <v>2019</v>
      </c>
      <c r="B13" s="2" t="s">
        <v>367</v>
      </c>
      <c r="C13" s="2" t="s">
        <v>362</v>
      </c>
      <c r="D13" s="2">
        <v>3</v>
      </c>
      <c r="E13" s="2">
        <v>35000</v>
      </c>
    </row>
    <row r="14" spans="1:5">
      <c r="A14" s="2">
        <v>2020</v>
      </c>
      <c r="B14" s="2" t="s">
        <v>369</v>
      </c>
      <c r="C14" s="2" t="s">
        <v>370</v>
      </c>
      <c r="D14" s="2">
        <v>4</v>
      </c>
      <c r="E14" s="2">
        <v>300000</v>
      </c>
    </row>
    <row r="15" spans="1:5">
      <c r="A15" s="2">
        <v>2020</v>
      </c>
      <c r="B15" s="2" t="s">
        <v>369</v>
      </c>
      <c r="C15" s="2" t="s">
        <v>370</v>
      </c>
      <c r="D15" s="2">
        <v>3</v>
      </c>
      <c r="E15" s="2">
        <v>250000</v>
      </c>
    </row>
    <row r="16" spans="1:5">
      <c r="A16" s="2">
        <v>2021</v>
      </c>
      <c r="B16" s="2" t="s">
        <v>371</v>
      </c>
      <c r="C16" s="2" t="s">
        <v>366</v>
      </c>
      <c r="D16" s="2">
        <v>2</v>
      </c>
      <c r="E16" s="2">
        <v>170000</v>
      </c>
    </row>
    <row r="17" spans="1:5">
      <c r="A17" s="2">
        <v>2021</v>
      </c>
      <c r="B17" s="2" t="s">
        <v>372</v>
      </c>
      <c r="C17" s="2" t="s">
        <v>368</v>
      </c>
      <c r="D17" s="2">
        <v>2</v>
      </c>
      <c r="E17" s="2">
        <v>350000</v>
      </c>
    </row>
    <row r="18" spans="1:5">
      <c r="A18" s="2">
        <v>2017</v>
      </c>
      <c r="B18" s="2" t="s">
        <v>361</v>
      </c>
      <c r="C18" s="2" t="s">
        <v>368</v>
      </c>
      <c r="D18" s="2">
        <v>1</v>
      </c>
      <c r="E18" s="2">
        <v>80000</v>
      </c>
    </row>
    <row r="19" spans="1:5">
      <c r="A19" s="2">
        <v>2018</v>
      </c>
      <c r="B19" s="2" t="s">
        <v>363</v>
      </c>
      <c r="C19" s="2" t="s">
        <v>370</v>
      </c>
      <c r="D19" s="2">
        <v>4</v>
      </c>
      <c r="E19" s="2">
        <v>300000</v>
      </c>
    </row>
    <row r="20" spans="1:5">
      <c r="A20" s="2">
        <v>2018</v>
      </c>
      <c r="B20" s="2" t="s">
        <v>365</v>
      </c>
      <c r="C20" s="2" t="s">
        <v>368</v>
      </c>
      <c r="D20" s="2">
        <v>2</v>
      </c>
      <c r="E20" s="2">
        <v>150000</v>
      </c>
    </row>
    <row r="21" spans="1:5">
      <c r="A21" s="2">
        <v>2018</v>
      </c>
      <c r="B21" s="2" t="s">
        <v>367</v>
      </c>
      <c r="C21" s="2" t="s">
        <v>366</v>
      </c>
      <c r="D21" s="2">
        <v>4</v>
      </c>
      <c r="E21" s="2">
        <v>350000</v>
      </c>
    </row>
    <row r="22" spans="1:5">
      <c r="A22" s="2"/>
      <c r="B22" s="2"/>
      <c r="C22" s="2"/>
      <c r="D22" s="2"/>
      <c r="E22" s="2"/>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E2782-96F6-4A51-AB06-AC6DABD9974F}">
  <sheetPr>
    <tabColor theme="4" tint="0.39997558519241921"/>
  </sheetPr>
  <dimension ref="A1:K70"/>
  <sheetViews>
    <sheetView workbookViewId="0">
      <selection activeCell="J2" sqref="J2"/>
    </sheetView>
  </sheetViews>
  <sheetFormatPr defaultRowHeight="15"/>
  <cols>
    <col min="1" max="1" width="20.28515625" customWidth="1"/>
    <col min="2" max="2" width="10" customWidth="1"/>
    <col min="3" max="3" width="8.140625" customWidth="1"/>
    <col min="4" max="4" width="11.28515625" customWidth="1"/>
    <col min="5" max="6" width="10.5703125" customWidth="1"/>
    <col min="7" max="8" width="7.7109375" customWidth="1"/>
    <col min="9" max="9" width="7.85546875" bestFit="1" customWidth="1"/>
    <col min="10" max="10" width="12.7109375" customWidth="1"/>
    <col min="11" max="11" width="13.28515625" customWidth="1"/>
  </cols>
  <sheetData>
    <row r="1" spans="1:11">
      <c r="A1" s="1" t="s">
        <v>49</v>
      </c>
      <c r="B1" s="1" t="s">
        <v>375</v>
      </c>
      <c r="C1" s="1" t="s">
        <v>354</v>
      </c>
      <c r="D1" s="1" t="s">
        <v>376</v>
      </c>
      <c r="E1" s="1" t="s">
        <v>377</v>
      </c>
      <c r="F1" s="1" t="s">
        <v>378</v>
      </c>
      <c r="G1" s="1" t="s">
        <v>358</v>
      </c>
      <c r="H1" s="1" t="s">
        <v>379</v>
      </c>
      <c r="I1" s="1" t="s">
        <v>114</v>
      </c>
      <c r="J1" s="1" t="s">
        <v>380</v>
      </c>
      <c r="K1" s="1" t="s">
        <v>184</v>
      </c>
    </row>
    <row r="2" spans="1:11">
      <c r="A2" s="45">
        <v>43466</v>
      </c>
      <c r="B2" s="2" t="s">
        <v>391</v>
      </c>
      <c r="C2" s="2">
        <v>2019</v>
      </c>
      <c r="D2" s="2" t="s">
        <v>381</v>
      </c>
      <c r="E2" s="2" t="s">
        <v>382</v>
      </c>
      <c r="F2" s="2">
        <v>135</v>
      </c>
      <c r="G2" s="2">
        <v>100</v>
      </c>
      <c r="H2" s="2" t="s">
        <v>383</v>
      </c>
      <c r="I2" s="2">
        <v>13500</v>
      </c>
      <c r="J2" s="2">
        <v>675</v>
      </c>
      <c r="K2" s="2">
        <v>12825</v>
      </c>
    </row>
    <row r="3" spans="1:11">
      <c r="A3" s="45">
        <v>43467</v>
      </c>
      <c r="B3" s="2" t="s">
        <v>392</v>
      </c>
      <c r="C3" s="2">
        <v>2019</v>
      </c>
      <c r="D3" s="2" t="s">
        <v>384</v>
      </c>
      <c r="E3" s="2" t="s">
        <v>385</v>
      </c>
      <c r="F3" s="2">
        <v>560</v>
      </c>
      <c r="G3" s="2">
        <v>110</v>
      </c>
      <c r="H3" s="2" t="s">
        <v>383</v>
      </c>
      <c r="I3" s="2">
        <v>7810</v>
      </c>
      <c r="J3" s="2">
        <v>390.5</v>
      </c>
      <c r="K3" s="2">
        <v>7419.5</v>
      </c>
    </row>
    <row r="4" spans="1:11">
      <c r="A4" s="45">
        <v>43468</v>
      </c>
      <c r="B4" s="2" t="s">
        <v>393</v>
      </c>
      <c r="C4" s="2">
        <v>2019</v>
      </c>
      <c r="D4" s="2" t="s">
        <v>386</v>
      </c>
      <c r="E4" s="2" t="s">
        <v>387</v>
      </c>
      <c r="F4" s="2">
        <v>450</v>
      </c>
      <c r="G4" s="2">
        <v>120</v>
      </c>
      <c r="H4" s="2" t="s">
        <v>383</v>
      </c>
      <c r="I4" s="2">
        <v>10680</v>
      </c>
      <c r="J4" s="2">
        <v>534</v>
      </c>
      <c r="K4" s="2">
        <v>10146</v>
      </c>
    </row>
    <row r="5" spans="1:11">
      <c r="A5" s="45">
        <v>43469</v>
      </c>
      <c r="B5" s="2" t="s">
        <v>394</v>
      </c>
      <c r="C5" s="2">
        <v>2019</v>
      </c>
      <c r="D5" s="2" t="s">
        <v>386</v>
      </c>
      <c r="E5" s="2" t="s">
        <v>388</v>
      </c>
      <c r="F5" s="2">
        <v>344</v>
      </c>
      <c r="G5" s="2">
        <v>130</v>
      </c>
      <c r="H5" s="2" t="s">
        <v>383</v>
      </c>
      <c r="I5" s="2">
        <v>6500</v>
      </c>
      <c r="J5" s="2">
        <v>325</v>
      </c>
      <c r="K5" s="2">
        <v>6175</v>
      </c>
    </row>
    <row r="6" spans="1:11">
      <c r="A6" s="45">
        <v>43470</v>
      </c>
      <c r="B6" s="2" t="s">
        <v>395</v>
      </c>
      <c r="C6" s="2">
        <v>2019</v>
      </c>
      <c r="D6" s="2" t="s">
        <v>389</v>
      </c>
      <c r="E6" s="2" t="s">
        <v>382</v>
      </c>
      <c r="F6" s="2">
        <v>345</v>
      </c>
      <c r="G6" s="2">
        <v>140</v>
      </c>
      <c r="H6" s="2" t="s">
        <v>383</v>
      </c>
      <c r="I6" s="2">
        <v>17360</v>
      </c>
      <c r="J6" s="2">
        <v>868</v>
      </c>
      <c r="K6" s="2">
        <v>16492</v>
      </c>
    </row>
    <row r="7" spans="1:11">
      <c r="A7" s="45">
        <v>43471</v>
      </c>
      <c r="B7" s="2" t="s">
        <v>396</v>
      </c>
      <c r="C7" s="2">
        <v>2019</v>
      </c>
      <c r="D7" s="2" t="s">
        <v>390</v>
      </c>
      <c r="E7" s="2" t="s">
        <v>385</v>
      </c>
      <c r="F7" s="2">
        <v>129</v>
      </c>
      <c r="G7" s="2">
        <v>150</v>
      </c>
      <c r="H7" s="2" t="s">
        <v>383</v>
      </c>
      <c r="I7" s="2">
        <v>19350</v>
      </c>
      <c r="J7" s="2">
        <v>967.5</v>
      </c>
      <c r="K7" s="2">
        <v>18382.5</v>
      </c>
    </row>
    <row r="8" spans="1:11">
      <c r="A8" s="45">
        <v>43472</v>
      </c>
      <c r="B8" s="2" t="s">
        <v>397</v>
      </c>
      <c r="C8" s="2">
        <v>2019</v>
      </c>
      <c r="D8" s="2" t="s">
        <v>390</v>
      </c>
      <c r="E8" s="2" t="s">
        <v>387</v>
      </c>
      <c r="F8" s="2">
        <v>645</v>
      </c>
      <c r="G8" s="2">
        <v>160</v>
      </c>
      <c r="H8" s="2" t="s">
        <v>383</v>
      </c>
      <c r="I8" s="2">
        <v>19680</v>
      </c>
      <c r="J8" s="2">
        <v>984</v>
      </c>
      <c r="K8" s="2">
        <v>18696</v>
      </c>
    </row>
    <row r="9" spans="1:11">
      <c r="A9" s="45">
        <v>43473</v>
      </c>
      <c r="B9" s="2" t="s">
        <v>398</v>
      </c>
      <c r="C9" s="2">
        <v>2019</v>
      </c>
      <c r="D9" s="2" t="s">
        <v>390</v>
      </c>
      <c r="E9" s="2" t="s">
        <v>388</v>
      </c>
      <c r="F9" s="2">
        <v>657</v>
      </c>
      <c r="G9" s="2">
        <v>170</v>
      </c>
      <c r="H9" s="2" t="s">
        <v>383</v>
      </c>
      <c r="I9" s="2">
        <v>24990</v>
      </c>
      <c r="J9" s="2">
        <v>1249.5</v>
      </c>
      <c r="K9" s="2">
        <v>23740.5</v>
      </c>
    </row>
    <row r="10" spans="1:11">
      <c r="A10" s="45">
        <v>43474</v>
      </c>
      <c r="B10" s="2" t="s">
        <v>399</v>
      </c>
      <c r="C10" s="2">
        <v>2019</v>
      </c>
      <c r="D10" s="2" t="s">
        <v>390</v>
      </c>
      <c r="E10" s="2" t="s">
        <v>382</v>
      </c>
      <c r="F10" s="2">
        <v>145</v>
      </c>
      <c r="G10" s="2">
        <v>180</v>
      </c>
      <c r="H10" s="2" t="s">
        <v>383</v>
      </c>
      <c r="I10" s="2">
        <v>26100</v>
      </c>
      <c r="J10" s="2">
        <v>1305</v>
      </c>
      <c r="K10" s="2">
        <v>24795</v>
      </c>
    </row>
    <row r="11" spans="1:11">
      <c r="A11" s="45">
        <v>43475</v>
      </c>
      <c r="B11" s="2" t="s">
        <v>400</v>
      </c>
      <c r="C11" s="2">
        <v>2019</v>
      </c>
      <c r="D11" s="2" t="s">
        <v>381</v>
      </c>
      <c r="E11" s="2" t="s">
        <v>385</v>
      </c>
      <c r="F11" s="2">
        <v>398</v>
      </c>
      <c r="G11" s="2">
        <v>190</v>
      </c>
      <c r="H11" s="2" t="s">
        <v>383</v>
      </c>
      <c r="I11" s="2">
        <v>25080</v>
      </c>
      <c r="J11" s="2">
        <v>1254</v>
      </c>
      <c r="K11" s="2">
        <v>23826</v>
      </c>
    </row>
    <row r="12" spans="1:11">
      <c r="A12" s="45">
        <v>43476</v>
      </c>
      <c r="B12" s="2" t="s">
        <v>401</v>
      </c>
      <c r="C12" s="2">
        <v>2019</v>
      </c>
      <c r="D12" s="2" t="s">
        <v>384</v>
      </c>
      <c r="E12" s="2" t="s">
        <v>387</v>
      </c>
      <c r="F12" s="2">
        <v>787</v>
      </c>
      <c r="G12" s="2">
        <v>200</v>
      </c>
      <c r="H12" s="2" t="s">
        <v>383</v>
      </c>
      <c r="I12" s="2">
        <v>15400</v>
      </c>
      <c r="J12" s="2">
        <v>770</v>
      </c>
      <c r="K12" s="2">
        <v>14630</v>
      </c>
    </row>
    <row r="13" spans="1:11">
      <c r="A13" s="45">
        <v>43477</v>
      </c>
      <c r="B13" s="2" t="s">
        <v>402</v>
      </c>
      <c r="C13" s="2">
        <v>2019</v>
      </c>
      <c r="D13" s="2" t="s">
        <v>386</v>
      </c>
      <c r="E13" s="2" t="s">
        <v>388</v>
      </c>
      <c r="F13" s="2">
        <v>647</v>
      </c>
      <c r="G13" s="2">
        <v>210</v>
      </c>
      <c r="H13" s="2" t="s">
        <v>383</v>
      </c>
      <c r="I13" s="2">
        <v>23730</v>
      </c>
      <c r="J13" s="2">
        <v>1186.5</v>
      </c>
      <c r="K13" s="2">
        <v>22543.5</v>
      </c>
    </row>
    <row r="14" spans="1:11">
      <c r="A14" s="45">
        <v>43478</v>
      </c>
      <c r="B14" s="2" t="s">
        <v>391</v>
      </c>
      <c r="C14" s="2">
        <v>2019</v>
      </c>
      <c r="D14" s="2" t="s">
        <v>386</v>
      </c>
      <c r="E14" s="2" t="s">
        <v>382</v>
      </c>
      <c r="F14" s="2">
        <v>342</v>
      </c>
      <c r="G14" s="2">
        <v>220</v>
      </c>
      <c r="H14" s="2" t="s">
        <v>383</v>
      </c>
      <c r="I14" s="2">
        <v>15840</v>
      </c>
      <c r="J14" s="2">
        <v>792</v>
      </c>
      <c r="K14" s="2">
        <v>15048</v>
      </c>
    </row>
    <row r="15" spans="1:11">
      <c r="A15" s="45">
        <v>43479</v>
      </c>
      <c r="B15" s="2" t="s">
        <v>392</v>
      </c>
      <c r="C15" s="2">
        <v>2019</v>
      </c>
      <c r="D15" s="2" t="s">
        <v>389</v>
      </c>
      <c r="E15" s="2" t="s">
        <v>385</v>
      </c>
      <c r="F15" s="2">
        <v>978</v>
      </c>
      <c r="G15" s="2">
        <v>230</v>
      </c>
      <c r="H15" s="2" t="s">
        <v>383</v>
      </c>
      <c r="I15" s="2">
        <v>32890</v>
      </c>
      <c r="J15" s="2">
        <v>1644.5</v>
      </c>
      <c r="K15" s="2">
        <v>31245.5</v>
      </c>
    </row>
    <row r="16" spans="1:11">
      <c r="A16" s="45">
        <v>43480</v>
      </c>
      <c r="B16" s="2" t="s">
        <v>393</v>
      </c>
      <c r="C16" s="2">
        <v>2019</v>
      </c>
      <c r="D16" s="2" t="s">
        <v>390</v>
      </c>
      <c r="E16" s="2" t="s">
        <v>387</v>
      </c>
      <c r="F16" s="2">
        <v>253</v>
      </c>
      <c r="G16" s="2">
        <v>240</v>
      </c>
      <c r="H16" s="2" t="s">
        <v>383</v>
      </c>
      <c r="I16" s="2">
        <v>22080</v>
      </c>
      <c r="J16" s="2">
        <v>1104</v>
      </c>
      <c r="K16" s="2">
        <v>20976</v>
      </c>
    </row>
    <row r="17" spans="1:11">
      <c r="A17" s="45">
        <v>43481</v>
      </c>
      <c r="B17" s="2" t="s">
        <v>394</v>
      </c>
      <c r="C17" s="2">
        <v>2019</v>
      </c>
      <c r="D17" s="2" t="s">
        <v>390</v>
      </c>
      <c r="E17" s="2" t="s">
        <v>388</v>
      </c>
      <c r="F17" s="2">
        <v>968</v>
      </c>
      <c r="G17" s="2">
        <v>250</v>
      </c>
      <c r="H17" s="2" t="s">
        <v>383</v>
      </c>
      <c r="I17" s="2">
        <v>13750</v>
      </c>
      <c r="J17" s="2">
        <v>687.5</v>
      </c>
      <c r="K17" s="2">
        <v>13062.5</v>
      </c>
    </row>
    <row r="18" spans="1:11">
      <c r="A18" s="45">
        <v>43482</v>
      </c>
      <c r="B18" s="2" t="s">
        <v>395</v>
      </c>
      <c r="C18" s="2">
        <v>2019</v>
      </c>
      <c r="D18" s="2" t="s">
        <v>390</v>
      </c>
      <c r="E18" s="2" t="s">
        <v>382</v>
      </c>
      <c r="F18" s="2">
        <v>647</v>
      </c>
      <c r="G18" s="2">
        <v>260</v>
      </c>
      <c r="H18" s="2" t="s">
        <v>383</v>
      </c>
      <c r="I18" s="2">
        <v>39000</v>
      </c>
      <c r="J18" s="2">
        <v>1950</v>
      </c>
      <c r="K18" s="2">
        <v>37050</v>
      </c>
    </row>
    <row r="19" spans="1:11">
      <c r="A19" s="45">
        <v>43483</v>
      </c>
      <c r="B19" s="2" t="s">
        <v>396</v>
      </c>
      <c r="C19" s="2">
        <v>2019</v>
      </c>
      <c r="D19" s="2" t="s">
        <v>390</v>
      </c>
      <c r="E19" s="2" t="s">
        <v>385</v>
      </c>
      <c r="F19" s="2">
        <v>645</v>
      </c>
      <c r="G19" s="2">
        <v>270</v>
      </c>
      <c r="H19" s="2" t="s">
        <v>383</v>
      </c>
      <c r="I19" s="2">
        <v>13500</v>
      </c>
      <c r="J19" s="2">
        <v>675</v>
      </c>
      <c r="K19" s="2">
        <v>12825</v>
      </c>
    </row>
    <row r="20" spans="1:11">
      <c r="A20" s="45">
        <v>43484</v>
      </c>
      <c r="B20" s="2" t="s">
        <v>397</v>
      </c>
      <c r="C20" s="2">
        <v>2019</v>
      </c>
      <c r="D20" s="2" t="s">
        <v>381</v>
      </c>
      <c r="E20" s="2" t="s">
        <v>387</v>
      </c>
      <c r="F20" s="2">
        <v>423</v>
      </c>
      <c r="G20" s="2">
        <v>280</v>
      </c>
      <c r="H20" s="2" t="s">
        <v>383</v>
      </c>
      <c r="I20" s="2">
        <v>40600</v>
      </c>
      <c r="J20" s="2">
        <v>2030</v>
      </c>
      <c r="K20" s="2">
        <v>38570</v>
      </c>
    </row>
    <row r="21" spans="1:11">
      <c r="A21" s="45">
        <v>43485</v>
      </c>
      <c r="B21" s="2" t="s">
        <v>398</v>
      </c>
      <c r="C21" s="2">
        <v>2019</v>
      </c>
      <c r="D21" s="2" t="s">
        <v>384</v>
      </c>
      <c r="E21" s="2" t="s">
        <v>388</v>
      </c>
      <c r="F21" s="2">
        <v>576</v>
      </c>
      <c r="G21" s="2">
        <v>290</v>
      </c>
      <c r="H21" s="2" t="s">
        <v>383</v>
      </c>
      <c r="I21" s="2">
        <v>18850</v>
      </c>
      <c r="J21" s="2">
        <v>942.5</v>
      </c>
      <c r="K21" s="2">
        <v>17907.5</v>
      </c>
    </row>
    <row r="22" spans="1:11">
      <c r="A22" s="45">
        <v>43486</v>
      </c>
      <c r="B22" s="2" t="s">
        <v>399</v>
      </c>
      <c r="C22" s="2">
        <v>2019</v>
      </c>
      <c r="D22" s="2" t="s">
        <v>386</v>
      </c>
      <c r="E22" s="2" t="s">
        <v>382</v>
      </c>
      <c r="F22" s="2">
        <v>134</v>
      </c>
      <c r="G22" s="2">
        <v>300</v>
      </c>
      <c r="H22" s="2" t="s">
        <v>383</v>
      </c>
      <c r="I22" s="2">
        <v>40200</v>
      </c>
      <c r="J22" s="2">
        <v>2010</v>
      </c>
      <c r="K22" s="2">
        <v>38190</v>
      </c>
    </row>
    <row r="23" spans="1:11">
      <c r="A23" s="45">
        <v>43487</v>
      </c>
      <c r="B23" s="2" t="s">
        <v>400</v>
      </c>
      <c r="C23" s="2">
        <v>2019</v>
      </c>
      <c r="D23" s="2" t="s">
        <v>386</v>
      </c>
      <c r="E23" s="2" t="s">
        <v>385</v>
      </c>
      <c r="F23" s="2">
        <v>645</v>
      </c>
      <c r="G23" s="2">
        <v>310</v>
      </c>
      <c r="H23" s="2" t="s">
        <v>383</v>
      </c>
      <c r="I23" s="2">
        <v>31310</v>
      </c>
      <c r="J23" s="2">
        <v>1565.5</v>
      </c>
      <c r="K23" s="2">
        <v>29744.5</v>
      </c>
    </row>
    <row r="24" spans="1:11">
      <c r="A24" s="45">
        <v>43488</v>
      </c>
      <c r="B24" s="2" t="s">
        <v>401</v>
      </c>
      <c r="C24" s="2">
        <v>2019</v>
      </c>
      <c r="D24" s="2" t="s">
        <v>389</v>
      </c>
      <c r="E24" s="2" t="s">
        <v>387</v>
      </c>
      <c r="F24" s="2">
        <v>354</v>
      </c>
      <c r="G24" s="2">
        <v>320</v>
      </c>
      <c r="H24" s="2" t="s">
        <v>383</v>
      </c>
      <c r="I24" s="2">
        <v>26560</v>
      </c>
      <c r="J24" s="2">
        <v>1328</v>
      </c>
      <c r="K24" s="2">
        <v>25232</v>
      </c>
    </row>
    <row r="25" spans="1:11">
      <c r="A25" s="45">
        <v>43831</v>
      </c>
      <c r="B25" s="2" t="s">
        <v>402</v>
      </c>
      <c r="C25" s="2">
        <v>2020</v>
      </c>
      <c r="D25" s="2" t="s">
        <v>381</v>
      </c>
      <c r="E25" s="2" t="s">
        <v>382</v>
      </c>
      <c r="F25" s="2">
        <v>135</v>
      </c>
      <c r="G25" s="2">
        <v>100</v>
      </c>
      <c r="H25" s="2" t="s">
        <v>383</v>
      </c>
      <c r="I25" s="2">
        <v>13500</v>
      </c>
      <c r="J25" s="2">
        <v>675</v>
      </c>
      <c r="K25" s="2">
        <v>12825</v>
      </c>
    </row>
    <row r="26" spans="1:11">
      <c r="A26" s="45">
        <v>43832</v>
      </c>
      <c r="B26" s="2" t="s">
        <v>391</v>
      </c>
      <c r="C26" s="2">
        <v>2020</v>
      </c>
      <c r="D26" s="2" t="s">
        <v>384</v>
      </c>
      <c r="E26" s="2" t="s">
        <v>385</v>
      </c>
      <c r="F26" s="2">
        <v>879</v>
      </c>
      <c r="G26" s="2">
        <v>110</v>
      </c>
      <c r="H26" s="2" t="s">
        <v>383</v>
      </c>
      <c r="I26" s="2">
        <v>7810</v>
      </c>
      <c r="J26" s="2">
        <v>390.5</v>
      </c>
      <c r="K26" s="2">
        <v>7419.5</v>
      </c>
    </row>
    <row r="27" spans="1:11">
      <c r="A27" s="45">
        <v>43833</v>
      </c>
      <c r="B27" s="2" t="s">
        <v>392</v>
      </c>
      <c r="C27" s="2">
        <v>2020</v>
      </c>
      <c r="D27" s="2" t="s">
        <v>386</v>
      </c>
      <c r="E27" s="2" t="s">
        <v>387</v>
      </c>
      <c r="F27" s="2">
        <v>757</v>
      </c>
      <c r="G27" s="2">
        <v>120</v>
      </c>
      <c r="H27" s="2" t="s">
        <v>383</v>
      </c>
      <c r="I27" s="2">
        <v>10680</v>
      </c>
      <c r="J27" s="2">
        <v>534</v>
      </c>
      <c r="K27" s="2">
        <v>10146</v>
      </c>
    </row>
    <row r="28" spans="1:11">
      <c r="A28" s="45">
        <v>43834</v>
      </c>
      <c r="B28" s="2" t="s">
        <v>393</v>
      </c>
      <c r="C28" s="2">
        <v>2020</v>
      </c>
      <c r="D28" s="2" t="s">
        <v>386</v>
      </c>
      <c r="E28" s="2" t="s">
        <v>388</v>
      </c>
      <c r="F28" s="2">
        <v>868</v>
      </c>
      <c r="G28" s="2">
        <v>130</v>
      </c>
      <c r="H28" s="2" t="s">
        <v>383</v>
      </c>
      <c r="I28" s="2">
        <v>6500</v>
      </c>
      <c r="J28" s="2">
        <v>325</v>
      </c>
      <c r="K28" s="2">
        <v>6175</v>
      </c>
    </row>
    <row r="29" spans="1:11">
      <c r="A29" s="45">
        <v>43835</v>
      </c>
      <c r="B29" s="2" t="s">
        <v>394</v>
      </c>
      <c r="C29" s="2">
        <v>2020</v>
      </c>
      <c r="D29" s="2" t="s">
        <v>389</v>
      </c>
      <c r="E29" s="2" t="s">
        <v>382</v>
      </c>
      <c r="F29" s="2">
        <v>766</v>
      </c>
      <c r="G29" s="2">
        <v>140</v>
      </c>
      <c r="H29" s="2" t="s">
        <v>383</v>
      </c>
      <c r="I29" s="2">
        <v>17360</v>
      </c>
      <c r="J29" s="2">
        <v>868</v>
      </c>
      <c r="K29" s="2">
        <v>16492</v>
      </c>
    </row>
    <row r="30" spans="1:11">
      <c r="A30" s="45">
        <v>43836</v>
      </c>
      <c r="B30" s="2" t="s">
        <v>395</v>
      </c>
      <c r="C30" s="2">
        <v>2020</v>
      </c>
      <c r="D30" s="2" t="s">
        <v>390</v>
      </c>
      <c r="E30" s="2" t="s">
        <v>385</v>
      </c>
      <c r="F30" s="2">
        <v>543</v>
      </c>
      <c r="G30" s="2">
        <v>150</v>
      </c>
      <c r="H30" s="2" t="s">
        <v>383</v>
      </c>
      <c r="I30" s="2">
        <v>19350</v>
      </c>
      <c r="J30" s="2">
        <v>967.5</v>
      </c>
      <c r="K30" s="2">
        <v>18382.5</v>
      </c>
    </row>
    <row r="31" spans="1:11">
      <c r="A31" s="45">
        <v>43837</v>
      </c>
      <c r="B31" s="2" t="s">
        <v>396</v>
      </c>
      <c r="C31" s="2">
        <v>2020</v>
      </c>
      <c r="D31" s="2" t="s">
        <v>390</v>
      </c>
      <c r="E31" s="2" t="s">
        <v>387</v>
      </c>
      <c r="F31" s="2">
        <v>674</v>
      </c>
      <c r="G31" s="2">
        <v>160</v>
      </c>
      <c r="H31" s="2" t="s">
        <v>383</v>
      </c>
      <c r="I31" s="2">
        <v>19680</v>
      </c>
      <c r="J31" s="2">
        <v>984</v>
      </c>
      <c r="K31" s="2">
        <v>18696</v>
      </c>
    </row>
    <row r="32" spans="1:11">
      <c r="A32" s="45">
        <v>43838</v>
      </c>
      <c r="B32" s="2" t="s">
        <v>397</v>
      </c>
      <c r="C32" s="2">
        <v>2020</v>
      </c>
      <c r="D32" s="2" t="s">
        <v>390</v>
      </c>
      <c r="E32" s="2" t="s">
        <v>388</v>
      </c>
      <c r="F32" s="2">
        <v>457</v>
      </c>
      <c r="G32" s="2">
        <v>170</v>
      </c>
      <c r="H32" s="2" t="s">
        <v>383</v>
      </c>
      <c r="I32" s="2">
        <v>24990</v>
      </c>
      <c r="J32" s="2">
        <v>1249.5</v>
      </c>
      <c r="K32" s="2">
        <v>23740.5</v>
      </c>
    </row>
    <row r="33" spans="1:11">
      <c r="A33" s="45">
        <v>43839</v>
      </c>
      <c r="B33" s="2" t="s">
        <v>398</v>
      </c>
      <c r="C33" s="2">
        <v>2020</v>
      </c>
      <c r="D33" s="2" t="s">
        <v>390</v>
      </c>
      <c r="E33" s="2" t="s">
        <v>382</v>
      </c>
      <c r="F33" s="2">
        <v>434</v>
      </c>
      <c r="G33" s="2">
        <v>180</v>
      </c>
      <c r="H33" s="2" t="s">
        <v>383</v>
      </c>
      <c r="I33" s="2">
        <v>26100</v>
      </c>
      <c r="J33" s="2">
        <v>1305</v>
      </c>
      <c r="K33" s="2">
        <v>24795</v>
      </c>
    </row>
    <row r="34" spans="1:11">
      <c r="A34" s="45">
        <v>43840</v>
      </c>
      <c r="B34" s="2" t="s">
        <v>399</v>
      </c>
      <c r="C34" s="2">
        <v>2020</v>
      </c>
      <c r="D34" s="2" t="s">
        <v>381</v>
      </c>
      <c r="E34" s="2" t="s">
        <v>385</v>
      </c>
      <c r="F34" s="2">
        <v>255</v>
      </c>
      <c r="G34" s="2">
        <v>190</v>
      </c>
      <c r="H34" s="2" t="s">
        <v>383</v>
      </c>
      <c r="I34" s="2">
        <v>25080</v>
      </c>
      <c r="J34" s="2">
        <v>1254</v>
      </c>
      <c r="K34" s="2">
        <v>23826</v>
      </c>
    </row>
    <row r="35" spans="1:11">
      <c r="A35" s="45">
        <v>43841</v>
      </c>
      <c r="B35" s="2" t="s">
        <v>400</v>
      </c>
      <c r="C35" s="2">
        <v>2020</v>
      </c>
      <c r="D35" s="2" t="s">
        <v>384</v>
      </c>
      <c r="E35" s="2" t="s">
        <v>387</v>
      </c>
      <c r="F35" s="2">
        <v>334</v>
      </c>
      <c r="G35" s="2">
        <v>200</v>
      </c>
      <c r="H35" s="2" t="s">
        <v>383</v>
      </c>
      <c r="I35" s="2">
        <v>15400</v>
      </c>
      <c r="J35" s="2">
        <v>770</v>
      </c>
      <c r="K35" s="2">
        <v>14630</v>
      </c>
    </row>
    <row r="36" spans="1:11">
      <c r="A36" s="45">
        <v>43842</v>
      </c>
      <c r="B36" s="2" t="s">
        <v>401</v>
      </c>
      <c r="C36" s="2">
        <v>2020</v>
      </c>
      <c r="D36" s="2" t="s">
        <v>386</v>
      </c>
      <c r="E36" s="2" t="s">
        <v>388</v>
      </c>
      <c r="F36" s="2">
        <v>252</v>
      </c>
      <c r="G36" s="2">
        <v>210</v>
      </c>
      <c r="H36" s="2" t="s">
        <v>383</v>
      </c>
      <c r="I36" s="2">
        <v>23730</v>
      </c>
      <c r="J36" s="2">
        <v>1186.5</v>
      </c>
      <c r="K36" s="2">
        <v>22543.5</v>
      </c>
    </row>
    <row r="37" spans="1:11">
      <c r="A37" s="45">
        <v>43843</v>
      </c>
      <c r="B37" s="2" t="s">
        <v>402</v>
      </c>
      <c r="C37" s="2">
        <v>2020</v>
      </c>
      <c r="D37" s="2" t="s">
        <v>386</v>
      </c>
      <c r="E37" s="2" t="s">
        <v>382</v>
      </c>
      <c r="F37" s="2">
        <v>233</v>
      </c>
      <c r="G37" s="2">
        <v>220</v>
      </c>
      <c r="H37" s="2" t="s">
        <v>383</v>
      </c>
      <c r="I37" s="2">
        <v>15840</v>
      </c>
      <c r="J37" s="2">
        <v>792</v>
      </c>
      <c r="K37" s="2">
        <v>15048</v>
      </c>
    </row>
    <row r="38" spans="1:11">
      <c r="A38" s="45">
        <v>43844</v>
      </c>
      <c r="B38" s="2" t="s">
        <v>391</v>
      </c>
      <c r="C38" s="2">
        <v>2020</v>
      </c>
      <c r="D38" s="2" t="s">
        <v>389</v>
      </c>
      <c r="E38" s="2" t="s">
        <v>385</v>
      </c>
      <c r="F38" s="2">
        <v>434</v>
      </c>
      <c r="G38" s="2">
        <v>230</v>
      </c>
      <c r="H38" s="2" t="s">
        <v>383</v>
      </c>
      <c r="I38" s="2">
        <v>32890</v>
      </c>
      <c r="J38" s="2">
        <v>1644.5</v>
      </c>
      <c r="K38" s="2">
        <v>31245.5</v>
      </c>
    </row>
    <row r="39" spans="1:11">
      <c r="A39" s="45">
        <v>43845</v>
      </c>
      <c r="B39" s="2" t="s">
        <v>392</v>
      </c>
      <c r="C39" s="2">
        <v>2020</v>
      </c>
      <c r="D39" s="2" t="s">
        <v>390</v>
      </c>
      <c r="E39" s="2" t="s">
        <v>387</v>
      </c>
      <c r="F39" s="2">
        <v>546</v>
      </c>
      <c r="G39" s="2">
        <v>240</v>
      </c>
      <c r="H39" s="2" t="s">
        <v>383</v>
      </c>
      <c r="I39" s="2">
        <v>22080</v>
      </c>
      <c r="J39" s="2">
        <v>1104</v>
      </c>
      <c r="K39" s="2">
        <v>20976</v>
      </c>
    </row>
    <row r="40" spans="1:11">
      <c r="A40" s="45">
        <v>43846</v>
      </c>
      <c r="B40" s="2" t="s">
        <v>393</v>
      </c>
      <c r="C40" s="2">
        <v>2020</v>
      </c>
      <c r="D40" s="2" t="s">
        <v>390</v>
      </c>
      <c r="E40" s="2" t="s">
        <v>388</v>
      </c>
      <c r="F40" s="2">
        <v>766</v>
      </c>
      <c r="G40" s="2">
        <v>250</v>
      </c>
      <c r="H40" s="2" t="s">
        <v>383</v>
      </c>
      <c r="I40" s="2">
        <v>13750</v>
      </c>
      <c r="J40" s="2">
        <v>687.5</v>
      </c>
      <c r="K40" s="2">
        <v>13062.5</v>
      </c>
    </row>
    <row r="41" spans="1:11">
      <c r="A41" s="45">
        <v>43847</v>
      </c>
      <c r="B41" s="2" t="s">
        <v>394</v>
      </c>
      <c r="C41" s="2">
        <v>2020</v>
      </c>
      <c r="D41" s="2" t="s">
        <v>390</v>
      </c>
      <c r="E41" s="2" t="s">
        <v>382</v>
      </c>
      <c r="F41" s="2">
        <v>876</v>
      </c>
      <c r="G41" s="2">
        <v>260</v>
      </c>
      <c r="H41" s="2" t="s">
        <v>383</v>
      </c>
      <c r="I41" s="2">
        <v>39000</v>
      </c>
      <c r="J41" s="2">
        <v>1950</v>
      </c>
      <c r="K41" s="2">
        <v>37050</v>
      </c>
    </row>
    <row r="42" spans="1:11">
      <c r="A42" s="45">
        <v>43848</v>
      </c>
      <c r="B42" s="2" t="s">
        <v>395</v>
      </c>
      <c r="C42" s="2">
        <v>2020</v>
      </c>
      <c r="D42" s="2" t="s">
        <v>390</v>
      </c>
      <c r="E42" s="2" t="s">
        <v>385</v>
      </c>
      <c r="F42" s="2">
        <v>644</v>
      </c>
      <c r="G42" s="2">
        <v>270</v>
      </c>
      <c r="H42" s="2" t="s">
        <v>383</v>
      </c>
      <c r="I42" s="2">
        <v>13500</v>
      </c>
      <c r="J42" s="2">
        <v>675</v>
      </c>
      <c r="K42" s="2">
        <v>12825</v>
      </c>
    </row>
    <row r="43" spans="1:11">
      <c r="A43" s="45">
        <v>43849</v>
      </c>
      <c r="B43" s="2" t="s">
        <v>396</v>
      </c>
      <c r="C43" s="2">
        <v>2020</v>
      </c>
      <c r="D43" s="2" t="s">
        <v>381</v>
      </c>
      <c r="E43" s="2" t="s">
        <v>387</v>
      </c>
      <c r="F43" s="2">
        <v>145</v>
      </c>
      <c r="G43" s="2">
        <v>280</v>
      </c>
      <c r="H43" s="2" t="s">
        <v>383</v>
      </c>
      <c r="I43" s="2">
        <v>40600</v>
      </c>
      <c r="J43" s="2">
        <v>2030</v>
      </c>
      <c r="K43" s="2">
        <v>38570</v>
      </c>
    </row>
    <row r="44" spans="1:11">
      <c r="A44" s="45">
        <v>43850</v>
      </c>
      <c r="B44" s="2" t="s">
        <v>397</v>
      </c>
      <c r="C44" s="2">
        <v>2020</v>
      </c>
      <c r="D44" s="2" t="s">
        <v>384</v>
      </c>
      <c r="E44" s="2" t="s">
        <v>388</v>
      </c>
      <c r="F44" s="2">
        <v>65</v>
      </c>
      <c r="G44" s="2">
        <v>290</v>
      </c>
      <c r="H44" s="2" t="s">
        <v>383</v>
      </c>
      <c r="I44" s="2">
        <v>18850</v>
      </c>
      <c r="J44" s="2">
        <v>942.5</v>
      </c>
      <c r="K44" s="2">
        <v>17907.5</v>
      </c>
    </row>
    <row r="45" spans="1:11">
      <c r="A45" s="45">
        <v>43851</v>
      </c>
      <c r="B45" s="2" t="s">
        <v>398</v>
      </c>
      <c r="C45" s="2">
        <v>2020</v>
      </c>
      <c r="D45" s="2" t="s">
        <v>386</v>
      </c>
      <c r="E45" s="2" t="s">
        <v>382</v>
      </c>
      <c r="F45" s="2">
        <v>134</v>
      </c>
      <c r="G45" s="2">
        <v>300</v>
      </c>
      <c r="H45" s="2" t="s">
        <v>383</v>
      </c>
      <c r="I45" s="2">
        <v>40200</v>
      </c>
      <c r="J45" s="2">
        <v>2010</v>
      </c>
      <c r="K45" s="2">
        <v>38190</v>
      </c>
    </row>
    <row r="46" spans="1:11">
      <c r="A46" s="45">
        <v>43852</v>
      </c>
      <c r="B46" s="2" t="s">
        <v>399</v>
      </c>
      <c r="C46" s="2">
        <v>2020</v>
      </c>
      <c r="D46" s="2" t="s">
        <v>386</v>
      </c>
      <c r="E46" s="2" t="s">
        <v>385</v>
      </c>
      <c r="F46" s="2">
        <v>101</v>
      </c>
      <c r="G46" s="2">
        <v>310</v>
      </c>
      <c r="H46" s="2" t="s">
        <v>383</v>
      </c>
      <c r="I46" s="2">
        <v>31310</v>
      </c>
      <c r="J46" s="2">
        <v>1565.5</v>
      </c>
      <c r="K46" s="2">
        <v>29744.5</v>
      </c>
    </row>
    <row r="47" spans="1:11">
      <c r="A47" s="45">
        <v>43853</v>
      </c>
      <c r="B47" s="2" t="s">
        <v>400</v>
      </c>
      <c r="C47" s="2">
        <v>2020</v>
      </c>
      <c r="D47" s="2" t="s">
        <v>389</v>
      </c>
      <c r="E47" s="2" t="s">
        <v>387</v>
      </c>
      <c r="F47" s="2">
        <v>83</v>
      </c>
      <c r="G47" s="2">
        <v>320</v>
      </c>
      <c r="H47" s="2" t="s">
        <v>383</v>
      </c>
      <c r="I47" s="2">
        <v>26560</v>
      </c>
      <c r="J47" s="2">
        <v>1328</v>
      </c>
      <c r="K47" s="2">
        <v>25232</v>
      </c>
    </row>
    <row r="48" spans="1:11">
      <c r="A48" s="45">
        <v>44197</v>
      </c>
      <c r="B48" s="2" t="s">
        <v>401</v>
      </c>
      <c r="C48" s="2">
        <v>2021</v>
      </c>
      <c r="D48" s="2" t="s">
        <v>381</v>
      </c>
      <c r="E48" s="2" t="s">
        <v>382</v>
      </c>
      <c r="F48" s="2">
        <v>135</v>
      </c>
      <c r="G48" s="2">
        <v>100</v>
      </c>
      <c r="H48" s="2" t="s">
        <v>383</v>
      </c>
      <c r="I48" s="2">
        <v>13500</v>
      </c>
      <c r="J48" s="2">
        <v>675</v>
      </c>
      <c r="K48" s="2">
        <v>12825</v>
      </c>
    </row>
    <row r="49" spans="1:11">
      <c r="A49" s="45">
        <v>44198</v>
      </c>
      <c r="B49" s="2" t="s">
        <v>402</v>
      </c>
      <c r="C49" s="2">
        <v>2021</v>
      </c>
      <c r="D49" s="2" t="s">
        <v>384</v>
      </c>
      <c r="E49" s="2" t="s">
        <v>385</v>
      </c>
      <c r="F49" s="2">
        <v>71</v>
      </c>
      <c r="G49" s="2">
        <v>110</v>
      </c>
      <c r="H49" s="2" t="s">
        <v>383</v>
      </c>
      <c r="I49" s="2">
        <v>7810</v>
      </c>
      <c r="J49" s="2">
        <v>390.5</v>
      </c>
      <c r="K49" s="2">
        <v>7419.5</v>
      </c>
    </row>
    <row r="50" spans="1:11">
      <c r="A50" s="45">
        <v>44199</v>
      </c>
      <c r="B50" s="2" t="s">
        <v>391</v>
      </c>
      <c r="C50" s="2">
        <v>2021</v>
      </c>
      <c r="D50" s="2" t="s">
        <v>386</v>
      </c>
      <c r="E50" s="2" t="s">
        <v>387</v>
      </c>
      <c r="F50" s="2">
        <v>89</v>
      </c>
      <c r="G50" s="2">
        <v>120</v>
      </c>
      <c r="H50" s="2" t="s">
        <v>383</v>
      </c>
      <c r="I50" s="2">
        <v>10680</v>
      </c>
      <c r="J50" s="2">
        <v>534</v>
      </c>
      <c r="K50" s="2">
        <v>10146</v>
      </c>
    </row>
    <row r="51" spans="1:11">
      <c r="A51" s="45">
        <v>44200</v>
      </c>
      <c r="B51" s="2" t="s">
        <v>392</v>
      </c>
      <c r="C51" s="2">
        <v>2021</v>
      </c>
      <c r="D51" s="2" t="s">
        <v>386</v>
      </c>
      <c r="E51" s="2" t="s">
        <v>388</v>
      </c>
      <c r="F51" s="2">
        <v>50</v>
      </c>
      <c r="G51" s="2">
        <v>130</v>
      </c>
      <c r="H51" s="2" t="s">
        <v>383</v>
      </c>
      <c r="I51" s="2">
        <v>6500</v>
      </c>
      <c r="J51" s="2">
        <v>325</v>
      </c>
      <c r="K51" s="2">
        <v>6175</v>
      </c>
    </row>
    <row r="52" spans="1:11">
      <c r="A52" s="45">
        <v>44201</v>
      </c>
      <c r="B52" s="2" t="s">
        <v>393</v>
      </c>
      <c r="C52" s="2">
        <v>2021</v>
      </c>
      <c r="D52" s="2" t="s">
        <v>389</v>
      </c>
      <c r="E52" s="2" t="s">
        <v>382</v>
      </c>
      <c r="F52" s="2">
        <v>124</v>
      </c>
      <c r="G52" s="2">
        <v>140</v>
      </c>
      <c r="H52" s="2" t="s">
        <v>383</v>
      </c>
      <c r="I52" s="2">
        <v>17360</v>
      </c>
      <c r="J52" s="2">
        <v>868</v>
      </c>
      <c r="K52" s="2">
        <v>16492</v>
      </c>
    </row>
    <row r="53" spans="1:11">
      <c r="A53" s="45">
        <v>44202</v>
      </c>
      <c r="B53" s="2" t="s">
        <v>394</v>
      </c>
      <c r="C53" s="2">
        <v>2021</v>
      </c>
      <c r="D53" s="2" t="s">
        <v>390</v>
      </c>
      <c r="E53" s="2" t="s">
        <v>385</v>
      </c>
      <c r="F53" s="2">
        <v>129</v>
      </c>
      <c r="G53" s="2">
        <v>150</v>
      </c>
      <c r="H53" s="2" t="s">
        <v>383</v>
      </c>
      <c r="I53" s="2">
        <v>19350</v>
      </c>
      <c r="J53" s="2">
        <v>967.5</v>
      </c>
      <c r="K53" s="2">
        <v>18382.5</v>
      </c>
    </row>
    <row r="54" spans="1:11">
      <c r="A54" s="45">
        <v>44203</v>
      </c>
      <c r="B54" s="2" t="s">
        <v>395</v>
      </c>
      <c r="C54" s="2">
        <v>2021</v>
      </c>
      <c r="D54" s="2" t="s">
        <v>390</v>
      </c>
      <c r="E54" s="2" t="s">
        <v>387</v>
      </c>
      <c r="F54" s="2">
        <v>123</v>
      </c>
      <c r="G54" s="2">
        <v>160</v>
      </c>
      <c r="H54" s="2" t="s">
        <v>383</v>
      </c>
      <c r="I54" s="2">
        <v>19680</v>
      </c>
      <c r="J54" s="2">
        <v>984</v>
      </c>
      <c r="K54" s="2">
        <v>18696</v>
      </c>
    </row>
    <row r="55" spans="1:11">
      <c r="A55" s="45">
        <v>44204</v>
      </c>
      <c r="B55" s="2" t="s">
        <v>396</v>
      </c>
      <c r="C55" s="2">
        <v>2021</v>
      </c>
      <c r="D55" s="2" t="s">
        <v>390</v>
      </c>
      <c r="E55" s="2" t="s">
        <v>388</v>
      </c>
      <c r="F55" s="2">
        <v>147</v>
      </c>
      <c r="G55" s="2">
        <v>170</v>
      </c>
      <c r="H55" s="2" t="s">
        <v>383</v>
      </c>
      <c r="I55" s="2">
        <v>24990</v>
      </c>
      <c r="J55" s="2">
        <v>1249.5</v>
      </c>
      <c r="K55" s="2">
        <v>23740.5</v>
      </c>
    </row>
    <row r="56" spans="1:11">
      <c r="A56" s="45">
        <v>44205</v>
      </c>
      <c r="B56" s="2" t="s">
        <v>397</v>
      </c>
      <c r="C56" s="2">
        <v>2021</v>
      </c>
      <c r="D56" s="2" t="s">
        <v>390</v>
      </c>
      <c r="E56" s="2" t="s">
        <v>382</v>
      </c>
      <c r="F56" s="2">
        <v>145</v>
      </c>
      <c r="G56" s="2">
        <v>180</v>
      </c>
      <c r="H56" s="2" t="s">
        <v>383</v>
      </c>
      <c r="I56" s="2">
        <v>26100</v>
      </c>
      <c r="J56" s="2">
        <v>1305</v>
      </c>
      <c r="K56" s="2">
        <v>24795</v>
      </c>
    </row>
    <row r="57" spans="1:11">
      <c r="A57" s="45">
        <v>44206</v>
      </c>
      <c r="B57" s="2" t="s">
        <v>398</v>
      </c>
      <c r="C57" s="2">
        <v>2021</v>
      </c>
      <c r="D57" s="2" t="s">
        <v>381</v>
      </c>
      <c r="E57" s="2" t="s">
        <v>385</v>
      </c>
      <c r="F57" s="2">
        <v>132</v>
      </c>
      <c r="G57" s="2">
        <v>190</v>
      </c>
      <c r="H57" s="2" t="s">
        <v>383</v>
      </c>
      <c r="I57" s="2">
        <v>25080</v>
      </c>
      <c r="J57" s="2">
        <v>1254</v>
      </c>
      <c r="K57" s="2">
        <v>23826</v>
      </c>
    </row>
    <row r="58" spans="1:11">
      <c r="A58" s="45">
        <v>44207</v>
      </c>
      <c r="B58" s="2" t="s">
        <v>399</v>
      </c>
      <c r="C58" s="2">
        <v>2021</v>
      </c>
      <c r="D58" s="2" t="s">
        <v>384</v>
      </c>
      <c r="E58" s="2" t="s">
        <v>387</v>
      </c>
      <c r="F58" s="2">
        <v>77</v>
      </c>
      <c r="G58" s="2">
        <v>200</v>
      </c>
      <c r="H58" s="2" t="s">
        <v>383</v>
      </c>
      <c r="I58" s="2">
        <v>15400</v>
      </c>
      <c r="J58" s="2">
        <v>770</v>
      </c>
      <c r="K58" s="2">
        <v>14630</v>
      </c>
    </row>
    <row r="59" spans="1:11">
      <c r="A59" s="45">
        <v>44208</v>
      </c>
      <c r="B59" s="2" t="s">
        <v>400</v>
      </c>
      <c r="C59" s="2">
        <v>2021</v>
      </c>
      <c r="D59" s="2" t="s">
        <v>386</v>
      </c>
      <c r="E59" s="2" t="s">
        <v>388</v>
      </c>
      <c r="F59" s="2">
        <v>113</v>
      </c>
      <c r="G59" s="2">
        <v>210</v>
      </c>
      <c r="H59" s="2" t="s">
        <v>383</v>
      </c>
      <c r="I59" s="2">
        <v>23730</v>
      </c>
      <c r="J59" s="2">
        <v>1186.5</v>
      </c>
      <c r="K59" s="2">
        <v>22543.5</v>
      </c>
    </row>
    <row r="60" spans="1:11">
      <c r="A60" s="45">
        <v>44209</v>
      </c>
      <c r="B60" s="2" t="s">
        <v>401</v>
      </c>
      <c r="C60" s="2">
        <v>2021</v>
      </c>
      <c r="D60" s="2" t="s">
        <v>386</v>
      </c>
      <c r="E60" s="2" t="s">
        <v>382</v>
      </c>
      <c r="F60" s="2">
        <v>72</v>
      </c>
      <c r="G60" s="2">
        <v>220</v>
      </c>
      <c r="H60" s="2" t="s">
        <v>383</v>
      </c>
      <c r="I60" s="2">
        <v>15840</v>
      </c>
      <c r="J60" s="2">
        <v>792</v>
      </c>
      <c r="K60" s="2">
        <v>15048</v>
      </c>
    </row>
    <row r="61" spans="1:11">
      <c r="A61" s="45">
        <v>44210</v>
      </c>
      <c r="B61" s="2" t="s">
        <v>402</v>
      </c>
      <c r="C61" s="2">
        <v>2021</v>
      </c>
      <c r="D61" s="2" t="s">
        <v>389</v>
      </c>
      <c r="E61" s="2" t="s">
        <v>385</v>
      </c>
      <c r="F61" s="2">
        <v>143</v>
      </c>
      <c r="G61" s="2">
        <v>230</v>
      </c>
      <c r="H61" s="2" t="s">
        <v>383</v>
      </c>
      <c r="I61" s="2">
        <v>32890</v>
      </c>
      <c r="J61" s="2">
        <v>1644.5</v>
      </c>
      <c r="K61" s="2">
        <v>31245.5</v>
      </c>
    </row>
    <row r="62" spans="1:11">
      <c r="A62" s="45">
        <v>44211</v>
      </c>
      <c r="B62" s="2" t="s">
        <v>391</v>
      </c>
      <c r="C62" s="2">
        <v>2021</v>
      </c>
      <c r="D62" s="2" t="s">
        <v>390</v>
      </c>
      <c r="E62" s="2" t="s">
        <v>387</v>
      </c>
      <c r="F62" s="2">
        <v>92</v>
      </c>
      <c r="G62" s="2">
        <v>240</v>
      </c>
      <c r="H62" s="2" t="s">
        <v>383</v>
      </c>
      <c r="I62" s="2">
        <v>22080</v>
      </c>
      <c r="J62" s="2">
        <v>1104</v>
      </c>
      <c r="K62" s="2">
        <v>20976</v>
      </c>
    </row>
    <row r="63" spans="1:11">
      <c r="A63" s="45">
        <v>44212</v>
      </c>
      <c r="B63" s="2" t="s">
        <v>392</v>
      </c>
      <c r="C63" s="2">
        <v>2021</v>
      </c>
      <c r="D63" s="2" t="s">
        <v>390</v>
      </c>
      <c r="E63" s="2" t="s">
        <v>388</v>
      </c>
      <c r="F63" s="2">
        <v>55</v>
      </c>
      <c r="G63" s="2">
        <v>250</v>
      </c>
      <c r="H63" s="2" t="s">
        <v>383</v>
      </c>
      <c r="I63" s="2">
        <v>13750</v>
      </c>
      <c r="J63" s="2">
        <v>687.5</v>
      </c>
      <c r="K63" s="2">
        <v>13062.5</v>
      </c>
    </row>
    <row r="64" spans="1:11">
      <c r="A64" s="45">
        <v>44213</v>
      </c>
      <c r="B64" s="2" t="s">
        <v>393</v>
      </c>
      <c r="C64" s="2">
        <v>2021</v>
      </c>
      <c r="D64" s="2" t="s">
        <v>390</v>
      </c>
      <c r="E64" s="2" t="s">
        <v>382</v>
      </c>
      <c r="F64" s="2">
        <v>150</v>
      </c>
      <c r="G64" s="2">
        <v>260</v>
      </c>
      <c r="H64" s="2" t="s">
        <v>383</v>
      </c>
      <c r="I64" s="2">
        <v>39000</v>
      </c>
      <c r="J64" s="2">
        <v>1950</v>
      </c>
      <c r="K64" s="2">
        <v>37050</v>
      </c>
    </row>
    <row r="65" spans="1:11">
      <c r="A65" s="45">
        <v>44214</v>
      </c>
      <c r="B65" s="2" t="s">
        <v>394</v>
      </c>
      <c r="C65" s="2">
        <v>2021</v>
      </c>
      <c r="D65" s="2" t="s">
        <v>390</v>
      </c>
      <c r="E65" s="2" t="s">
        <v>385</v>
      </c>
      <c r="F65" s="2">
        <v>50</v>
      </c>
      <c r="G65" s="2">
        <v>270</v>
      </c>
      <c r="H65" s="2" t="s">
        <v>383</v>
      </c>
      <c r="I65" s="2">
        <v>13500</v>
      </c>
      <c r="J65" s="2">
        <v>675</v>
      </c>
      <c r="K65" s="2">
        <v>12825</v>
      </c>
    </row>
    <row r="66" spans="1:11">
      <c r="A66" s="45">
        <v>44215</v>
      </c>
      <c r="B66" s="2" t="s">
        <v>395</v>
      </c>
      <c r="C66" s="2">
        <v>2021</v>
      </c>
      <c r="D66" s="2" t="s">
        <v>381</v>
      </c>
      <c r="E66" s="2" t="s">
        <v>387</v>
      </c>
      <c r="F66" s="2">
        <v>145</v>
      </c>
      <c r="G66" s="2">
        <v>280</v>
      </c>
      <c r="H66" s="2" t="s">
        <v>383</v>
      </c>
      <c r="I66" s="2">
        <v>40600</v>
      </c>
      <c r="J66" s="2">
        <v>2030</v>
      </c>
      <c r="K66" s="2">
        <v>38570</v>
      </c>
    </row>
    <row r="67" spans="1:11">
      <c r="A67" s="45">
        <v>44216</v>
      </c>
      <c r="B67" s="2" t="s">
        <v>396</v>
      </c>
      <c r="C67" s="2">
        <v>2021</v>
      </c>
      <c r="D67" s="2" t="s">
        <v>384</v>
      </c>
      <c r="E67" s="2" t="s">
        <v>388</v>
      </c>
      <c r="F67" s="2">
        <v>65</v>
      </c>
      <c r="G67" s="2">
        <v>290</v>
      </c>
      <c r="H67" s="2" t="s">
        <v>383</v>
      </c>
      <c r="I67" s="2">
        <v>18850</v>
      </c>
      <c r="J67" s="2">
        <v>942.5</v>
      </c>
      <c r="K67" s="2">
        <v>17907.5</v>
      </c>
    </row>
    <row r="68" spans="1:11">
      <c r="A68" s="45">
        <v>44217</v>
      </c>
      <c r="B68" s="2" t="s">
        <v>397</v>
      </c>
      <c r="C68" s="2">
        <v>2021</v>
      </c>
      <c r="D68" s="2" t="s">
        <v>386</v>
      </c>
      <c r="E68" s="2" t="s">
        <v>382</v>
      </c>
      <c r="F68" s="2">
        <v>134</v>
      </c>
      <c r="G68" s="2">
        <v>300</v>
      </c>
      <c r="H68" s="2" t="s">
        <v>383</v>
      </c>
      <c r="I68" s="2">
        <v>40200</v>
      </c>
      <c r="J68" s="2">
        <v>2010</v>
      </c>
      <c r="K68" s="2">
        <v>38190</v>
      </c>
    </row>
    <row r="69" spans="1:11">
      <c r="A69" s="45">
        <v>44218</v>
      </c>
      <c r="B69" s="2" t="s">
        <v>398</v>
      </c>
      <c r="C69" s="2">
        <v>2021</v>
      </c>
      <c r="D69" s="2" t="s">
        <v>386</v>
      </c>
      <c r="E69" s="2" t="s">
        <v>385</v>
      </c>
      <c r="F69" s="2">
        <v>101</v>
      </c>
      <c r="G69" s="2">
        <v>310</v>
      </c>
      <c r="H69" s="2" t="s">
        <v>383</v>
      </c>
      <c r="I69" s="2">
        <v>31310</v>
      </c>
      <c r="J69" s="2">
        <v>1565.5</v>
      </c>
      <c r="K69" s="2">
        <v>29744.5</v>
      </c>
    </row>
    <row r="70" spans="1:11">
      <c r="A70" s="45">
        <v>44219</v>
      </c>
      <c r="B70" s="2" t="s">
        <v>399</v>
      </c>
      <c r="C70" s="2">
        <v>2021</v>
      </c>
      <c r="D70" s="2" t="s">
        <v>389</v>
      </c>
      <c r="E70" s="2" t="s">
        <v>387</v>
      </c>
      <c r="F70" s="2">
        <v>83</v>
      </c>
      <c r="G70" s="2">
        <v>320</v>
      </c>
      <c r="H70" s="2" t="s">
        <v>383</v>
      </c>
      <c r="I70" s="2">
        <v>26560</v>
      </c>
      <c r="J70" s="2">
        <v>1328</v>
      </c>
      <c r="K70" s="2">
        <v>25232</v>
      </c>
    </row>
  </sheetData>
  <phoneticPr fontId="1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A570C-C1BE-4EA2-8C77-5192A202CA12}">
  <sheetPr>
    <tabColor theme="8" tint="-0.499984740745262"/>
  </sheetPr>
  <dimension ref="A1:I37"/>
  <sheetViews>
    <sheetView tabSelected="1" workbookViewId="0">
      <selection activeCell="H1" sqref="H1"/>
    </sheetView>
  </sheetViews>
  <sheetFormatPr defaultColWidth="15.140625" defaultRowHeight="16.899999999999999" customHeight="1"/>
  <cols>
    <col min="1" max="1" width="4.28515625" style="59" customWidth="1"/>
    <col min="2" max="2" width="13.85546875" style="59" hidden="1" customWidth="1"/>
    <col min="3" max="3" width="16.5703125" style="59" hidden="1" customWidth="1"/>
    <col min="4" max="4" width="14.42578125" style="59" hidden="1" customWidth="1"/>
    <col min="5" max="5" width="14.5703125" style="59" hidden="1" customWidth="1"/>
    <col min="6" max="6" width="4.42578125" style="59" hidden="1" customWidth="1"/>
    <col min="7" max="7" width="1.140625" style="59" customWidth="1"/>
    <col min="8" max="8" width="24.28515625" style="61" customWidth="1"/>
    <col min="9" max="9" width="4.28515625" style="59" customWidth="1"/>
    <col min="10" max="10" width="4.85546875" style="59" customWidth="1"/>
    <col min="11" max="11" width="22.85546875" style="59" customWidth="1"/>
    <col min="12" max="12" width="4.85546875" style="59" customWidth="1"/>
    <col min="13" max="16" width="15.140625" style="59"/>
    <col min="17" max="17" width="5.28515625" style="59" customWidth="1"/>
    <col min="18" max="18" width="18.7109375" style="59" customWidth="1"/>
    <col min="19" max="19" width="4.7109375" style="59" customWidth="1"/>
    <col min="20" max="16384" width="15.140625" style="59"/>
  </cols>
  <sheetData>
    <row r="1" spans="2:9" ht="16.899999999999999" customHeight="1">
      <c r="G1" s="60"/>
      <c r="H1" s="59"/>
      <c r="I1" s="60"/>
    </row>
    <row r="2" spans="2:9" ht="16.899999999999999" customHeight="1">
      <c r="G2" s="60"/>
      <c r="H2" s="59"/>
      <c r="I2" s="60"/>
    </row>
    <row r="3" spans="2:9" ht="16.899999999999999" customHeight="1">
      <c r="B3" s="62" t="s">
        <v>375</v>
      </c>
      <c r="C3" s="62" t="s">
        <v>378</v>
      </c>
      <c r="D3" s="63" t="s">
        <v>403</v>
      </c>
      <c r="E3" s="63" t="s">
        <v>404</v>
      </c>
      <c r="G3" s="64"/>
      <c r="H3" s="114"/>
      <c r="I3" s="60"/>
    </row>
    <row r="4" spans="2:9" ht="16.899999999999999" customHeight="1">
      <c r="B4" s="65" t="s">
        <v>408</v>
      </c>
      <c r="C4" s="65">
        <f t="shared" ref="C4:C16" si="0">SUMIFS(SOLD_QTY,MONN,B4,YEARR,$H$6,REGIONN,$H$10)</f>
        <v>879</v>
      </c>
      <c r="D4" s="65">
        <f t="shared" ref="D4:D16" si="1">IF(C4=MAX($C$4:$C$16),C4,#N/A)</f>
        <v>879</v>
      </c>
      <c r="E4" s="65">
        <f t="shared" ref="E4:E16" si="2">IF(C8=MIN($C$4:$C$16),C8,#N/A)</f>
        <v>0</v>
      </c>
      <c r="G4" s="60"/>
      <c r="H4" s="114"/>
      <c r="I4" s="60"/>
    </row>
    <row r="5" spans="2:9" ht="16.899999999999999" customHeight="1">
      <c r="B5" s="65" t="s">
        <v>409</v>
      </c>
      <c r="C5" s="65">
        <f t="shared" si="0"/>
        <v>0</v>
      </c>
      <c r="D5" s="65" t="e">
        <f t="shared" si="1"/>
        <v>#N/A</v>
      </c>
      <c r="E5" s="65">
        <f t="shared" si="2"/>
        <v>0</v>
      </c>
      <c r="G5" s="60"/>
      <c r="H5" s="68" t="s">
        <v>437</v>
      </c>
      <c r="I5" s="60"/>
    </row>
    <row r="6" spans="2:9" ht="16.899999999999999" customHeight="1">
      <c r="B6" s="65" t="s">
        <v>410</v>
      </c>
      <c r="C6" s="65">
        <f t="shared" si="0"/>
        <v>0</v>
      </c>
      <c r="D6" s="65" t="e">
        <f t="shared" si="1"/>
        <v>#N/A</v>
      </c>
      <c r="E6" s="65" t="e">
        <f t="shared" si="2"/>
        <v>#N/A</v>
      </c>
      <c r="G6" s="60"/>
      <c r="H6" s="69">
        <v>2020</v>
      </c>
      <c r="I6" s="60"/>
    </row>
    <row r="7" spans="2:9" ht="16.899999999999999" customHeight="1">
      <c r="B7" s="65" t="s">
        <v>411</v>
      </c>
      <c r="C7" s="65">
        <f t="shared" si="0"/>
        <v>0</v>
      </c>
      <c r="D7" s="65" t="e">
        <f t="shared" si="1"/>
        <v>#N/A</v>
      </c>
      <c r="E7" s="65">
        <f t="shared" si="2"/>
        <v>0</v>
      </c>
      <c r="G7" s="64"/>
      <c r="H7" s="66"/>
      <c r="I7" s="60"/>
    </row>
    <row r="8" spans="2:9" ht="16.899999999999999" customHeight="1">
      <c r="B8" s="65" t="s">
        <v>412</v>
      </c>
      <c r="C8" s="65">
        <f t="shared" si="0"/>
        <v>0</v>
      </c>
      <c r="D8" s="65" t="e">
        <f t="shared" si="1"/>
        <v>#N/A</v>
      </c>
      <c r="E8" s="65">
        <f t="shared" si="2"/>
        <v>0</v>
      </c>
      <c r="G8" s="60"/>
      <c r="H8" s="114"/>
      <c r="I8" s="60"/>
    </row>
    <row r="9" spans="2:9" ht="16.899999999999999" customHeight="1">
      <c r="B9" s="65" t="s">
        <v>413</v>
      </c>
      <c r="C9" s="65">
        <f t="shared" si="0"/>
        <v>0</v>
      </c>
      <c r="D9" s="65" t="e">
        <f t="shared" si="1"/>
        <v>#N/A</v>
      </c>
      <c r="E9" s="65" t="e">
        <f t="shared" si="2"/>
        <v>#N/A</v>
      </c>
      <c r="G9" s="60"/>
      <c r="H9" s="68" t="s">
        <v>407</v>
      </c>
      <c r="I9" s="60"/>
    </row>
    <row r="10" spans="2:9" ht="16.899999999999999" customHeight="1">
      <c r="B10" s="65" t="s">
        <v>414</v>
      </c>
      <c r="C10" s="65">
        <f t="shared" si="0"/>
        <v>65</v>
      </c>
      <c r="D10" s="65" t="e">
        <f t="shared" si="1"/>
        <v>#N/A</v>
      </c>
      <c r="E10" s="65">
        <f t="shared" si="2"/>
        <v>0</v>
      </c>
      <c r="G10" s="60"/>
      <c r="H10" s="70" t="s">
        <v>669</v>
      </c>
      <c r="I10" s="60"/>
    </row>
    <row r="11" spans="2:9" ht="16.899999999999999" customHeight="1">
      <c r="B11" s="65" t="s">
        <v>415</v>
      </c>
      <c r="C11" s="65">
        <f t="shared" si="0"/>
        <v>0</v>
      </c>
      <c r="D11" s="65" t="e">
        <f t="shared" si="1"/>
        <v>#N/A</v>
      </c>
      <c r="E11" s="65">
        <f t="shared" si="2"/>
        <v>0</v>
      </c>
      <c r="G11" s="60"/>
      <c r="H11" s="114"/>
      <c r="I11" s="60"/>
    </row>
    <row r="12" spans="2:9" ht="16.899999999999999" customHeight="1">
      <c r="B12" s="65" t="s">
        <v>416</v>
      </c>
      <c r="C12" s="65">
        <f t="shared" si="0"/>
        <v>0</v>
      </c>
      <c r="D12" s="65" t="e">
        <f t="shared" si="1"/>
        <v>#N/A</v>
      </c>
      <c r="E12" s="65">
        <f t="shared" si="2"/>
        <v>0</v>
      </c>
      <c r="G12" s="60"/>
      <c r="H12" s="114"/>
      <c r="I12" s="60"/>
    </row>
    <row r="13" spans="2:9" ht="16.899999999999999" customHeight="1">
      <c r="B13" s="65" t="s">
        <v>417</v>
      </c>
      <c r="C13" s="65">
        <f t="shared" si="0"/>
        <v>334</v>
      </c>
      <c r="D13" s="65" t="e">
        <f t="shared" si="1"/>
        <v>#N/A</v>
      </c>
      <c r="E13" s="65">
        <f t="shared" si="2"/>
        <v>0</v>
      </c>
      <c r="G13" s="60"/>
      <c r="H13" s="68" t="s">
        <v>405</v>
      </c>
      <c r="I13" s="60"/>
    </row>
    <row r="14" spans="2:9" ht="16.899999999999999" customHeight="1">
      <c r="B14" s="65" t="s">
        <v>418</v>
      </c>
      <c r="C14" s="65">
        <f t="shared" si="0"/>
        <v>0</v>
      </c>
      <c r="D14" s="65" t="e">
        <f t="shared" si="1"/>
        <v>#N/A</v>
      </c>
      <c r="E14" s="65">
        <f t="shared" si="2"/>
        <v>0</v>
      </c>
      <c r="G14" s="60"/>
      <c r="H14" s="70">
        <f>SUM(C4:C16)</f>
        <v>1278</v>
      </c>
      <c r="I14" s="60"/>
    </row>
    <row r="15" spans="2:9" ht="16.899999999999999" customHeight="1">
      <c r="B15" s="65" t="s">
        <v>419</v>
      </c>
      <c r="C15" s="65">
        <f t="shared" si="0"/>
        <v>0</v>
      </c>
      <c r="D15" s="65" t="e">
        <f t="shared" si="1"/>
        <v>#N/A</v>
      </c>
      <c r="E15" s="65">
        <f t="shared" si="2"/>
        <v>0</v>
      </c>
      <c r="G15" s="60"/>
      <c r="H15" s="67"/>
      <c r="I15" s="60"/>
    </row>
    <row r="16" spans="2:9" ht="16.899999999999999" customHeight="1">
      <c r="B16" s="65"/>
      <c r="C16" s="65">
        <f t="shared" si="0"/>
        <v>0</v>
      </c>
      <c r="D16" s="65" t="e">
        <f t="shared" si="1"/>
        <v>#N/A</v>
      </c>
      <c r="E16" s="65">
        <f t="shared" si="2"/>
        <v>0</v>
      </c>
      <c r="G16" s="60"/>
      <c r="H16" s="114"/>
      <c r="I16" s="60"/>
    </row>
    <row r="17" spans="7:9" ht="16.899999999999999" customHeight="1">
      <c r="G17" s="60"/>
      <c r="H17" s="68" t="s">
        <v>406</v>
      </c>
      <c r="I17" s="60"/>
    </row>
    <row r="18" spans="7:9" ht="16.899999999999999" customHeight="1">
      <c r="G18" s="60"/>
      <c r="H18" s="70">
        <f>AVERAGE(C9:C21)</f>
        <v>49.875</v>
      </c>
      <c r="I18" s="60"/>
    </row>
    <row r="19" spans="7:9" ht="16.899999999999999" customHeight="1">
      <c r="H19" s="66"/>
    </row>
    <row r="20" spans="7:9" ht="16.899999999999999" customHeight="1">
      <c r="H20" s="67"/>
    </row>
    <row r="23" spans="7:9" ht="16.899999999999999" customHeight="1">
      <c r="H23" s="59"/>
    </row>
    <row r="24" spans="7:9" ht="16.899999999999999" customHeight="1">
      <c r="H24" s="59"/>
    </row>
    <row r="25" spans="7:9" ht="16.899999999999999" customHeight="1">
      <c r="H25" s="59"/>
    </row>
    <row r="26" spans="7:9" ht="16.899999999999999" customHeight="1">
      <c r="H26" s="59"/>
    </row>
    <row r="27" spans="7:9" ht="16.899999999999999" customHeight="1">
      <c r="H27" s="59"/>
    </row>
    <row r="28" spans="7:9" ht="16.899999999999999" customHeight="1">
      <c r="H28" s="59"/>
    </row>
    <row r="29" spans="7:9" ht="16.899999999999999" customHeight="1">
      <c r="H29" s="59"/>
    </row>
    <row r="30" spans="7:9" ht="16.899999999999999" customHeight="1">
      <c r="H30" s="59"/>
    </row>
    <row r="31" spans="7:9" ht="16.899999999999999" customHeight="1">
      <c r="H31" s="59"/>
    </row>
    <row r="32" spans="7:9" ht="16.899999999999999" customHeight="1">
      <c r="H32" s="59"/>
    </row>
    <row r="35" spans="1:8" ht="16.899999999999999" customHeight="1">
      <c r="H35" s="59" t="str">
        <f>"SALES performance :"&amp;H10&amp;","&amp;H6</f>
        <v>SALES performance :WEST,2020</v>
      </c>
    </row>
    <row r="37" spans="1:8" ht="16.899999999999999" customHeight="1">
      <c r="A37" s="59" t="str">
        <f>"SALES PERFORMANCE : "&amp;H6&amp;", "&amp;H10</f>
        <v>SALES PERFORMANCE : 2020, WEST</v>
      </c>
    </row>
  </sheetData>
  <phoneticPr fontId="11" type="noConversion"/>
  <dataValidations count="2">
    <dataValidation type="list" allowBlank="1" showInputMessage="1" showErrorMessage="1" sqref="H6" xr:uid="{1292F48D-2014-48A7-B346-8FD3D60E37BE}">
      <formula1>"2019,2020,2021"</formula1>
    </dataValidation>
    <dataValidation type="list" allowBlank="1" showInputMessage="1" showErrorMessage="1" sqref="H10" xr:uid="{FC5F3CA8-DABF-4420-9102-CDFD0E7CD123}">
      <formula1>"EAST,WEST,NORTH,SOUTH"</formula1>
    </dataValidation>
  </dataValidation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20631-11DF-4CC9-B887-2BA9A96DB67D}">
  <sheetPr>
    <tabColor theme="6"/>
  </sheetPr>
  <dimension ref="A1:M11"/>
  <sheetViews>
    <sheetView workbookViewId="0">
      <selection activeCell="G14" sqref="G14"/>
    </sheetView>
  </sheetViews>
  <sheetFormatPr defaultRowHeight="19.899999999999999" customHeight="1"/>
  <cols>
    <col min="1" max="1" width="12.85546875" customWidth="1"/>
    <col min="2" max="2" width="15" bestFit="1" customWidth="1"/>
    <col min="3" max="3" width="13.140625" bestFit="1" customWidth="1"/>
    <col min="4" max="4" width="19.7109375" bestFit="1" customWidth="1"/>
    <col min="5" max="5" width="25.7109375" bestFit="1" customWidth="1"/>
    <col min="6" max="6" width="17.28515625" bestFit="1" customWidth="1"/>
    <col min="7" max="7" width="17" bestFit="1" customWidth="1"/>
    <col min="8" max="8" width="18.140625" bestFit="1" customWidth="1"/>
    <col min="9" max="9" width="11.140625" customWidth="1"/>
    <col min="10" max="10" width="23.28515625" customWidth="1"/>
    <col min="11" max="11" width="3.42578125" customWidth="1"/>
    <col min="13" max="13" width="40.7109375" bestFit="1" customWidth="1"/>
  </cols>
  <sheetData>
    <row r="1" spans="1:13" ht="19.899999999999999" customHeight="1">
      <c r="A1" s="119" t="s">
        <v>420</v>
      </c>
      <c r="B1" s="120" t="s">
        <v>436</v>
      </c>
      <c r="C1" s="120" t="s">
        <v>435</v>
      </c>
      <c r="D1" s="120" t="s">
        <v>421</v>
      </c>
      <c r="E1" s="120" t="s">
        <v>422</v>
      </c>
      <c r="F1" s="120" t="s">
        <v>423</v>
      </c>
      <c r="G1" s="120" t="s">
        <v>424</v>
      </c>
      <c r="H1" s="121" t="s">
        <v>425</v>
      </c>
      <c r="I1" s="46"/>
      <c r="J1" s="52"/>
      <c r="M1" s="49"/>
    </row>
    <row r="2" spans="1:13" ht="19.899999999999999" customHeight="1">
      <c r="A2" s="117">
        <v>1001</v>
      </c>
      <c r="B2" s="48">
        <v>45682</v>
      </c>
      <c r="C2" s="47" t="s">
        <v>386</v>
      </c>
      <c r="D2" s="47" t="s">
        <v>426</v>
      </c>
      <c r="E2" s="47" t="s">
        <v>427</v>
      </c>
      <c r="F2" s="47">
        <v>10</v>
      </c>
      <c r="G2" s="47">
        <v>2500</v>
      </c>
      <c r="H2" s="118">
        <v>25000</v>
      </c>
      <c r="I2" s="53"/>
      <c r="J2" s="56" t="s">
        <v>434</v>
      </c>
      <c r="M2" s="37"/>
    </row>
    <row r="3" spans="1:13" ht="19.899999999999999" customHeight="1">
      <c r="A3" s="117">
        <v>1002</v>
      </c>
      <c r="B3" s="48">
        <v>45664</v>
      </c>
      <c r="C3" s="47" t="s">
        <v>390</v>
      </c>
      <c r="D3" s="47" t="s">
        <v>428</v>
      </c>
      <c r="E3" s="47" t="s">
        <v>429</v>
      </c>
      <c r="F3" s="47">
        <v>5</v>
      </c>
      <c r="G3" s="47">
        <v>4000</v>
      </c>
      <c r="H3" s="118">
        <v>20000</v>
      </c>
      <c r="I3" s="53"/>
      <c r="J3" s="57">
        <v>45666</v>
      </c>
      <c r="M3" s="50"/>
    </row>
    <row r="4" spans="1:13" ht="19.899999999999999" customHeight="1">
      <c r="A4" s="117">
        <v>1003</v>
      </c>
      <c r="B4" s="48">
        <v>45666</v>
      </c>
      <c r="C4" s="47" t="s">
        <v>381</v>
      </c>
      <c r="D4" s="47" t="s">
        <v>430</v>
      </c>
      <c r="E4" s="47" t="s">
        <v>431</v>
      </c>
      <c r="F4" s="47">
        <v>20</v>
      </c>
      <c r="G4" s="47">
        <v>1500</v>
      </c>
      <c r="H4" s="118">
        <v>30000</v>
      </c>
      <c r="I4" s="53"/>
      <c r="J4" s="52"/>
      <c r="M4" s="37"/>
    </row>
    <row r="5" spans="1:13" ht="19.899999999999999" customHeight="1">
      <c r="A5" s="117">
        <v>1004</v>
      </c>
      <c r="B5" s="48">
        <v>45666</v>
      </c>
      <c r="C5" s="47" t="s">
        <v>384</v>
      </c>
      <c r="D5" s="47" t="s">
        <v>432</v>
      </c>
      <c r="E5" s="47" t="s">
        <v>427</v>
      </c>
      <c r="F5" s="47">
        <v>7</v>
      </c>
      <c r="G5" s="47">
        <v>2500</v>
      </c>
      <c r="H5" s="118">
        <v>17500</v>
      </c>
      <c r="I5" s="53"/>
      <c r="J5" s="52"/>
      <c r="M5" s="50"/>
    </row>
    <row r="6" spans="1:13" ht="19.899999999999999" customHeight="1">
      <c r="A6" s="117">
        <v>1005</v>
      </c>
      <c r="B6" s="48">
        <v>45677</v>
      </c>
      <c r="C6" s="47" t="s">
        <v>386</v>
      </c>
      <c r="D6" s="47" t="s">
        <v>426</v>
      </c>
      <c r="E6" s="47" t="s">
        <v>431</v>
      </c>
      <c r="F6" s="47">
        <v>15</v>
      </c>
      <c r="G6" s="47">
        <v>1500</v>
      </c>
      <c r="H6" s="118">
        <v>22500</v>
      </c>
      <c r="I6" s="53"/>
      <c r="J6" s="54" t="s">
        <v>376</v>
      </c>
      <c r="M6" s="37"/>
    </row>
    <row r="7" spans="1:13" ht="19.899999999999999" customHeight="1">
      <c r="A7" s="117">
        <v>1006</v>
      </c>
      <c r="B7" s="48">
        <v>45682</v>
      </c>
      <c r="C7" s="47" t="s">
        <v>390</v>
      </c>
      <c r="D7" s="47" t="s">
        <v>428</v>
      </c>
      <c r="E7" s="47" t="s">
        <v>429</v>
      </c>
      <c r="F7" s="47">
        <v>4</v>
      </c>
      <c r="G7" s="47">
        <v>4000</v>
      </c>
      <c r="H7" s="118">
        <v>16000</v>
      </c>
      <c r="I7" s="53"/>
      <c r="J7" s="55" t="s">
        <v>390</v>
      </c>
      <c r="M7" s="50"/>
    </row>
    <row r="8" spans="1:13" ht="19.899999999999999" customHeight="1">
      <c r="A8" s="117">
        <v>1007</v>
      </c>
      <c r="B8" s="48">
        <v>45691</v>
      </c>
      <c r="C8" s="47" t="s">
        <v>381</v>
      </c>
      <c r="D8" s="47" t="s">
        <v>430</v>
      </c>
      <c r="E8" s="47" t="s">
        <v>427</v>
      </c>
      <c r="F8" s="47">
        <v>6</v>
      </c>
      <c r="G8" s="47">
        <v>2500</v>
      </c>
      <c r="H8" s="118">
        <v>15000</v>
      </c>
      <c r="I8" s="53"/>
      <c r="J8" s="52"/>
      <c r="M8" s="37"/>
    </row>
    <row r="9" spans="1:13" ht="19.899999999999999" customHeight="1">
      <c r="A9" s="117">
        <v>1008</v>
      </c>
      <c r="B9" s="48">
        <v>45698</v>
      </c>
      <c r="C9" s="47" t="s">
        <v>384</v>
      </c>
      <c r="D9" s="47" t="s">
        <v>432</v>
      </c>
      <c r="E9" s="47" t="s">
        <v>429</v>
      </c>
      <c r="F9" s="47">
        <v>3</v>
      </c>
      <c r="G9" s="47">
        <v>4000</v>
      </c>
      <c r="H9" s="118">
        <v>12000</v>
      </c>
      <c r="I9" s="53"/>
      <c r="J9" s="52"/>
      <c r="M9" s="50"/>
    </row>
    <row r="10" spans="1:13" ht="19.899999999999999" customHeight="1">
      <c r="A10" s="117">
        <v>1009</v>
      </c>
      <c r="B10" s="48">
        <v>45706</v>
      </c>
      <c r="C10" s="47" t="s">
        <v>386</v>
      </c>
      <c r="D10" s="47" t="s">
        <v>426</v>
      </c>
      <c r="E10" s="47" t="s">
        <v>431</v>
      </c>
      <c r="F10" s="47">
        <v>10</v>
      </c>
      <c r="G10" s="47">
        <v>1500</v>
      </c>
      <c r="H10" s="118">
        <v>15000</v>
      </c>
      <c r="I10" s="53"/>
      <c r="J10" s="54" t="s">
        <v>421</v>
      </c>
      <c r="M10" s="37"/>
    </row>
    <row r="11" spans="1:13" ht="19.899999999999999" customHeight="1">
      <c r="A11" s="122">
        <v>1010</v>
      </c>
      <c r="B11" s="123">
        <v>45706</v>
      </c>
      <c r="C11" s="124" t="s">
        <v>390</v>
      </c>
      <c r="D11" s="124" t="s">
        <v>428</v>
      </c>
      <c r="E11" s="124" t="s">
        <v>427</v>
      </c>
      <c r="F11" s="124">
        <v>8</v>
      </c>
      <c r="G11" s="124">
        <v>2500</v>
      </c>
      <c r="H11" s="125">
        <v>20000</v>
      </c>
      <c r="I11" s="53"/>
      <c r="J11" s="55" t="s">
        <v>427</v>
      </c>
      <c r="M11" s="50"/>
    </row>
  </sheetData>
  <dataValidations count="3">
    <dataValidation type="list" allowBlank="1" showInputMessage="1" showErrorMessage="1" sqref="J3" xr:uid="{6A1D96FB-37F5-4913-AD72-044F9F1E8A15}">
      <formula1>$B$1:$B$11</formula1>
    </dataValidation>
    <dataValidation type="list" allowBlank="1" showInputMessage="1" showErrorMessage="1" sqref="J7" xr:uid="{B3CCEFBD-B73A-4DB8-A0B6-77CF50AFF70E}">
      <formula1>$C$1:$C$11</formula1>
    </dataValidation>
    <dataValidation type="list" allowBlank="1" showInputMessage="1" showErrorMessage="1" sqref="J11" xr:uid="{AC645863-DF16-4A1A-89A3-7584B28E2CB2}">
      <formula1>$E$1:$E$11</formula1>
    </dataValidation>
  </dataValidations>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F0952-32C2-4929-AFCB-95EF62EFF401}">
  <sheetPr>
    <tabColor theme="9" tint="0.59999389629810485"/>
  </sheetPr>
  <dimension ref="A1:E20"/>
  <sheetViews>
    <sheetView topLeftCell="B1" workbookViewId="0">
      <selection activeCell="F1" sqref="F1"/>
    </sheetView>
  </sheetViews>
  <sheetFormatPr defaultRowHeight="15"/>
  <cols>
    <col min="1" max="1" width="17.28515625" bestFit="1" customWidth="1"/>
    <col min="2" max="2" width="16.28515625" bestFit="1" customWidth="1"/>
    <col min="3" max="3" width="10.5703125" bestFit="1" customWidth="1"/>
    <col min="4" max="4" width="9.28515625" bestFit="1" customWidth="1"/>
    <col min="5" max="5" width="11.140625" bestFit="1" customWidth="1"/>
    <col min="6" max="6" width="17.28515625" bestFit="1" customWidth="1"/>
    <col min="7" max="7" width="15.140625" bestFit="1" customWidth="1"/>
    <col min="8" max="8" width="22.28515625" bestFit="1" customWidth="1"/>
    <col min="9" max="9" width="20.140625" bestFit="1" customWidth="1"/>
    <col min="10" max="10" width="19.28515625" bestFit="1" customWidth="1"/>
    <col min="11" max="11" width="7.28515625" bestFit="1" customWidth="1"/>
    <col min="12" max="12" width="4" bestFit="1" customWidth="1"/>
    <col min="13" max="13" width="9.85546875" bestFit="1" customWidth="1"/>
    <col min="14" max="14" width="10.7109375" bestFit="1" customWidth="1"/>
    <col min="15" max="15" width="18.7109375" bestFit="1" customWidth="1"/>
    <col min="16" max="16" width="16" bestFit="1" customWidth="1"/>
    <col min="17" max="17" width="18.7109375" bestFit="1" customWidth="1"/>
    <col min="18" max="18" width="21.7109375" bestFit="1" customWidth="1"/>
    <col min="19" max="19" width="24.28515625" bestFit="1" customWidth="1"/>
    <col min="20" max="20" width="16" bestFit="1" customWidth="1"/>
    <col min="21" max="21" width="18.7109375" bestFit="1" customWidth="1"/>
    <col min="22" max="22" width="16" bestFit="1" customWidth="1"/>
    <col min="23" max="23" width="18.7109375" bestFit="1" customWidth="1"/>
    <col min="24" max="24" width="20.7109375" bestFit="1" customWidth="1"/>
    <col min="25" max="25" width="23.42578125" bestFit="1" customWidth="1"/>
    <col min="26" max="26" width="20.7109375" bestFit="1" customWidth="1"/>
    <col min="27" max="27" width="23.42578125" bestFit="1" customWidth="1"/>
  </cols>
  <sheetData>
    <row r="1" spans="1:5">
      <c r="B1" s="91"/>
      <c r="C1" s="91"/>
      <c r="D1" s="91"/>
      <c r="E1" s="91"/>
    </row>
    <row r="2" spans="1:5">
      <c r="A2" s="3" t="s">
        <v>49</v>
      </c>
      <c r="B2" t="s">
        <v>56</v>
      </c>
    </row>
    <row r="4" spans="1:5">
      <c r="A4" s="3" t="s">
        <v>665</v>
      </c>
      <c r="B4" s="3" t="s">
        <v>433</v>
      </c>
    </row>
    <row r="5" spans="1:5">
      <c r="A5" s="3" t="s">
        <v>44</v>
      </c>
      <c r="B5" s="2" t="s">
        <v>431</v>
      </c>
      <c r="C5" s="2" t="s">
        <v>427</v>
      </c>
      <c r="D5" s="2" t="s">
        <v>429</v>
      </c>
      <c r="E5" s="2" t="s">
        <v>45</v>
      </c>
    </row>
    <row r="6" spans="1:5">
      <c r="A6" s="4" t="s">
        <v>430</v>
      </c>
      <c r="B6" s="2">
        <v>30000</v>
      </c>
      <c r="C6" s="2">
        <v>15000</v>
      </c>
      <c r="D6" s="2"/>
      <c r="E6" s="2">
        <v>45000</v>
      </c>
    </row>
    <row r="7" spans="1:5">
      <c r="A7" s="42">
        <v>1003</v>
      </c>
      <c r="B7" s="2">
        <v>30000</v>
      </c>
      <c r="C7" s="2"/>
      <c r="D7" s="2"/>
      <c r="E7" s="2">
        <v>30000</v>
      </c>
    </row>
    <row r="8" spans="1:5">
      <c r="A8" s="42">
        <v>1007</v>
      </c>
      <c r="B8" s="2"/>
      <c r="C8" s="2">
        <v>15000</v>
      </c>
      <c r="D8" s="2"/>
      <c r="E8" s="2">
        <v>15000</v>
      </c>
    </row>
    <row r="9" spans="1:5">
      <c r="A9" s="4" t="s">
        <v>432</v>
      </c>
      <c r="B9" s="2"/>
      <c r="C9" s="2">
        <v>17500</v>
      </c>
      <c r="D9" s="2">
        <v>12000</v>
      </c>
      <c r="E9" s="2">
        <v>29500</v>
      </c>
    </row>
    <row r="10" spans="1:5">
      <c r="A10" s="42">
        <v>1004</v>
      </c>
      <c r="B10" s="2"/>
      <c r="C10" s="2">
        <v>17500</v>
      </c>
      <c r="D10" s="2"/>
      <c r="E10" s="2">
        <v>17500</v>
      </c>
    </row>
    <row r="11" spans="1:5">
      <c r="A11" s="42">
        <v>1008</v>
      </c>
      <c r="B11" s="2"/>
      <c r="C11" s="2"/>
      <c r="D11" s="2">
        <v>12000</v>
      </c>
      <c r="E11" s="2">
        <v>12000</v>
      </c>
    </row>
    <row r="12" spans="1:5">
      <c r="A12" s="4" t="s">
        <v>428</v>
      </c>
      <c r="B12" s="2"/>
      <c r="C12" s="2">
        <v>20000</v>
      </c>
      <c r="D12" s="2">
        <v>36000</v>
      </c>
      <c r="E12" s="2">
        <v>56000</v>
      </c>
    </row>
    <row r="13" spans="1:5">
      <c r="A13" s="42">
        <v>1002</v>
      </c>
      <c r="B13" s="2"/>
      <c r="C13" s="2"/>
      <c r="D13" s="2">
        <v>20000</v>
      </c>
      <c r="E13" s="2">
        <v>20000</v>
      </c>
    </row>
    <row r="14" spans="1:5">
      <c r="A14" s="42">
        <v>1006</v>
      </c>
      <c r="B14" s="2"/>
      <c r="C14" s="2"/>
      <c r="D14" s="2">
        <v>16000</v>
      </c>
      <c r="E14" s="2">
        <v>16000</v>
      </c>
    </row>
    <row r="15" spans="1:5">
      <c r="A15" s="42">
        <v>1010</v>
      </c>
      <c r="B15" s="2"/>
      <c r="C15" s="2">
        <v>20000</v>
      </c>
      <c r="D15" s="2"/>
      <c r="E15" s="2">
        <v>20000</v>
      </c>
    </row>
    <row r="16" spans="1:5">
      <c r="A16" s="4" t="s">
        <v>426</v>
      </c>
      <c r="B16" s="2">
        <v>37500</v>
      </c>
      <c r="C16" s="2">
        <v>25000</v>
      </c>
      <c r="D16" s="2"/>
      <c r="E16" s="2">
        <v>62500</v>
      </c>
    </row>
    <row r="17" spans="1:5">
      <c r="A17" s="42">
        <v>1001</v>
      </c>
      <c r="B17" s="2"/>
      <c r="C17" s="2">
        <v>25000</v>
      </c>
      <c r="D17" s="2"/>
      <c r="E17" s="2">
        <v>25000</v>
      </c>
    </row>
    <row r="18" spans="1:5">
      <c r="A18" s="42">
        <v>1005</v>
      </c>
      <c r="B18" s="2">
        <v>22500</v>
      </c>
      <c r="C18" s="2"/>
      <c r="D18" s="2"/>
      <c r="E18" s="2">
        <v>22500</v>
      </c>
    </row>
    <row r="19" spans="1:5">
      <c r="A19" s="42">
        <v>1009</v>
      </c>
      <c r="B19" s="2">
        <v>15000</v>
      </c>
      <c r="C19" s="2"/>
      <c r="D19" s="2"/>
      <c r="E19" s="2">
        <v>15000</v>
      </c>
    </row>
    <row r="20" spans="1:5">
      <c r="A20" s="4" t="s">
        <v>45</v>
      </c>
      <c r="B20" s="2">
        <v>67500</v>
      </c>
      <c r="C20" s="2">
        <v>77500</v>
      </c>
      <c r="D20" s="2">
        <v>48000</v>
      </c>
      <c r="E20" s="2">
        <v>193000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49C18-1AA1-41F6-BF7B-DD64A108CC21}">
  <sheetPr>
    <tabColor theme="2" tint="-0.749992370372631"/>
  </sheetPr>
  <dimension ref="A1"/>
  <sheetViews>
    <sheetView workbookViewId="0">
      <selection activeCell="K18" sqref="K18"/>
    </sheetView>
  </sheetViews>
  <sheetFormatPr defaultColWidth="8.85546875" defaultRowHeight="15"/>
  <cols>
    <col min="1" max="16384" width="8.85546875" style="52"/>
  </cols>
  <sheetData/>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05965-2E54-46B8-81DE-D806106B62A9}">
  <sheetPr>
    <tabColor theme="7" tint="0.39997558519241921"/>
  </sheetPr>
  <dimension ref="A1:L70"/>
  <sheetViews>
    <sheetView topLeftCell="G1" workbookViewId="0">
      <selection activeCell="N10" sqref="N10"/>
    </sheetView>
  </sheetViews>
  <sheetFormatPr defaultRowHeight="15"/>
  <cols>
    <col min="1" max="1" width="18.140625" bestFit="1" customWidth="1"/>
    <col min="2" max="2" width="6.7109375" bestFit="1" customWidth="1"/>
    <col min="3" max="3" width="5" bestFit="1" customWidth="1"/>
    <col min="4" max="4" width="6.7109375" bestFit="1" customWidth="1"/>
    <col min="5" max="5" width="9.140625" bestFit="1" customWidth="1"/>
    <col min="6" max="6" width="12.7109375" customWidth="1"/>
    <col min="7" max="7" width="11.5703125" customWidth="1"/>
    <col min="8" max="8" width="7.5703125" customWidth="1"/>
    <col min="9" max="9" width="7" customWidth="1"/>
    <col min="10" max="10" width="10.28515625" customWidth="1"/>
    <col min="11" max="11" width="13.85546875" customWidth="1"/>
    <col min="12" max="12" width="15.140625" customWidth="1"/>
  </cols>
  <sheetData>
    <row r="1" spans="1:12">
      <c r="A1" s="1" t="s">
        <v>49</v>
      </c>
      <c r="B1" s="1" t="s">
        <v>375</v>
      </c>
      <c r="C1" s="1" t="s">
        <v>354</v>
      </c>
      <c r="D1" s="1" t="s">
        <v>376</v>
      </c>
      <c r="E1" s="1" t="s">
        <v>377</v>
      </c>
      <c r="F1" s="1" t="s">
        <v>520</v>
      </c>
      <c r="G1" s="126" t="s">
        <v>378</v>
      </c>
      <c r="H1" s="127" t="s">
        <v>358</v>
      </c>
      <c r="I1" s="127" t="s">
        <v>379</v>
      </c>
      <c r="J1" s="127" t="s">
        <v>114</v>
      </c>
      <c r="K1" s="127" t="s">
        <v>380</v>
      </c>
      <c r="L1" s="128" t="s">
        <v>184</v>
      </c>
    </row>
    <row r="2" spans="1:12">
      <c r="A2" s="45">
        <v>43466</v>
      </c>
      <c r="B2" s="2" t="s">
        <v>391</v>
      </c>
      <c r="C2" s="2">
        <v>2019</v>
      </c>
      <c r="D2" s="2" t="s">
        <v>381</v>
      </c>
      <c r="E2" s="2" t="s">
        <v>382</v>
      </c>
      <c r="F2" s="2" t="s">
        <v>452</v>
      </c>
      <c r="G2" s="83">
        <v>135</v>
      </c>
      <c r="H2" s="2">
        <v>100</v>
      </c>
      <c r="I2" s="2" t="s">
        <v>383</v>
      </c>
      <c r="J2" s="2">
        <v>13500</v>
      </c>
      <c r="K2" s="2">
        <v>675</v>
      </c>
      <c r="L2" s="21">
        <v>12825</v>
      </c>
    </row>
    <row r="3" spans="1:12">
      <c r="A3" s="45">
        <v>43467</v>
      </c>
      <c r="B3" s="2" t="s">
        <v>392</v>
      </c>
      <c r="C3" s="2">
        <v>2019</v>
      </c>
      <c r="D3" s="2" t="s">
        <v>384</v>
      </c>
      <c r="E3" s="2" t="s">
        <v>385</v>
      </c>
      <c r="F3" s="2" t="s">
        <v>453</v>
      </c>
      <c r="G3" s="83">
        <v>560</v>
      </c>
      <c r="H3" s="2">
        <v>110</v>
      </c>
      <c r="I3" s="2" t="s">
        <v>383</v>
      </c>
      <c r="J3" s="2">
        <v>7810</v>
      </c>
      <c r="K3" s="2">
        <v>390.5</v>
      </c>
      <c r="L3" s="21">
        <v>7419.5</v>
      </c>
    </row>
    <row r="4" spans="1:12">
      <c r="A4" s="45">
        <v>43468</v>
      </c>
      <c r="B4" s="2" t="s">
        <v>393</v>
      </c>
      <c r="C4" s="2">
        <v>2019</v>
      </c>
      <c r="D4" s="2" t="s">
        <v>386</v>
      </c>
      <c r="E4" s="2" t="s">
        <v>387</v>
      </c>
      <c r="F4" s="2" t="s">
        <v>454</v>
      </c>
      <c r="G4" s="83">
        <v>450</v>
      </c>
      <c r="H4" s="2">
        <v>120</v>
      </c>
      <c r="I4" s="2" t="s">
        <v>383</v>
      </c>
      <c r="J4" s="2">
        <v>10680</v>
      </c>
      <c r="K4" s="2">
        <v>534</v>
      </c>
      <c r="L4" s="21">
        <v>10146</v>
      </c>
    </row>
    <row r="5" spans="1:12">
      <c r="A5" s="45">
        <v>43469</v>
      </c>
      <c r="B5" s="2" t="s">
        <v>394</v>
      </c>
      <c r="C5" s="2">
        <v>2019</v>
      </c>
      <c r="D5" s="2" t="s">
        <v>386</v>
      </c>
      <c r="E5" s="2" t="s">
        <v>388</v>
      </c>
      <c r="F5" s="2" t="s">
        <v>455</v>
      </c>
      <c r="G5" s="83">
        <v>344</v>
      </c>
      <c r="H5" s="2">
        <v>130</v>
      </c>
      <c r="I5" s="2" t="s">
        <v>383</v>
      </c>
      <c r="J5" s="2">
        <v>6500</v>
      </c>
      <c r="K5" s="2">
        <v>325</v>
      </c>
      <c r="L5" s="21">
        <v>6175</v>
      </c>
    </row>
    <row r="6" spans="1:12">
      <c r="A6" s="45">
        <v>43470</v>
      </c>
      <c r="B6" s="2" t="s">
        <v>395</v>
      </c>
      <c r="C6" s="2">
        <v>2019</v>
      </c>
      <c r="D6" s="2" t="s">
        <v>389</v>
      </c>
      <c r="E6" s="2" t="s">
        <v>382</v>
      </c>
      <c r="F6" s="2" t="s">
        <v>456</v>
      </c>
      <c r="G6" s="83">
        <v>345</v>
      </c>
      <c r="H6" s="2">
        <v>140</v>
      </c>
      <c r="I6" s="2" t="s">
        <v>383</v>
      </c>
      <c r="J6" s="2">
        <v>17360</v>
      </c>
      <c r="K6" s="2">
        <v>868</v>
      </c>
      <c r="L6" s="21">
        <v>16492</v>
      </c>
    </row>
    <row r="7" spans="1:12">
      <c r="A7" s="45">
        <v>43471</v>
      </c>
      <c r="B7" s="2" t="s">
        <v>396</v>
      </c>
      <c r="C7" s="2">
        <v>2019</v>
      </c>
      <c r="D7" s="2" t="s">
        <v>390</v>
      </c>
      <c r="E7" s="2" t="s">
        <v>385</v>
      </c>
      <c r="F7" s="2" t="s">
        <v>457</v>
      </c>
      <c r="G7" s="83">
        <v>129</v>
      </c>
      <c r="H7" s="2">
        <v>150</v>
      </c>
      <c r="I7" s="2" t="s">
        <v>383</v>
      </c>
      <c r="J7" s="2">
        <v>19350</v>
      </c>
      <c r="K7" s="2">
        <v>967.5</v>
      </c>
      <c r="L7" s="21">
        <v>18382.5</v>
      </c>
    </row>
    <row r="8" spans="1:12">
      <c r="A8" s="45">
        <v>43472</v>
      </c>
      <c r="B8" s="2" t="s">
        <v>397</v>
      </c>
      <c r="C8" s="2">
        <v>2019</v>
      </c>
      <c r="D8" s="2" t="s">
        <v>390</v>
      </c>
      <c r="E8" s="2" t="s">
        <v>387</v>
      </c>
      <c r="F8" s="2" t="s">
        <v>458</v>
      </c>
      <c r="G8" s="83">
        <v>645</v>
      </c>
      <c r="H8" s="2">
        <v>160</v>
      </c>
      <c r="I8" s="2" t="s">
        <v>383</v>
      </c>
      <c r="J8" s="2">
        <v>19680</v>
      </c>
      <c r="K8" s="2">
        <v>984</v>
      </c>
      <c r="L8" s="21">
        <v>18696</v>
      </c>
    </row>
    <row r="9" spans="1:12">
      <c r="A9" s="45">
        <v>43473</v>
      </c>
      <c r="B9" s="2" t="s">
        <v>398</v>
      </c>
      <c r="C9" s="2">
        <v>2019</v>
      </c>
      <c r="D9" s="2" t="s">
        <v>390</v>
      </c>
      <c r="E9" s="2" t="s">
        <v>388</v>
      </c>
      <c r="F9" s="2" t="s">
        <v>459</v>
      </c>
      <c r="G9" s="83">
        <v>657</v>
      </c>
      <c r="H9" s="2">
        <v>170</v>
      </c>
      <c r="I9" s="2" t="s">
        <v>383</v>
      </c>
      <c r="J9" s="2">
        <v>24990</v>
      </c>
      <c r="K9" s="2">
        <v>1249.5</v>
      </c>
      <c r="L9" s="21">
        <v>23740.5</v>
      </c>
    </row>
    <row r="10" spans="1:12">
      <c r="A10" s="45">
        <v>43474</v>
      </c>
      <c r="B10" s="2" t="s">
        <v>399</v>
      </c>
      <c r="C10" s="2">
        <v>2019</v>
      </c>
      <c r="D10" s="2" t="s">
        <v>390</v>
      </c>
      <c r="E10" s="2" t="s">
        <v>382</v>
      </c>
      <c r="F10" s="2" t="s">
        <v>460</v>
      </c>
      <c r="G10" s="83">
        <v>145</v>
      </c>
      <c r="H10" s="2">
        <v>180</v>
      </c>
      <c r="I10" s="2" t="s">
        <v>383</v>
      </c>
      <c r="J10" s="2">
        <v>26100</v>
      </c>
      <c r="K10" s="2">
        <v>1305</v>
      </c>
      <c r="L10" s="21">
        <v>24795</v>
      </c>
    </row>
    <row r="11" spans="1:12">
      <c r="A11" s="45">
        <v>43475</v>
      </c>
      <c r="B11" s="2" t="s">
        <v>400</v>
      </c>
      <c r="C11" s="2">
        <v>2019</v>
      </c>
      <c r="D11" s="2" t="s">
        <v>381</v>
      </c>
      <c r="E11" s="2" t="s">
        <v>385</v>
      </c>
      <c r="F11" s="2" t="s">
        <v>461</v>
      </c>
      <c r="G11" s="83">
        <v>398</v>
      </c>
      <c r="H11" s="2">
        <v>190</v>
      </c>
      <c r="I11" s="2" t="s">
        <v>383</v>
      </c>
      <c r="J11" s="2">
        <v>25080</v>
      </c>
      <c r="K11" s="2">
        <v>1254</v>
      </c>
      <c r="L11" s="21">
        <v>23826</v>
      </c>
    </row>
    <row r="12" spans="1:12">
      <c r="A12" s="45">
        <v>43476</v>
      </c>
      <c r="B12" s="2" t="s">
        <v>401</v>
      </c>
      <c r="C12" s="2">
        <v>2019</v>
      </c>
      <c r="D12" s="2" t="s">
        <v>384</v>
      </c>
      <c r="E12" s="2" t="s">
        <v>387</v>
      </c>
      <c r="F12" s="2" t="s">
        <v>462</v>
      </c>
      <c r="G12" s="83">
        <v>787</v>
      </c>
      <c r="H12" s="2">
        <v>200</v>
      </c>
      <c r="I12" s="2" t="s">
        <v>383</v>
      </c>
      <c r="J12" s="2">
        <v>15400</v>
      </c>
      <c r="K12" s="2">
        <v>770</v>
      </c>
      <c r="L12" s="21">
        <v>14630</v>
      </c>
    </row>
    <row r="13" spans="1:12">
      <c r="A13" s="45">
        <v>43477</v>
      </c>
      <c r="B13" s="2" t="s">
        <v>402</v>
      </c>
      <c r="C13" s="2">
        <v>2019</v>
      </c>
      <c r="D13" s="2" t="s">
        <v>386</v>
      </c>
      <c r="E13" s="2" t="s">
        <v>388</v>
      </c>
      <c r="F13" s="2" t="s">
        <v>463</v>
      </c>
      <c r="G13" s="83">
        <v>647</v>
      </c>
      <c r="H13" s="2">
        <v>210</v>
      </c>
      <c r="I13" s="2" t="s">
        <v>383</v>
      </c>
      <c r="J13" s="2">
        <v>23730</v>
      </c>
      <c r="K13" s="2">
        <v>1186.5</v>
      </c>
      <c r="L13" s="21">
        <v>22543.5</v>
      </c>
    </row>
    <row r="14" spans="1:12">
      <c r="A14" s="45">
        <v>43478</v>
      </c>
      <c r="B14" s="2" t="s">
        <v>391</v>
      </c>
      <c r="C14" s="2">
        <v>2019</v>
      </c>
      <c r="D14" s="2" t="s">
        <v>386</v>
      </c>
      <c r="E14" s="2" t="s">
        <v>382</v>
      </c>
      <c r="F14" s="2" t="s">
        <v>464</v>
      </c>
      <c r="G14" s="83">
        <v>342</v>
      </c>
      <c r="H14" s="2">
        <v>220</v>
      </c>
      <c r="I14" s="2" t="s">
        <v>383</v>
      </c>
      <c r="J14" s="2">
        <v>15840</v>
      </c>
      <c r="K14" s="2">
        <v>792</v>
      </c>
      <c r="L14" s="21">
        <v>15048</v>
      </c>
    </row>
    <row r="15" spans="1:12">
      <c r="A15" s="45">
        <v>43479</v>
      </c>
      <c r="B15" s="2" t="s">
        <v>392</v>
      </c>
      <c r="C15" s="2">
        <v>2019</v>
      </c>
      <c r="D15" s="2" t="s">
        <v>389</v>
      </c>
      <c r="E15" s="2" t="s">
        <v>385</v>
      </c>
      <c r="F15" s="2" t="s">
        <v>465</v>
      </c>
      <c r="G15" s="83">
        <v>978</v>
      </c>
      <c r="H15" s="2">
        <v>230</v>
      </c>
      <c r="I15" s="2" t="s">
        <v>383</v>
      </c>
      <c r="J15" s="2">
        <v>32890</v>
      </c>
      <c r="K15" s="2">
        <v>1644.5</v>
      </c>
      <c r="L15" s="21">
        <v>31245.5</v>
      </c>
    </row>
    <row r="16" spans="1:12">
      <c r="A16" s="45">
        <v>43480</v>
      </c>
      <c r="B16" s="2" t="s">
        <v>393</v>
      </c>
      <c r="C16" s="2">
        <v>2019</v>
      </c>
      <c r="D16" s="2" t="s">
        <v>390</v>
      </c>
      <c r="E16" s="2" t="s">
        <v>387</v>
      </c>
      <c r="F16" s="2" t="s">
        <v>466</v>
      </c>
      <c r="G16" s="83">
        <v>253</v>
      </c>
      <c r="H16" s="2">
        <v>240</v>
      </c>
      <c r="I16" s="2" t="s">
        <v>383</v>
      </c>
      <c r="J16" s="2">
        <v>22080</v>
      </c>
      <c r="K16" s="2">
        <v>1104</v>
      </c>
      <c r="L16" s="21">
        <v>20976</v>
      </c>
    </row>
    <row r="17" spans="1:12">
      <c r="A17" s="45">
        <v>43481</v>
      </c>
      <c r="B17" s="2" t="s">
        <v>394</v>
      </c>
      <c r="C17" s="2">
        <v>2019</v>
      </c>
      <c r="D17" s="2" t="s">
        <v>390</v>
      </c>
      <c r="E17" s="2" t="s">
        <v>388</v>
      </c>
      <c r="F17" s="2" t="s">
        <v>467</v>
      </c>
      <c r="G17" s="83">
        <v>968</v>
      </c>
      <c r="H17" s="2">
        <v>250</v>
      </c>
      <c r="I17" s="2" t="s">
        <v>383</v>
      </c>
      <c r="J17" s="2">
        <v>13750</v>
      </c>
      <c r="K17" s="2">
        <v>687.5</v>
      </c>
      <c r="L17" s="21">
        <v>13062.5</v>
      </c>
    </row>
    <row r="18" spans="1:12">
      <c r="A18" s="45">
        <v>43482</v>
      </c>
      <c r="B18" s="2" t="s">
        <v>395</v>
      </c>
      <c r="C18" s="2">
        <v>2019</v>
      </c>
      <c r="D18" s="2" t="s">
        <v>390</v>
      </c>
      <c r="E18" s="2" t="s">
        <v>382</v>
      </c>
      <c r="F18" s="2" t="s">
        <v>468</v>
      </c>
      <c r="G18" s="83">
        <v>647</v>
      </c>
      <c r="H18" s="2">
        <v>260</v>
      </c>
      <c r="I18" s="2" t="s">
        <v>383</v>
      </c>
      <c r="J18" s="2">
        <v>39000</v>
      </c>
      <c r="K18" s="2">
        <v>1950</v>
      </c>
      <c r="L18" s="21">
        <v>37050</v>
      </c>
    </row>
    <row r="19" spans="1:12">
      <c r="A19" s="45">
        <v>43483</v>
      </c>
      <c r="B19" s="2" t="s">
        <v>396</v>
      </c>
      <c r="C19" s="2">
        <v>2019</v>
      </c>
      <c r="D19" s="2" t="s">
        <v>390</v>
      </c>
      <c r="E19" s="2" t="s">
        <v>385</v>
      </c>
      <c r="F19" s="2" t="s">
        <v>469</v>
      </c>
      <c r="G19" s="83">
        <v>645</v>
      </c>
      <c r="H19" s="2">
        <v>270</v>
      </c>
      <c r="I19" s="2" t="s">
        <v>383</v>
      </c>
      <c r="J19" s="2">
        <v>13500</v>
      </c>
      <c r="K19" s="2">
        <v>675</v>
      </c>
      <c r="L19" s="21">
        <v>12825</v>
      </c>
    </row>
    <row r="20" spans="1:12">
      <c r="A20" s="45">
        <v>43484</v>
      </c>
      <c r="B20" s="2" t="s">
        <v>397</v>
      </c>
      <c r="C20" s="2">
        <v>2019</v>
      </c>
      <c r="D20" s="2" t="s">
        <v>381</v>
      </c>
      <c r="E20" s="2" t="s">
        <v>387</v>
      </c>
      <c r="F20" s="2" t="s">
        <v>470</v>
      </c>
      <c r="G20" s="83">
        <v>423</v>
      </c>
      <c r="H20" s="2">
        <v>280</v>
      </c>
      <c r="I20" s="2" t="s">
        <v>383</v>
      </c>
      <c r="J20" s="2">
        <v>40600</v>
      </c>
      <c r="K20" s="2">
        <v>2030</v>
      </c>
      <c r="L20" s="21">
        <v>38570</v>
      </c>
    </row>
    <row r="21" spans="1:12">
      <c r="A21" s="45">
        <v>43485</v>
      </c>
      <c r="B21" s="2" t="s">
        <v>398</v>
      </c>
      <c r="C21" s="2">
        <v>2019</v>
      </c>
      <c r="D21" s="2" t="s">
        <v>384</v>
      </c>
      <c r="E21" s="2" t="s">
        <v>388</v>
      </c>
      <c r="F21" s="2" t="s">
        <v>471</v>
      </c>
      <c r="G21" s="83">
        <v>576</v>
      </c>
      <c r="H21" s="2">
        <v>290</v>
      </c>
      <c r="I21" s="2" t="s">
        <v>383</v>
      </c>
      <c r="J21" s="2">
        <v>18850</v>
      </c>
      <c r="K21" s="2">
        <v>942.5</v>
      </c>
      <c r="L21" s="21">
        <v>17907.5</v>
      </c>
    </row>
    <row r="22" spans="1:12">
      <c r="A22" s="45">
        <v>43486</v>
      </c>
      <c r="B22" s="2" t="s">
        <v>399</v>
      </c>
      <c r="C22" s="2">
        <v>2019</v>
      </c>
      <c r="D22" s="2" t="s">
        <v>386</v>
      </c>
      <c r="E22" s="2" t="s">
        <v>382</v>
      </c>
      <c r="F22" s="2" t="s">
        <v>472</v>
      </c>
      <c r="G22" s="83">
        <v>134</v>
      </c>
      <c r="H22" s="2">
        <v>300</v>
      </c>
      <c r="I22" s="2" t="s">
        <v>383</v>
      </c>
      <c r="J22" s="2">
        <v>40200</v>
      </c>
      <c r="K22" s="2">
        <v>2010</v>
      </c>
      <c r="L22" s="21">
        <v>38190</v>
      </c>
    </row>
    <row r="23" spans="1:12">
      <c r="A23" s="45">
        <v>43487</v>
      </c>
      <c r="B23" s="2" t="s">
        <v>400</v>
      </c>
      <c r="C23" s="2">
        <v>2019</v>
      </c>
      <c r="D23" s="2" t="s">
        <v>386</v>
      </c>
      <c r="E23" s="2" t="s">
        <v>385</v>
      </c>
      <c r="F23" s="2" t="s">
        <v>473</v>
      </c>
      <c r="G23" s="83">
        <v>645</v>
      </c>
      <c r="H23" s="2">
        <v>310</v>
      </c>
      <c r="I23" s="2" t="s">
        <v>383</v>
      </c>
      <c r="J23" s="2">
        <v>31310</v>
      </c>
      <c r="K23" s="2">
        <v>1565.5</v>
      </c>
      <c r="L23" s="21">
        <v>29744.5</v>
      </c>
    </row>
    <row r="24" spans="1:12">
      <c r="A24" s="45">
        <v>43488</v>
      </c>
      <c r="B24" s="2" t="s">
        <v>401</v>
      </c>
      <c r="C24" s="2">
        <v>2019</v>
      </c>
      <c r="D24" s="2" t="s">
        <v>389</v>
      </c>
      <c r="E24" s="2" t="s">
        <v>387</v>
      </c>
      <c r="F24" s="2" t="s">
        <v>474</v>
      </c>
      <c r="G24" s="83">
        <v>354</v>
      </c>
      <c r="H24" s="2">
        <v>320</v>
      </c>
      <c r="I24" s="2" t="s">
        <v>383</v>
      </c>
      <c r="J24" s="2">
        <v>26560</v>
      </c>
      <c r="K24" s="2">
        <v>1328</v>
      </c>
      <c r="L24" s="21">
        <v>25232</v>
      </c>
    </row>
    <row r="25" spans="1:12">
      <c r="A25" s="45">
        <v>43831</v>
      </c>
      <c r="B25" s="2" t="s">
        <v>402</v>
      </c>
      <c r="C25" s="2">
        <v>2020</v>
      </c>
      <c r="D25" s="2" t="s">
        <v>381</v>
      </c>
      <c r="E25" s="2" t="s">
        <v>382</v>
      </c>
      <c r="F25" s="2" t="s">
        <v>475</v>
      </c>
      <c r="G25" s="83">
        <v>135</v>
      </c>
      <c r="H25" s="2">
        <v>100</v>
      </c>
      <c r="I25" s="2" t="s">
        <v>383</v>
      </c>
      <c r="J25" s="2">
        <v>13500</v>
      </c>
      <c r="K25" s="2">
        <v>675</v>
      </c>
      <c r="L25" s="21">
        <v>12825</v>
      </c>
    </row>
    <row r="26" spans="1:12">
      <c r="A26" s="45">
        <v>43832</v>
      </c>
      <c r="B26" s="2" t="s">
        <v>391</v>
      </c>
      <c r="C26" s="2">
        <v>2020</v>
      </c>
      <c r="D26" s="2" t="s">
        <v>384</v>
      </c>
      <c r="E26" s="2" t="s">
        <v>385</v>
      </c>
      <c r="F26" s="2" t="s">
        <v>476</v>
      </c>
      <c r="G26" s="83">
        <v>879</v>
      </c>
      <c r="H26" s="2">
        <v>110</v>
      </c>
      <c r="I26" s="2" t="s">
        <v>383</v>
      </c>
      <c r="J26" s="2">
        <v>7810</v>
      </c>
      <c r="K26" s="2">
        <v>390.5</v>
      </c>
      <c r="L26" s="21">
        <v>7419.5</v>
      </c>
    </row>
    <row r="27" spans="1:12">
      <c r="A27" s="45">
        <v>43833</v>
      </c>
      <c r="B27" s="2" t="s">
        <v>392</v>
      </c>
      <c r="C27" s="2">
        <v>2020</v>
      </c>
      <c r="D27" s="2" t="s">
        <v>386</v>
      </c>
      <c r="E27" s="2" t="s">
        <v>387</v>
      </c>
      <c r="F27" s="2" t="s">
        <v>477</v>
      </c>
      <c r="G27" s="83">
        <v>757</v>
      </c>
      <c r="H27" s="2">
        <v>120</v>
      </c>
      <c r="I27" s="2" t="s">
        <v>383</v>
      </c>
      <c r="J27" s="2">
        <v>10680</v>
      </c>
      <c r="K27" s="2">
        <v>534</v>
      </c>
      <c r="L27" s="21">
        <v>10146</v>
      </c>
    </row>
    <row r="28" spans="1:12">
      <c r="A28" s="45">
        <v>43834</v>
      </c>
      <c r="B28" s="2" t="s">
        <v>393</v>
      </c>
      <c r="C28" s="2">
        <v>2020</v>
      </c>
      <c r="D28" s="2" t="s">
        <v>386</v>
      </c>
      <c r="E28" s="2" t="s">
        <v>388</v>
      </c>
      <c r="F28" s="2" t="s">
        <v>478</v>
      </c>
      <c r="G28" s="83">
        <v>868</v>
      </c>
      <c r="H28" s="2">
        <v>130</v>
      </c>
      <c r="I28" s="2" t="s">
        <v>383</v>
      </c>
      <c r="J28" s="2">
        <v>6500</v>
      </c>
      <c r="K28" s="2">
        <v>325</v>
      </c>
      <c r="L28" s="21">
        <v>6175</v>
      </c>
    </row>
    <row r="29" spans="1:12">
      <c r="A29" s="45">
        <v>43835</v>
      </c>
      <c r="B29" s="2" t="s">
        <v>394</v>
      </c>
      <c r="C29" s="2">
        <v>2020</v>
      </c>
      <c r="D29" s="2" t="s">
        <v>389</v>
      </c>
      <c r="E29" s="2" t="s">
        <v>382</v>
      </c>
      <c r="F29" s="2" t="s">
        <v>479</v>
      </c>
      <c r="G29" s="83">
        <v>766</v>
      </c>
      <c r="H29" s="2">
        <v>140</v>
      </c>
      <c r="I29" s="2" t="s">
        <v>383</v>
      </c>
      <c r="J29" s="2">
        <v>17360</v>
      </c>
      <c r="K29" s="2">
        <v>868</v>
      </c>
      <c r="L29" s="21">
        <v>16492</v>
      </c>
    </row>
    <row r="30" spans="1:12">
      <c r="A30" s="45">
        <v>43836</v>
      </c>
      <c r="B30" s="2" t="s">
        <v>395</v>
      </c>
      <c r="C30" s="2">
        <v>2020</v>
      </c>
      <c r="D30" s="2" t="s">
        <v>390</v>
      </c>
      <c r="E30" s="2" t="s">
        <v>385</v>
      </c>
      <c r="F30" s="2" t="s">
        <v>480</v>
      </c>
      <c r="G30" s="83">
        <v>543</v>
      </c>
      <c r="H30" s="2">
        <v>150</v>
      </c>
      <c r="I30" s="2" t="s">
        <v>383</v>
      </c>
      <c r="J30" s="2">
        <v>19350</v>
      </c>
      <c r="K30" s="2">
        <v>967.5</v>
      </c>
      <c r="L30" s="21">
        <v>18382.5</v>
      </c>
    </row>
    <row r="31" spans="1:12">
      <c r="A31" s="45">
        <v>43837</v>
      </c>
      <c r="B31" s="2" t="s">
        <v>396</v>
      </c>
      <c r="C31" s="2">
        <v>2020</v>
      </c>
      <c r="D31" s="2" t="s">
        <v>390</v>
      </c>
      <c r="E31" s="2" t="s">
        <v>387</v>
      </c>
      <c r="F31" s="2" t="s">
        <v>481</v>
      </c>
      <c r="G31" s="83">
        <v>674</v>
      </c>
      <c r="H31" s="2">
        <v>160</v>
      </c>
      <c r="I31" s="2" t="s">
        <v>383</v>
      </c>
      <c r="J31" s="2">
        <v>19680</v>
      </c>
      <c r="K31" s="2">
        <v>984</v>
      </c>
      <c r="L31" s="21">
        <v>18696</v>
      </c>
    </row>
    <row r="32" spans="1:12">
      <c r="A32" s="45">
        <v>43838</v>
      </c>
      <c r="B32" s="2" t="s">
        <v>397</v>
      </c>
      <c r="C32" s="2">
        <v>2020</v>
      </c>
      <c r="D32" s="2" t="s">
        <v>390</v>
      </c>
      <c r="E32" s="2" t="s">
        <v>388</v>
      </c>
      <c r="F32" s="2" t="s">
        <v>482</v>
      </c>
      <c r="G32" s="83">
        <v>457</v>
      </c>
      <c r="H32" s="2">
        <v>170</v>
      </c>
      <c r="I32" s="2" t="s">
        <v>383</v>
      </c>
      <c r="J32" s="2">
        <v>24990</v>
      </c>
      <c r="K32" s="2">
        <v>1249.5</v>
      </c>
      <c r="L32" s="21">
        <v>23740.5</v>
      </c>
    </row>
    <row r="33" spans="1:12">
      <c r="A33" s="45">
        <v>43839</v>
      </c>
      <c r="B33" s="2" t="s">
        <v>398</v>
      </c>
      <c r="C33" s="2">
        <v>2020</v>
      </c>
      <c r="D33" s="2" t="s">
        <v>390</v>
      </c>
      <c r="E33" s="2" t="s">
        <v>382</v>
      </c>
      <c r="F33" s="2" t="s">
        <v>483</v>
      </c>
      <c r="G33" s="83">
        <v>434</v>
      </c>
      <c r="H33" s="2">
        <v>180</v>
      </c>
      <c r="I33" s="2" t="s">
        <v>383</v>
      </c>
      <c r="J33" s="2">
        <v>26100</v>
      </c>
      <c r="K33" s="2">
        <v>1305</v>
      </c>
      <c r="L33" s="21">
        <v>24795</v>
      </c>
    </row>
    <row r="34" spans="1:12">
      <c r="A34" s="45">
        <v>43840</v>
      </c>
      <c r="B34" s="2" t="s">
        <v>399</v>
      </c>
      <c r="C34" s="2">
        <v>2020</v>
      </c>
      <c r="D34" s="2" t="s">
        <v>381</v>
      </c>
      <c r="E34" s="2" t="s">
        <v>385</v>
      </c>
      <c r="F34" s="2" t="s">
        <v>484</v>
      </c>
      <c r="G34" s="83">
        <v>255</v>
      </c>
      <c r="H34" s="2">
        <v>190</v>
      </c>
      <c r="I34" s="2" t="s">
        <v>383</v>
      </c>
      <c r="J34" s="2">
        <v>25080</v>
      </c>
      <c r="K34" s="2">
        <v>1254</v>
      </c>
      <c r="L34" s="21">
        <v>23826</v>
      </c>
    </row>
    <row r="35" spans="1:12">
      <c r="A35" s="45">
        <v>43841</v>
      </c>
      <c r="B35" s="2" t="s">
        <v>400</v>
      </c>
      <c r="C35" s="2">
        <v>2020</v>
      </c>
      <c r="D35" s="2" t="s">
        <v>384</v>
      </c>
      <c r="E35" s="2" t="s">
        <v>387</v>
      </c>
      <c r="F35" s="2" t="s">
        <v>485</v>
      </c>
      <c r="G35" s="83">
        <v>334</v>
      </c>
      <c r="H35" s="2">
        <v>200</v>
      </c>
      <c r="I35" s="2" t="s">
        <v>383</v>
      </c>
      <c r="J35" s="2">
        <v>15400</v>
      </c>
      <c r="K35" s="2">
        <v>770</v>
      </c>
      <c r="L35" s="21">
        <v>14630</v>
      </c>
    </row>
    <row r="36" spans="1:12">
      <c r="A36" s="45">
        <v>43842</v>
      </c>
      <c r="B36" s="2" t="s">
        <v>401</v>
      </c>
      <c r="C36" s="2">
        <v>2020</v>
      </c>
      <c r="D36" s="2" t="s">
        <v>386</v>
      </c>
      <c r="E36" s="2" t="s">
        <v>388</v>
      </c>
      <c r="F36" s="2" t="s">
        <v>486</v>
      </c>
      <c r="G36" s="83">
        <v>252</v>
      </c>
      <c r="H36" s="2">
        <v>210</v>
      </c>
      <c r="I36" s="2" t="s">
        <v>383</v>
      </c>
      <c r="J36" s="2">
        <v>23730</v>
      </c>
      <c r="K36" s="2">
        <v>1186.5</v>
      </c>
      <c r="L36" s="21">
        <v>22543.5</v>
      </c>
    </row>
    <row r="37" spans="1:12">
      <c r="A37" s="45">
        <v>43843</v>
      </c>
      <c r="B37" s="2" t="s">
        <v>402</v>
      </c>
      <c r="C37" s="2">
        <v>2020</v>
      </c>
      <c r="D37" s="2" t="s">
        <v>386</v>
      </c>
      <c r="E37" s="2" t="s">
        <v>382</v>
      </c>
      <c r="F37" s="2" t="s">
        <v>487</v>
      </c>
      <c r="G37" s="83">
        <v>233</v>
      </c>
      <c r="H37" s="2">
        <v>220</v>
      </c>
      <c r="I37" s="2" t="s">
        <v>383</v>
      </c>
      <c r="J37" s="2">
        <v>15840</v>
      </c>
      <c r="K37" s="2">
        <v>792</v>
      </c>
      <c r="L37" s="21">
        <v>15048</v>
      </c>
    </row>
    <row r="38" spans="1:12">
      <c r="A38" s="45">
        <v>43844</v>
      </c>
      <c r="B38" s="2" t="s">
        <v>391</v>
      </c>
      <c r="C38" s="2">
        <v>2020</v>
      </c>
      <c r="D38" s="2" t="s">
        <v>389</v>
      </c>
      <c r="E38" s="2" t="s">
        <v>385</v>
      </c>
      <c r="F38" s="2" t="s">
        <v>488</v>
      </c>
      <c r="G38" s="83">
        <v>434</v>
      </c>
      <c r="H38" s="2">
        <v>230</v>
      </c>
      <c r="I38" s="2" t="s">
        <v>383</v>
      </c>
      <c r="J38" s="2">
        <v>32890</v>
      </c>
      <c r="K38" s="2">
        <v>1644.5</v>
      </c>
      <c r="L38" s="21">
        <v>31245.5</v>
      </c>
    </row>
    <row r="39" spans="1:12">
      <c r="A39" s="45">
        <v>43845</v>
      </c>
      <c r="B39" s="2" t="s">
        <v>392</v>
      </c>
      <c r="C39" s="2">
        <v>2020</v>
      </c>
      <c r="D39" s="2" t="s">
        <v>390</v>
      </c>
      <c r="E39" s="2" t="s">
        <v>387</v>
      </c>
      <c r="F39" s="2" t="s">
        <v>489</v>
      </c>
      <c r="G39" s="83">
        <v>546</v>
      </c>
      <c r="H39" s="2">
        <v>240</v>
      </c>
      <c r="I39" s="2" t="s">
        <v>383</v>
      </c>
      <c r="J39" s="2">
        <v>22080</v>
      </c>
      <c r="K39" s="2">
        <v>1104</v>
      </c>
      <c r="L39" s="21">
        <v>20976</v>
      </c>
    </row>
    <row r="40" spans="1:12">
      <c r="A40" s="45">
        <v>43846</v>
      </c>
      <c r="B40" s="2" t="s">
        <v>393</v>
      </c>
      <c r="C40" s="2">
        <v>2020</v>
      </c>
      <c r="D40" s="2" t="s">
        <v>390</v>
      </c>
      <c r="E40" s="2" t="s">
        <v>388</v>
      </c>
      <c r="F40" s="2" t="s">
        <v>490</v>
      </c>
      <c r="G40" s="83">
        <v>766</v>
      </c>
      <c r="H40" s="2">
        <v>250</v>
      </c>
      <c r="I40" s="2" t="s">
        <v>383</v>
      </c>
      <c r="J40" s="2">
        <v>13750</v>
      </c>
      <c r="K40" s="2">
        <v>687.5</v>
      </c>
      <c r="L40" s="21">
        <v>13062.5</v>
      </c>
    </row>
    <row r="41" spans="1:12">
      <c r="A41" s="45">
        <v>43847</v>
      </c>
      <c r="B41" s="2" t="s">
        <v>394</v>
      </c>
      <c r="C41" s="2">
        <v>2020</v>
      </c>
      <c r="D41" s="2" t="s">
        <v>390</v>
      </c>
      <c r="E41" s="2" t="s">
        <v>382</v>
      </c>
      <c r="F41" s="2" t="s">
        <v>491</v>
      </c>
      <c r="G41" s="83">
        <v>876</v>
      </c>
      <c r="H41" s="2">
        <v>260</v>
      </c>
      <c r="I41" s="2" t="s">
        <v>383</v>
      </c>
      <c r="J41" s="2">
        <v>39000</v>
      </c>
      <c r="K41" s="2">
        <v>1950</v>
      </c>
      <c r="L41" s="21">
        <v>37050</v>
      </c>
    </row>
    <row r="42" spans="1:12">
      <c r="A42" s="45">
        <v>43848</v>
      </c>
      <c r="B42" s="2" t="s">
        <v>395</v>
      </c>
      <c r="C42" s="2">
        <v>2020</v>
      </c>
      <c r="D42" s="2" t="s">
        <v>390</v>
      </c>
      <c r="E42" s="2" t="s">
        <v>385</v>
      </c>
      <c r="F42" s="2" t="s">
        <v>492</v>
      </c>
      <c r="G42" s="83">
        <v>644</v>
      </c>
      <c r="H42" s="2">
        <v>270</v>
      </c>
      <c r="I42" s="2" t="s">
        <v>383</v>
      </c>
      <c r="J42" s="2">
        <v>13500</v>
      </c>
      <c r="K42" s="2">
        <v>675</v>
      </c>
      <c r="L42" s="21">
        <v>12825</v>
      </c>
    </row>
    <row r="43" spans="1:12">
      <c r="A43" s="45">
        <v>43849</v>
      </c>
      <c r="B43" s="2" t="s">
        <v>396</v>
      </c>
      <c r="C43" s="2">
        <v>2020</v>
      </c>
      <c r="D43" s="2" t="s">
        <v>381</v>
      </c>
      <c r="E43" s="2" t="s">
        <v>387</v>
      </c>
      <c r="F43" s="2" t="s">
        <v>493</v>
      </c>
      <c r="G43" s="83">
        <v>145</v>
      </c>
      <c r="H43" s="2">
        <v>280</v>
      </c>
      <c r="I43" s="2" t="s">
        <v>383</v>
      </c>
      <c r="J43" s="2">
        <v>40600</v>
      </c>
      <c r="K43" s="2">
        <v>2030</v>
      </c>
      <c r="L43" s="21">
        <v>38570</v>
      </c>
    </row>
    <row r="44" spans="1:12">
      <c r="A44" s="45">
        <v>43850</v>
      </c>
      <c r="B44" s="2" t="s">
        <v>397</v>
      </c>
      <c r="C44" s="2">
        <v>2020</v>
      </c>
      <c r="D44" s="2" t="s">
        <v>384</v>
      </c>
      <c r="E44" s="2" t="s">
        <v>388</v>
      </c>
      <c r="F44" s="2" t="s">
        <v>494</v>
      </c>
      <c r="G44" s="83">
        <v>65</v>
      </c>
      <c r="H44" s="2">
        <v>290</v>
      </c>
      <c r="I44" s="2" t="s">
        <v>383</v>
      </c>
      <c r="J44" s="2">
        <v>18850</v>
      </c>
      <c r="K44" s="2">
        <v>942.5</v>
      </c>
      <c r="L44" s="21">
        <v>17907.5</v>
      </c>
    </row>
    <row r="45" spans="1:12">
      <c r="A45" s="45">
        <v>43851</v>
      </c>
      <c r="B45" s="2" t="s">
        <v>398</v>
      </c>
      <c r="C45" s="2">
        <v>2020</v>
      </c>
      <c r="D45" s="2" t="s">
        <v>386</v>
      </c>
      <c r="E45" s="2" t="s">
        <v>382</v>
      </c>
      <c r="F45" s="2" t="s">
        <v>495</v>
      </c>
      <c r="G45" s="83">
        <v>134</v>
      </c>
      <c r="H45" s="2">
        <v>300</v>
      </c>
      <c r="I45" s="2" t="s">
        <v>383</v>
      </c>
      <c r="J45" s="2">
        <v>40200</v>
      </c>
      <c r="K45" s="2">
        <v>2010</v>
      </c>
      <c r="L45" s="21">
        <v>38190</v>
      </c>
    </row>
    <row r="46" spans="1:12">
      <c r="A46" s="45">
        <v>43852</v>
      </c>
      <c r="B46" s="2" t="s">
        <v>399</v>
      </c>
      <c r="C46" s="2">
        <v>2020</v>
      </c>
      <c r="D46" s="2" t="s">
        <v>386</v>
      </c>
      <c r="E46" s="2" t="s">
        <v>385</v>
      </c>
      <c r="F46" s="2" t="s">
        <v>496</v>
      </c>
      <c r="G46" s="83">
        <v>101</v>
      </c>
      <c r="H46" s="2">
        <v>310</v>
      </c>
      <c r="I46" s="2" t="s">
        <v>383</v>
      </c>
      <c r="J46" s="2">
        <v>31310</v>
      </c>
      <c r="K46" s="2">
        <v>1565.5</v>
      </c>
      <c r="L46" s="21">
        <v>29744.5</v>
      </c>
    </row>
    <row r="47" spans="1:12">
      <c r="A47" s="45">
        <v>43853</v>
      </c>
      <c r="B47" s="2" t="s">
        <v>400</v>
      </c>
      <c r="C47" s="2">
        <v>2020</v>
      </c>
      <c r="D47" s="2" t="s">
        <v>389</v>
      </c>
      <c r="E47" s="2" t="s">
        <v>387</v>
      </c>
      <c r="F47" s="2" t="s">
        <v>497</v>
      </c>
      <c r="G47" s="83">
        <v>83</v>
      </c>
      <c r="H47" s="2">
        <v>320</v>
      </c>
      <c r="I47" s="2" t="s">
        <v>383</v>
      </c>
      <c r="J47" s="2">
        <v>26560</v>
      </c>
      <c r="K47" s="2">
        <v>1328</v>
      </c>
      <c r="L47" s="21">
        <v>25232</v>
      </c>
    </row>
    <row r="48" spans="1:12">
      <c r="A48" s="45">
        <v>44197</v>
      </c>
      <c r="B48" s="2" t="s">
        <v>401</v>
      </c>
      <c r="C48" s="2">
        <v>2021</v>
      </c>
      <c r="D48" s="2" t="s">
        <v>381</v>
      </c>
      <c r="E48" s="2" t="s">
        <v>382</v>
      </c>
      <c r="F48" s="2" t="s">
        <v>498</v>
      </c>
      <c r="G48" s="83">
        <v>135</v>
      </c>
      <c r="H48" s="2">
        <v>100</v>
      </c>
      <c r="I48" s="2" t="s">
        <v>383</v>
      </c>
      <c r="J48" s="2">
        <v>13500</v>
      </c>
      <c r="K48" s="2">
        <v>675</v>
      </c>
      <c r="L48" s="21">
        <v>12825</v>
      </c>
    </row>
    <row r="49" spans="1:12">
      <c r="A49" s="45">
        <v>44198</v>
      </c>
      <c r="B49" s="2" t="s">
        <v>402</v>
      </c>
      <c r="C49" s="2">
        <v>2021</v>
      </c>
      <c r="D49" s="2" t="s">
        <v>384</v>
      </c>
      <c r="E49" s="2" t="s">
        <v>385</v>
      </c>
      <c r="F49" s="2" t="s">
        <v>499</v>
      </c>
      <c r="G49" s="83">
        <v>71</v>
      </c>
      <c r="H49" s="2">
        <v>110</v>
      </c>
      <c r="I49" s="2" t="s">
        <v>383</v>
      </c>
      <c r="J49" s="2">
        <v>7810</v>
      </c>
      <c r="K49" s="2">
        <v>390.5</v>
      </c>
      <c r="L49" s="21">
        <v>7419.5</v>
      </c>
    </row>
    <row r="50" spans="1:12">
      <c r="A50" s="45">
        <v>44199</v>
      </c>
      <c r="B50" s="2" t="s">
        <v>391</v>
      </c>
      <c r="C50" s="2">
        <v>2021</v>
      </c>
      <c r="D50" s="2" t="s">
        <v>386</v>
      </c>
      <c r="E50" s="2" t="s">
        <v>387</v>
      </c>
      <c r="F50" s="2" t="s">
        <v>500</v>
      </c>
      <c r="G50" s="83">
        <v>89</v>
      </c>
      <c r="H50" s="2">
        <v>120</v>
      </c>
      <c r="I50" s="2" t="s">
        <v>383</v>
      </c>
      <c r="J50" s="2">
        <v>10680</v>
      </c>
      <c r="K50" s="2">
        <v>534</v>
      </c>
      <c r="L50" s="21">
        <v>10146</v>
      </c>
    </row>
    <row r="51" spans="1:12">
      <c r="A51" s="45">
        <v>44200</v>
      </c>
      <c r="B51" s="2" t="s">
        <v>392</v>
      </c>
      <c r="C51" s="2">
        <v>2021</v>
      </c>
      <c r="D51" s="2" t="s">
        <v>386</v>
      </c>
      <c r="E51" s="2" t="s">
        <v>388</v>
      </c>
      <c r="F51" s="2" t="s">
        <v>501</v>
      </c>
      <c r="G51" s="83">
        <v>50</v>
      </c>
      <c r="H51" s="2">
        <v>130</v>
      </c>
      <c r="I51" s="2" t="s">
        <v>383</v>
      </c>
      <c r="J51" s="2">
        <v>6500</v>
      </c>
      <c r="K51" s="2">
        <v>325</v>
      </c>
      <c r="L51" s="21">
        <v>6175</v>
      </c>
    </row>
    <row r="52" spans="1:12">
      <c r="A52" s="45">
        <v>44201</v>
      </c>
      <c r="B52" s="2" t="s">
        <v>393</v>
      </c>
      <c r="C52" s="2">
        <v>2021</v>
      </c>
      <c r="D52" s="2" t="s">
        <v>389</v>
      </c>
      <c r="E52" s="2" t="s">
        <v>382</v>
      </c>
      <c r="F52" s="2" t="s">
        <v>502</v>
      </c>
      <c r="G52" s="83">
        <v>124</v>
      </c>
      <c r="H52" s="2">
        <v>140</v>
      </c>
      <c r="I52" s="2" t="s">
        <v>383</v>
      </c>
      <c r="J52" s="2">
        <v>17360</v>
      </c>
      <c r="K52" s="2">
        <v>868</v>
      </c>
      <c r="L52" s="21">
        <v>16492</v>
      </c>
    </row>
    <row r="53" spans="1:12">
      <c r="A53" s="45">
        <v>44202</v>
      </c>
      <c r="B53" s="2" t="s">
        <v>394</v>
      </c>
      <c r="C53" s="2">
        <v>2021</v>
      </c>
      <c r="D53" s="2" t="s">
        <v>390</v>
      </c>
      <c r="E53" s="2" t="s">
        <v>385</v>
      </c>
      <c r="F53" s="2" t="s">
        <v>503</v>
      </c>
      <c r="G53" s="83">
        <v>129</v>
      </c>
      <c r="H53" s="2">
        <v>150</v>
      </c>
      <c r="I53" s="2" t="s">
        <v>383</v>
      </c>
      <c r="J53" s="2">
        <v>19350</v>
      </c>
      <c r="K53" s="2">
        <v>967.5</v>
      </c>
      <c r="L53" s="21">
        <v>18382.5</v>
      </c>
    </row>
    <row r="54" spans="1:12">
      <c r="A54" s="45">
        <v>44203</v>
      </c>
      <c r="B54" s="2" t="s">
        <v>395</v>
      </c>
      <c r="C54" s="2">
        <v>2021</v>
      </c>
      <c r="D54" s="2" t="s">
        <v>390</v>
      </c>
      <c r="E54" s="2" t="s">
        <v>387</v>
      </c>
      <c r="F54" s="2" t="s">
        <v>504</v>
      </c>
      <c r="G54" s="83">
        <v>123</v>
      </c>
      <c r="H54" s="2">
        <v>160</v>
      </c>
      <c r="I54" s="2" t="s">
        <v>383</v>
      </c>
      <c r="J54" s="2">
        <v>19680</v>
      </c>
      <c r="K54" s="2">
        <v>984</v>
      </c>
      <c r="L54" s="21">
        <v>18696</v>
      </c>
    </row>
    <row r="55" spans="1:12">
      <c r="A55" s="45">
        <v>44204</v>
      </c>
      <c r="B55" s="2" t="s">
        <v>396</v>
      </c>
      <c r="C55" s="2">
        <v>2021</v>
      </c>
      <c r="D55" s="2" t="s">
        <v>390</v>
      </c>
      <c r="E55" s="2" t="s">
        <v>388</v>
      </c>
      <c r="F55" s="2" t="s">
        <v>505</v>
      </c>
      <c r="G55" s="83">
        <v>147</v>
      </c>
      <c r="H55" s="2">
        <v>170</v>
      </c>
      <c r="I55" s="2" t="s">
        <v>383</v>
      </c>
      <c r="J55" s="2">
        <v>24990</v>
      </c>
      <c r="K55" s="2">
        <v>1249.5</v>
      </c>
      <c r="L55" s="21">
        <v>23740.5</v>
      </c>
    </row>
    <row r="56" spans="1:12">
      <c r="A56" s="45">
        <v>44205</v>
      </c>
      <c r="B56" s="2" t="s">
        <v>397</v>
      </c>
      <c r="C56" s="2">
        <v>2021</v>
      </c>
      <c r="D56" s="2" t="s">
        <v>390</v>
      </c>
      <c r="E56" s="2" t="s">
        <v>382</v>
      </c>
      <c r="F56" s="2" t="s">
        <v>506</v>
      </c>
      <c r="G56" s="83">
        <v>145</v>
      </c>
      <c r="H56" s="2">
        <v>180</v>
      </c>
      <c r="I56" s="2" t="s">
        <v>383</v>
      </c>
      <c r="J56" s="2">
        <v>26100</v>
      </c>
      <c r="K56" s="2">
        <v>1305</v>
      </c>
      <c r="L56" s="21">
        <v>24795</v>
      </c>
    </row>
    <row r="57" spans="1:12">
      <c r="A57" s="45">
        <v>44206</v>
      </c>
      <c r="B57" s="2" t="s">
        <v>398</v>
      </c>
      <c r="C57" s="2">
        <v>2021</v>
      </c>
      <c r="D57" s="2" t="s">
        <v>381</v>
      </c>
      <c r="E57" s="2" t="s">
        <v>385</v>
      </c>
      <c r="F57" s="2" t="s">
        <v>507</v>
      </c>
      <c r="G57" s="83">
        <v>132</v>
      </c>
      <c r="H57" s="2">
        <v>190</v>
      </c>
      <c r="I57" s="2" t="s">
        <v>383</v>
      </c>
      <c r="J57" s="2">
        <v>25080</v>
      </c>
      <c r="K57" s="2">
        <v>1254</v>
      </c>
      <c r="L57" s="21">
        <v>23826</v>
      </c>
    </row>
    <row r="58" spans="1:12">
      <c r="A58" s="45">
        <v>44207</v>
      </c>
      <c r="B58" s="2" t="s">
        <v>399</v>
      </c>
      <c r="C58" s="2">
        <v>2021</v>
      </c>
      <c r="D58" s="2" t="s">
        <v>384</v>
      </c>
      <c r="E58" s="2" t="s">
        <v>387</v>
      </c>
      <c r="F58" s="2" t="s">
        <v>508</v>
      </c>
      <c r="G58" s="83">
        <v>77</v>
      </c>
      <c r="H58" s="2">
        <v>200</v>
      </c>
      <c r="I58" s="2" t="s">
        <v>383</v>
      </c>
      <c r="J58" s="2">
        <v>15400</v>
      </c>
      <c r="K58" s="2">
        <v>770</v>
      </c>
      <c r="L58" s="21">
        <v>14630</v>
      </c>
    </row>
    <row r="59" spans="1:12">
      <c r="A59" s="45">
        <v>44208</v>
      </c>
      <c r="B59" s="2" t="s">
        <v>400</v>
      </c>
      <c r="C59" s="2">
        <v>2021</v>
      </c>
      <c r="D59" s="2" t="s">
        <v>386</v>
      </c>
      <c r="E59" s="2" t="s">
        <v>388</v>
      </c>
      <c r="F59" s="2" t="s">
        <v>509</v>
      </c>
      <c r="G59" s="83">
        <v>113</v>
      </c>
      <c r="H59" s="2">
        <v>210</v>
      </c>
      <c r="I59" s="2" t="s">
        <v>383</v>
      </c>
      <c r="J59" s="2">
        <v>23730</v>
      </c>
      <c r="K59" s="2">
        <v>1186.5</v>
      </c>
      <c r="L59" s="21">
        <v>22543.5</v>
      </c>
    </row>
    <row r="60" spans="1:12">
      <c r="A60" s="45">
        <v>44209</v>
      </c>
      <c r="B60" s="2" t="s">
        <v>401</v>
      </c>
      <c r="C60" s="2">
        <v>2021</v>
      </c>
      <c r="D60" s="2" t="s">
        <v>386</v>
      </c>
      <c r="E60" s="2" t="s">
        <v>382</v>
      </c>
      <c r="F60" s="2" t="s">
        <v>510</v>
      </c>
      <c r="G60" s="83">
        <v>72</v>
      </c>
      <c r="H60" s="2">
        <v>220</v>
      </c>
      <c r="I60" s="2" t="s">
        <v>383</v>
      </c>
      <c r="J60" s="2">
        <v>15840</v>
      </c>
      <c r="K60" s="2">
        <v>792</v>
      </c>
      <c r="L60" s="21">
        <v>15048</v>
      </c>
    </row>
    <row r="61" spans="1:12">
      <c r="A61" s="45">
        <v>44210</v>
      </c>
      <c r="B61" s="2" t="s">
        <v>402</v>
      </c>
      <c r="C61" s="2">
        <v>2021</v>
      </c>
      <c r="D61" s="2" t="s">
        <v>389</v>
      </c>
      <c r="E61" s="2" t="s">
        <v>385</v>
      </c>
      <c r="F61" s="2" t="s">
        <v>511</v>
      </c>
      <c r="G61" s="83">
        <v>143</v>
      </c>
      <c r="H61" s="2">
        <v>230</v>
      </c>
      <c r="I61" s="2" t="s">
        <v>383</v>
      </c>
      <c r="J61" s="2">
        <v>32890</v>
      </c>
      <c r="K61" s="2">
        <v>1644.5</v>
      </c>
      <c r="L61" s="21">
        <v>31245.5</v>
      </c>
    </row>
    <row r="62" spans="1:12">
      <c r="A62" s="45">
        <v>44211</v>
      </c>
      <c r="B62" s="2" t="s">
        <v>391</v>
      </c>
      <c r="C62" s="2">
        <v>2021</v>
      </c>
      <c r="D62" s="2" t="s">
        <v>390</v>
      </c>
      <c r="E62" s="2" t="s">
        <v>387</v>
      </c>
      <c r="F62" s="2" t="s">
        <v>512</v>
      </c>
      <c r="G62" s="83">
        <v>92</v>
      </c>
      <c r="H62" s="2">
        <v>240</v>
      </c>
      <c r="I62" s="2" t="s">
        <v>383</v>
      </c>
      <c r="J62" s="2">
        <v>22080</v>
      </c>
      <c r="K62" s="2">
        <v>1104</v>
      </c>
      <c r="L62" s="21">
        <v>20976</v>
      </c>
    </row>
    <row r="63" spans="1:12">
      <c r="A63" s="45">
        <v>44212</v>
      </c>
      <c r="B63" s="2" t="s">
        <v>392</v>
      </c>
      <c r="C63" s="2">
        <v>2021</v>
      </c>
      <c r="D63" s="2" t="s">
        <v>390</v>
      </c>
      <c r="E63" s="2" t="s">
        <v>388</v>
      </c>
      <c r="F63" s="2" t="s">
        <v>513</v>
      </c>
      <c r="G63" s="83">
        <v>55</v>
      </c>
      <c r="H63" s="2">
        <v>250</v>
      </c>
      <c r="I63" s="2" t="s">
        <v>383</v>
      </c>
      <c r="J63" s="2">
        <v>13750</v>
      </c>
      <c r="K63" s="2">
        <v>687.5</v>
      </c>
      <c r="L63" s="21">
        <v>13062.5</v>
      </c>
    </row>
    <row r="64" spans="1:12">
      <c r="A64" s="45">
        <v>44213</v>
      </c>
      <c r="B64" s="2" t="s">
        <v>393</v>
      </c>
      <c r="C64" s="2">
        <v>2021</v>
      </c>
      <c r="D64" s="2" t="s">
        <v>390</v>
      </c>
      <c r="E64" s="2" t="s">
        <v>382</v>
      </c>
      <c r="F64" s="2" t="s">
        <v>514</v>
      </c>
      <c r="G64" s="83">
        <v>150</v>
      </c>
      <c r="H64" s="2">
        <v>260</v>
      </c>
      <c r="I64" s="2" t="s">
        <v>383</v>
      </c>
      <c r="J64" s="2">
        <v>39000</v>
      </c>
      <c r="K64" s="2">
        <v>1950</v>
      </c>
      <c r="L64" s="21">
        <v>37050</v>
      </c>
    </row>
    <row r="65" spans="1:12">
      <c r="A65" s="45">
        <v>44214</v>
      </c>
      <c r="B65" s="2" t="s">
        <v>394</v>
      </c>
      <c r="C65" s="2">
        <v>2021</v>
      </c>
      <c r="D65" s="2" t="s">
        <v>390</v>
      </c>
      <c r="E65" s="2" t="s">
        <v>385</v>
      </c>
      <c r="F65" s="2" t="s">
        <v>515</v>
      </c>
      <c r="G65" s="83">
        <v>50</v>
      </c>
      <c r="H65" s="2">
        <v>270</v>
      </c>
      <c r="I65" s="2" t="s">
        <v>383</v>
      </c>
      <c r="J65" s="2">
        <v>13500</v>
      </c>
      <c r="K65" s="2">
        <v>675</v>
      </c>
      <c r="L65" s="21">
        <v>12825</v>
      </c>
    </row>
    <row r="66" spans="1:12">
      <c r="A66" s="45">
        <v>44215</v>
      </c>
      <c r="B66" s="2" t="s">
        <v>395</v>
      </c>
      <c r="C66" s="2">
        <v>2021</v>
      </c>
      <c r="D66" s="2" t="s">
        <v>381</v>
      </c>
      <c r="E66" s="2" t="s">
        <v>387</v>
      </c>
      <c r="F66" s="2" t="s">
        <v>516</v>
      </c>
      <c r="G66" s="83">
        <v>145</v>
      </c>
      <c r="H66" s="2">
        <v>280</v>
      </c>
      <c r="I66" s="2" t="s">
        <v>383</v>
      </c>
      <c r="J66" s="2">
        <v>40600</v>
      </c>
      <c r="K66" s="2">
        <v>2030</v>
      </c>
      <c r="L66" s="21">
        <v>38570</v>
      </c>
    </row>
    <row r="67" spans="1:12">
      <c r="A67" s="45">
        <v>44216</v>
      </c>
      <c r="B67" s="2" t="s">
        <v>396</v>
      </c>
      <c r="C67" s="2">
        <v>2021</v>
      </c>
      <c r="D67" s="2" t="s">
        <v>384</v>
      </c>
      <c r="E67" s="2" t="s">
        <v>388</v>
      </c>
      <c r="F67" s="2" t="s">
        <v>517</v>
      </c>
      <c r="G67" s="83">
        <v>65</v>
      </c>
      <c r="H67" s="2">
        <v>290</v>
      </c>
      <c r="I67" s="2" t="s">
        <v>383</v>
      </c>
      <c r="J67" s="2">
        <v>18850</v>
      </c>
      <c r="K67" s="2">
        <v>942.5</v>
      </c>
      <c r="L67" s="21">
        <v>17907.5</v>
      </c>
    </row>
    <row r="68" spans="1:12">
      <c r="A68" s="45">
        <v>44217</v>
      </c>
      <c r="B68" s="2" t="s">
        <v>397</v>
      </c>
      <c r="C68" s="2">
        <v>2021</v>
      </c>
      <c r="D68" s="2" t="s">
        <v>386</v>
      </c>
      <c r="E68" s="2" t="s">
        <v>382</v>
      </c>
      <c r="F68" s="2" t="s">
        <v>518</v>
      </c>
      <c r="G68" s="83">
        <v>134</v>
      </c>
      <c r="H68" s="2">
        <v>300</v>
      </c>
      <c r="I68" s="2" t="s">
        <v>383</v>
      </c>
      <c r="J68" s="2">
        <v>40200</v>
      </c>
      <c r="K68" s="2">
        <v>2010</v>
      </c>
      <c r="L68" s="21">
        <v>38190</v>
      </c>
    </row>
    <row r="69" spans="1:12">
      <c r="A69" s="45">
        <v>44218</v>
      </c>
      <c r="B69" s="2" t="s">
        <v>398</v>
      </c>
      <c r="C69" s="2">
        <v>2021</v>
      </c>
      <c r="D69" s="2" t="s">
        <v>386</v>
      </c>
      <c r="E69" s="2" t="s">
        <v>385</v>
      </c>
      <c r="F69" s="2" t="s">
        <v>519</v>
      </c>
      <c r="G69" s="83">
        <v>101</v>
      </c>
      <c r="H69" s="2">
        <v>310</v>
      </c>
      <c r="I69" s="2" t="s">
        <v>383</v>
      </c>
      <c r="J69" s="2">
        <v>31310</v>
      </c>
      <c r="K69" s="2">
        <v>1565.5</v>
      </c>
      <c r="L69" s="21">
        <v>29744.5</v>
      </c>
    </row>
    <row r="70" spans="1:12">
      <c r="A70" s="45">
        <v>44219</v>
      </c>
      <c r="B70" s="2" t="s">
        <v>399</v>
      </c>
      <c r="C70" s="2">
        <v>2021</v>
      </c>
      <c r="D70" s="2" t="s">
        <v>389</v>
      </c>
      <c r="E70" s="2" t="s">
        <v>387</v>
      </c>
      <c r="F70" s="2"/>
      <c r="G70" s="90">
        <v>83</v>
      </c>
      <c r="H70" s="91">
        <v>320</v>
      </c>
      <c r="I70" s="91" t="s">
        <v>383</v>
      </c>
      <c r="J70" s="91">
        <v>26560</v>
      </c>
      <c r="K70" s="91">
        <v>1328</v>
      </c>
      <c r="L70" s="109">
        <v>25232</v>
      </c>
    </row>
  </sheetData>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F826E-8C0A-4EAC-ABE0-F8814ADC302B}">
  <sheetPr>
    <tabColor rgb="FF00B0F0"/>
  </sheetPr>
  <dimension ref="A1:M22"/>
  <sheetViews>
    <sheetView zoomScaleNormal="100" workbookViewId="0">
      <selection activeCell="O1" sqref="O1"/>
    </sheetView>
  </sheetViews>
  <sheetFormatPr defaultColWidth="8.85546875" defaultRowHeight="15"/>
  <cols>
    <col min="1" max="1" width="25.28515625" style="76" customWidth="1"/>
    <col min="2" max="2" width="17.85546875" style="76" customWidth="1"/>
    <col min="3" max="11" width="8.85546875" style="76"/>
    <col min="12" max="12" width="17.28515625" style="76" customWidth="1"/>
    <col min="13" max="13" width="16.7109375" style="76" customWidth="1"/>
    <col min="14" max="16384" width="8.85546875" style="76"/>
  </cols>
  <sheetData>
    <row r="1" spans="1:13" ht="18.75">
      <c r="A1" s="129"/>
      <c r="B1" s="130"/>
      <c r="C1" s="130"/>
      <c r="D1" s="130"/>
      <c r="E1" s="130"/>
      <c r="F1" s="130"/>
      <c r="G1" s="130"/>
      <c r="H1" s="130"/>
      <c r="I1" s="130"/>
      <c r="J1" s="130"/>
      <c r="K1" s="130"/>
      <c r="L1" s="166" t="s">
        <v>521</v>
      </c>
      <c r="M1" s="166"/>
    </row>
    <row r="2" spans="1:13" ht="18" customHeight="1">
      <c r="A2" s="130"/>
      <c r="B2" s="167" t="s">
        <v>668</v>
      </c>
      <c r="C2" s="167"/>
      <c r="D2" s="167"/>
      <c r="E2" s="167"/>
      <c r="F2" s="167"/>
      <c r="G2" s="167"/>
      <c r="H2" s="167"/>
      <c r="I2" s="130"/>
      <c r="J2" s="130"/>
      <c r="K2" s="130"/>
      <c r="L2" s="137" t="s">
        <v>666</v>
      </c>
      <c r="M2" s="138">
        <v>1</v>
      </c>
    </row>
    <row r="3" spans="1:13" ht="21" customHeight="1">
      <c r="A3" s="130"/>
      <c r="B3" s="130"/>
      <c r="C3" s="130"/>
      <c r="D3" s="130"/>
      <c r="E3" s="139"/>
      <c r="F3" s="130"/>
      <c r="G3" s="130"/>
      <c r="H3" s="130"/>
      <c r="I3" s="130"/>
      <c r="J3" s="130"/>
      <c r="K3" s="130"/>
      <c r="L3" s="137" t="s">
        <v>667</v>
      </c>
      <c r="M3" s="138">
        <v>1</v>
      </c>
    </row>
    <row r="4" spans="1:13">
      <c r="A4" s="131"/>
      <c r="B4" s="131"/>
      <c r="C4" s="131"/>
      <c r="D4" s="131"/>
      <c r="E4" s="131"/>
      <c r="F4" s="131"/>
      <c r="G4" s="131"/>
      <c r="H4" s="131"/>
      <c r="I4" s="131"/>
      <c r="J4" s="131"/>
      <c r="K4" s="131"/>
      <c r="L4" s="131"/>
      <c r="M4" s="135"/>
    </row>
    <row r="5" spans="1:13">
      <c r="A5" s="131"/>
      <c r="B5" s="131"/>
      <c r="C5" s="131"/>
      <c r="D5" s="131"/>
      <c r="E5" s="131"/>
      <c r="F5" s="131"/>
      <c r="G5" s="131"/>
      <c r="H5" s="131"/>
      <c r="I5" s="131"/>
      <c r="J5" s="131"/>
      <c r="K5" s="131"/>
      <c r="L5" s="131"/>
      <c r="M5" s="135"/>
    </row>
    <row r="6" spans="1:13">
      <c r="A6" s="131"/>
      <c r="B6" s="131"/>
      <c r="C6" s="131"/>
      <c r="D6" s="131"/>
      <c r="E6" s="131"/>
      <c r="F6" s="131"/>
      <c r="G6" s="131"/>
      <c r="H6" s="131"/>
      <c r="I6" s="131"/>
      <c r="J6" s="131"/>
      <c r="K6" s="131"/>
      <c r="L6" s="131"/>
      <c r="M6" s="135"/>
    </row>
    <row r="7" spans="1:13">
      <c r="A7" s="131"/>
      <c r="B7" s="131"/>
      <c r="C7" s="131"/>
      <c r="D7" s="131"/>
      <c r="E7" s="131"/>
      <c r="F7" s="131"/>
      <c r="G7" s="131"/>
      <c r="H7" s="131"/>
      <c r="I7" s="131"/>
      <c r="J7" s="131"/>
      <c r="K7" s="131"/>
      <c r="L7" s="131"/>
      <c r="M7" s="135"/>
    </row>
    <row r="8" spans="1:13">
      <c r="A8" s="131"/>
      <c r="B8" s="131"/>
      <c r="C8" s="131"/>
      <c r="D8" s="131"/>
      <c r="E8" s="131"/>
      <c r="F8" s="131"/>
      <c r="G8" s="131"/>
      <c r="H8" s="131"/>
      <c r="I8" s="131"/>
      <c r="J8" s="131"/>
      <c r="K8" s="131"/>
      <c r="L8" s="131"/>
      <c r="M8" s="135"/>
    </row>
    <row r="9" spans="1:13">
      <c r="A9" s="131"/>
      <c r="B9" s="131"/>
      <c r="C9" s="131"/>
      <c r="D9" s="131"/>
      <c r="E9" s="131"/>
      <c r="F9" s="131"/>
      <c r="G9" s="131"/>
      <c r="H9" s="131"/>
      <c r="I9" s="131"/>
      <c r="J9" s="131"/>
      <c r="K9" s="131"/>
      <c r="L9" s="131"/>
      <c r="M9" s="135"/>
    </row>
    <row r="10" spans="1:13">
      <c r="A10" s="131"/>
      <c r="B10" s="131"/>
      <c r="C10" s="131"/>
      <c r="D10" s="131"/>
      <c r="E10" s="131"/>
      <c r="F10" s="131"/>
      <c r="G10" s="131"/>
      <c r="H10" s="131"/>
      <c r="I10" s="131"/>
      <c r="J10" s="131"/>
      <c r="K10" s="131"/>
      <c r="L10" s="131"/>
      <c r="M10" s="135"/>
    </row>
    <row r="11" spans="1:13">
      <c r="A11" s="131"/>
      <c r="B11" s="131"/>
      <c r="C11" s="131"/>
      <c r="D11" s="131"/>
      <c r="E11" s="131"/>
      <c r="F11" s="131"/>
      <c r="G11" s="131"/>
      <c r="H11" s="131"/>
      <c r="I11" s="131"/>
      <c r="J11" s="131"/>
      <c r="K11" s="131"/>
      <c r="L11" s="131"/>
      <c r="M11" s="135"/>
    </row>
    <row r="12" spans="1:13">
      <c r="A12" s="131"/>
      <c r="B12" s="131"/>
      <c r="C12" s="131"/>
      <c r="D12" s="131"/>
      <c r="E12" s="131"/>
      <c r="F12" s="131"/>
      <c r="G12" s="131"/>
      <c r="H12" s="131"/>
      <c r="I12" s="131"/>
      <c r="J12" s="131"/>
      <c r="K12" s="131"/>
      <c r="L12" s="131"/>
      <c r="M12" s="135"/>
    </row>
    <row r="13" spans="1:13">
      <c r="A13" s="131"/>
      <c r="B13" s="131"/>
      <c r="C13" s="131"/>
      <c r="D13" s="131"/>
      <c r="E13" s="131"/>
      <c r="F13" s="131"/>
      <c r="G13" s="131"/>
      <c r="H13" s="131"/>
      <c r="I13" s="131"/>
      <c r="J13" s="131"/>
      <c r="K13" s="131"/>
      <c r="L13" s="131"/>
      <c r="M13" s="135"/>
    </row>
    <row r="14" spans="1:13">
      <c r="A14" s="131"/>
      <c r="B14" s="131"/>
      <c r="C14" s="131"/>
      <c r="D14" s="131"/>
      <c r="E14" s="131"/>
      <c r="F14" s="131"/>
      <c r="G14" s="131"/>
      <c r="H14" s="131"/>
      <c r="I14" s="131"/>
      <c r="J14" s="131"/>
      <c r="K14" s="131"/>
      <c r="L14" s="131"/>
      <c r="M14" s="135"/>
    </row>
    <row r="15" spans="1:13">
      <c r="A15" s="131"/>
      <c r="B15" s="131"/>
      <c r="C15" s="131"/>
      <c r="D15" s="131"/>
      <c r="E15" s="131"/>
      <c r="F15" s="131"/>
      <c r="G15" s="131"/>
      <c r="H15" s="131"/>
      <c r="I15" s="131"/>
      <c r="J15" s="131"/>
      <c r="K15" s="131"/>
      <c r="L15" s="131"/>
      <c r="M15" s="135"/>
    </row>
    <row r="16" spans="1:13">
      <c r="A16" s="131"/>
      <c r="B16" s="131"/>
      <c r="C16" s="131"/>
      <c r="D16" s="131"/>
      <c r="E16" s="131"/>
      <c r="F16" s="131"/>
      <c r="G16" s="131"/>
      <c r="H16" s="131"/>
      <c r="I16" s="131"/>
      <c r="J16" s="131"/>
      <c r="K16" s="131"/>
      <c r="L16" s="131"/>
      <c r="M16" s="135"/>
    </row>
    <row r="17" spans="1:13">
      <c r="A17" s="131"/>
      <c r="B17" s="131"/>
      <c r="C17" s="131"/>
      <c r="D17" s="131"/>
      <c r="E17" s="131"/>
      <c r="F17" s="131"/>
      <c r="G17" s="131"/>
      <c r="H17" s="131"/>
      <c r="I17" s="131"/>
      <c r="J17" s="131"/>
      <c r="K17" s="131"/>
      <c r="L17" s="131"/>
      <c r="M17" s="135"/>
    </row>
    <row r="18" spans="1:13">
      <c r="A18" s="131"/>
      <c r="B18" s="131"/>
      <c r="C18" s="131"/>
      <c r="D18" s="131"/>
      <c r="E18" s="131"/>
      <c r="F18" s="131"/>
      <c r="G18" s="131"/>
      <c r="H18" s="131"/>
      <c r="I18" s="131"/>
      <c r="J18" s="131"/>
      <c r="K18" s="131"/>
      <c r="L18" s="131"/>
      <c r="M18" s="135"/>
    </row>
    <row r="19" spans="1:13" ht="23.25">
      <c r="A19" s="132"/>
      <c r="B19" s="132"/>
      <c r="C19" s="132"/>
      <c r="D19" s="133"/>
      <c r="E19" s="133"/>
      <c r="F19" s="133"/>
      <c r="G19" s="133"/>
      <c r="H19" s="133"/>
      <c r="I19" s="133"/>
      <c r="J19" s="133"/>
      <c r="K19" s="131"/>
      <c r="L19" s="131"/>
      <c r="M19" s="135"/>
    </row>
    <row r="20" spans="1:13">
      <c r="A20" s="131"/>
      <c r="B20" s="131"/>
      <c r="C20" s="131"/>
      <c r="D20" s="131"/>
      <c r="E20" s="131"/>
      <c r="F20" s="131"/>
      <c r="G20" s="131"/>
      <c r="H20" s="131"/>
      <c r="I20" s="131"/>
      <c r="J20" s="131"/>
      <c r="K20" s="131"/>
      <c r="L20" s="131"/>
      <c r="M20" s="135"/>
    </row>
    <row r="21" spans="1:13">
      <c r="A21" s="131"/>
      <c r="B21" s="131"/>
      <c r="C21" s="131"/>
      <c r="D21" s="131"/>
      <c r="E21" s="131"/>
      <c r="F21" s="131"/>
      <c r="G21" s="131"/>
      <c r="H21" s="131"/>
      <c r="I21" s="131"/>
      <c r="J21" s="131"/>
      <c r="K21" s="131"/>
      <c r="L21" s="131"/>
      <c r="M21" s="135"/>
    </row>
    <row r="22" spans="1:13">
      <c r="A22" s="134"/>
      <c r="B22" s="134"/>
      <c r="C22" s="134"/>
      <c r="D22" s="134"/>
      <c r="E22" s="134"/>
      <c r="F22" s="134"/>
      <c r="G22" s="134"/>
      <c r="H22" s="134"/>
      <c r="I22" s="134"/>
      <c r="J22" s="134"/>
      <c r="K22" s="134"/>
      <c r="L22" s="134"/>
      <c r="M22" s="136"/>
    </row>
  </sheetData>
  <mergeCells count="2">
    <mergeCell ref="L1:M1"/>
    <mergeCell ref="B2:H2"/>
  </mergeCells>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779CC-E0F2-4529-A08D-84D4C89F7C30}">
  <sheetPr>
    <tabColor theme="5" tint="-0.249977111117893"/>
  </sheetPr>
  <dimension ref="A1:I71"/>
  <sheetViews>
    <sheetView workbookViewId="0">
      <selection activeCell="D9" sqref="D9"/>
    </sheetView>
  </sheetViews>
  <sheetFormatPr defaultRowHeight="15"/>
  <cols>
    <col min="1" max="1" width="10.28515625" customWidth="1"/>
    <col min="2" max="2" width="17.28515625" customWidth="1"/>
    <col min="3" max="3" width="12.7109375" customWidth="1"/>
    <col min="4" max="4" width="14.42578125" customWidth="1"/>
    <col min="5" max="5" width="21.42578125" customWidth="1"/>
    <col min="6" max="6" width="18.7109375" customWidth="1"/>
    <col min="7" max="7" width="21" customWidth="1"/>
  </cols>
  <sheetData>
    <row r="1" spans="1:9" ht="30" customHeight="1">
      <c r="A1" s="100" t="s">
        <v>522</v>
      </c>
      <c r="B1" s="100" t="s">
        <v>548</v>
      </c>
      <c r="C1" s="101" t="s">
        <v>549</v>
      </c>
      <c r="D1" s="101" t="s">
        <v>550</v>
      </c>
      <c r="E1" s="101" t="s">
        <v>551</v>
      </c>
      <c r="F1" s="101" t="s">
        <v>552</v>
      </c>
      <c r="G1" s="102" t="s">
        <v>553</v>
      </c>
    </row>
    <row r="2" spans="1:9">
      <c r="A2" s="98" t="s">
        <v>523</v>
      </c>
      <c r="B2" s="23">
        <v>13500</v>
      </c>
      <c r="C2" s="23">
        <f>B2*5%</f>
        <v>675</v>
      </c>
      <c r="D2" s="23">
        <f>B2*18%</f>
        <v>2430</v>
      </c>
      <c r="E2" s="23">
        <f>SUM(B2:D2)</f>
        <v>16605</v>
      </c>
      <c r="F2" s="23">
        <f>B2*12%</f>
        <v>1620</v>
      </c>
      <c r="G2" s="99">
        <f>E2-F2</f>
        <v>14985</v>
      </c>
    </row>
    <row r="3" spans="1:9">
      <c r="A3" s="98" t="s">
        <v>524</v>
      </c>
      <c r="B3" s="23">
        <v>7810</v>
      </c>
      <c r="C3" s="23">
        <f t="shared" ref="C3:C66" si="0">B3*5%</f>
        <v>390.5</v>
      </c>
      <c r="D3" s="23">
        <f t="shared" ref="D3:D66" si="1">B3*18%</f>
        <v>1405.8</v>
      </c>
      <c r="E3" s="23">
        <f t="shared" ref="E3:E66" si="2">SUM(B3:D3)</f>
        <v>9606.2999999999993</v>
      </c>
      <c r="F3" s="23">
        <f t="shared" ref="F3:F66" si="3">B3*12%</f>
        <v>937.19999999999993</v>
      </c>
      <c r="G3" s="99">
        <f t="shared" ref="G3:G66" si="4">E3-F3</f>
        <v>8669.0999999999985</v>
      </c>
    </row>
    <row r="4" spans="1:9">
      <c r="A4" s="98" t="s">
        <v>523</v>
      </c>
      <c r="B4" s="23">
        <v>10680</v>
      </c>
      <c r="C4" s="23">
        <f t="shared" si="0"/>
        <v>534</v>
      </c>
      <c r="D4" s="23">
        <f t="shared" si="1"/>
        <v>1922.3999999999999</v>
      </c>
      <c r="E4" s="23">
        <f t="shared" si="2"/>
        <v>13136.4</v>
      </c>
      <c r="F4" s="23">
        <f t="shared" si="3"/>
        <v>1281.5999999999999</v>
      </c>
      <c r="G4" s="99">
        <f t="shared" si="4"/>
        <v>11854.8</v>
      </c>
    </row>
    <row r="5" spans="1:9">
      <c r="A5" s="98" t="s">
        <v>525</v>
      </c>
      <c r="B5" s="23">
        <v>6500</v>
      </c>
      <c r="C5" s="23">
        <f t="shared" si="0"/>
        <v>325</v>
      </c>
      <c r="D5" s="23">
        <f t="shared" si="1"/>
        <v>1170</v>
      </c>
      <c r="E5" s="23">
        <f t="shared" si="2"/>
        <v>7995</v>
      </c>
      <c r="F5" s="23">
        <f t="shared" si="3"/>
        <v>780</v>
      </c>
      <c r="G5" s="99">
        <f t="shared" si="4"/>
        <v>7215</v>
      </c>
    </row>
    <row r="6" spans="1:9">
      <c r="A6" s="98" t="s">
        <v>525</v>
      </c>
      <c r="B6" s="23">
        <v>17360</v>
      </c>
      <c r="C6" s="23">
        <f t="shared" si="0"/>
        <v>868</v>
      </c>
      <c r="D6" s="23">
        <f t="shared" si="1"/>
        <v>3124.7999999999997</v>
      </c>
      <c r="E6" s="23">
        <f t="shared" si="2"/>
        <v>21352.799999999999</v>
      </c>
      <c r="F6" s="23">
        <f t="shared" si="3"/>
        <v>2083.1999999999998</v>
      </c>
      <c r="G6" s="99">
        <f t="shared" si="4"/>
        <v>19269.599999999999</v>
      </c>
    </row>
    <row r="7" spans="1:9">
      <c r="A7" s="98" t="s">
        <v>526</v>
      </c>
      <c r="B7" s="23">
        <v>19350</v>
      </c>
      <c r="C7" s="23">
        <f t="shared" si="0"/>
        <v>967.5</v>
      </c>
      <c r="D7" s="23">
        <f t="shared" si="1"/>
        <v>3483</v>
      </c>
      <c r="E7" s="23">
        <f t="shared" si="2"/>
        <v>23800.5</v>
      </c>
      <c r="F7" s="23">
        <f t="shared" si="3"/>
        <v>2322</v>
      </c>
      <c r="G7" s="99">
        <f t="shared" si="4"/>
        <v>21478.5</v>
      </c>
    </row>
    <row r="8" spans="1:9">
      <c r="A8" s="98" t="s">
        <v>527</v>
      </c>
      <c r="B8" s="23">
        <v>19680</v>
      </c>
      <c r="C8" s="23">
        <f t="shared" si="0"/>
        <v>984</v>
      </c>
      <c r="D8" s="23">
        <f t="shared" si="1"/>
        <v>3542.4</v>
      </c>
      <c r="E8" s="23">
        <f t="shared" si="2"/>
        <v>24206.400000000001</v>
      </c>
      <c r="F8" s="23">
        <f t="shared" si="3"/>
        <v>2361.6</v>
      </c>
      <c r="G8" s="99">
        <f t="shared" si="4"/>
        <v>21844.800000000003</v>
      </c>
      <c r="I8" s="97"/>
    </row>
    <row r="9" spans="1:9">
      <c r="A9" s="98" t="s">
        <v>528</v>
      </c>
      <c r="B9" s="23">
        <v>24990</v>
      </c>
      <c r="C9" s="23">
        <f t="shared" si="0"/>
        <v>1249.5</v>
      </c>
      <c r="D9" s="23">
        <f t="shared" si="1"/>
        <v>4498.2</v>
      </c>
      <c r="E9" s="23">
        <f t="shared" si="2"/>
        <v>30737.7</v>
      </c>
      <c r="F9" s="23">
        <f t="shared" si="3"/>
        <v>2998.7999999999997</v>
      </c>
      <c r="G9" s="99">
        <f t="shared" si="4"/>
        <v>27738.9</v>
      </c>
    </row>
    <row r="10" spans="1:9">
      <c r="A10" s="98" t="s">
        <v>528</v>
      </c>
      <c r="B10" s="23">
        <v>26100</v>
      </c>
      <c r="C10" s="23">
        <f t="shared" si="0"/>
        <v>1305</v>
      </c>
      <c r="D10" s="23">
        <f t="shared" si="1"/>
        <v>4698</v>
      </c>
      <c r="E10" s="23">
        <f t="shared" si="2"/>
        <v>32103</v>
      </c>
      <c r="F10" s="23">
        <f t="shared" si="3"/>
        <v>3132</v>
      </c>
      <c r="G10" s="99">
        <f t="shared" si="4"/>
        <v>28971</v>
      </c>
    </row>
    <row r="11" spans="1:9">
      <c r="A11" s="98" t="s">
        <v>529</v>
      </c>
      <c r="B11" s="23">
        <v>25080</v>
      </c>
      <c r="C11" s="23">
        <f t="shared" si="0"/>
        <v>1254</v>
      </c>
      <c r="D11" s="23">
        <f t="shared" si="1"/>
        <v>4514.3999999999996</v>
      </c>
      <c r="E11" s="23">
        <f t="shared" si="2"/>
        <v>30848.400000000001</v>
      </c>
      <c r="F11" s="23">
        <f t="shared" si="3"/>
        <v>3009.6</v>
      </c>
      <c r="G11" s="99">
        <f t="shared" si="4"/>
        <v>27838.800000000003</v>
      </c>
    </row>
    <row r="12" spans="1:9">
      <c r="A12" s="98" t="s">
        <v>529</v>
      </c>
      <c r="B12" s="23">
        <v>15400</v>
      </c>
      <c r="C12" s="23">
        <f t="shared" si="0"/>
        <v>770</v>
      </c>
      <c r="D12" s="23">
        <f t="shared" si="1"/>
        <v>2772</v>
      </c>
      <c r="E12" s="23">
        <f t="shared" si="2"/>
        <v>18942</v>
      </c>
      <c r="F12" s="23">
        <f t="shared" si="3"/>
        <v>1848</v>
      </c>
      <c r="G12" s="99">
        <f t="shared" si="4"/>
        <v>17094</v>
      </c>
    </row>
    <row r="13" spans="1:9">
      <c r="A13" s="98" t="s">
        <v>530</v>
      </c>
      <c r="B13" s="23">
        <v>23730</v>
      </c>
      <c r="C13" s="23">
        <f t="shared" si="0"/>
        <v>1186.5</v>
      </c>
      <c r="D13" s="23">
        <f t="shared" si="1"/>
        <v>4271.3999999999996</v>
      </c>
      <c r="E13" s="23">
        <f t="shared" si="2"/>
        <v>29187.9</v>
      </c>
      <c r="F13" s="23">
        <f t="shared" si="3"/>
        <v>2847.6</v>
      </c>
      <c r="G13" s="99">
        <f t="shared" si="4"/>
        <v>26340.300000000003</v>
      </c>
    </row>
    <row r="14" spans="1:9">
      <c r="A14" s="98" t="s">
        <v>531</v>
      </c>
      <c r="B14" s="23">
        <v>15840</v>
      </c>
      <c r="C14" s="23">
        <f t="shared" si="0"/>
        <v>792</v>
      </c>
      <c r="D14" s="23">
        <f t="shared" si="1"/>
        <v>2851.2</v>
      </c>
      <c r="E14" s="23">
        <f t="shared" si="2"/>
        <v>19483.2</v>
      </c>
      <c r="F14" s="23">
        <f t="shared" si="3"/>
        <v>1900.8</v>
      </c>
      <c r="G14" s="99">
        <f t="shared" si="4"/>
        <v>17582.400000000001</v>
      </c>
    </row>
    <row r="15" spans="1:9">
      <c r="A15" s="98" t="s">
        <v>532</v>
      </c>
      <c r="B15" s="23">
        <v>32890</v>
      </c>
      <c r="C15" s="23">
        <f t="shared" si="0"/>
        <v>1644.5</v>
      </c>
      <c r="D15" s="23">
        <f t="shared" si="1"/>
        <v>5920.2</v>
      </c>
      <c r="E15" s="23">
        <f t="shared" si="2"/>
        <v>40454.699999999997</v>
      </c>
      <c r="F15" s="23">
        <f t="shared" si="3"/>
        <v>3946.7999999999997</v>
      </c>
      <c r="G15" s="99">
        <f t="shared" si="4"/>
        <v>36507.899999999994</v>
      </c>
    </row>
    <row r="16" spans="1:9">
      <c r="A16" s="98" t="s">
        <v>533</v>
      </c>
      <c r="B16" s="23">
        <v>22080</v>
      </c>
      <c r="C16" s="23">
        <f t="shared" si="0"/>
        <v>1104</v>
      </c>
      <c r="D16" s="23">
        <f t="shared" si="1"/>
        <v>3974.3999999999996</v>
      </c>
      <c r="E16" s="23">
        <f t="shared" si="2"/>
        <v>27158.400000000001</v>
      </c>
      <c r="F16" s="23">
        <f t="shared" si="3"/>
        <v>2649.6</v>
      </c>
      <c r="G16" s="99">
        <f t="shared" si="4"/>
        <v>24508.800000000003</v>
      </c>
    </row>
    <row r="17" spans="1:7">
      <c r="A17" s="98" t="s">
        <v>533</v>
      </c>
      <c r="B17" s="23">
        <v>13750</v>
      </c>
      <c r="C17" s="23">
        <f t="shared" si="0"/>
        <v>687.5</v>
      </c>
      <c r="D17" s="23">
        <f t="shared" si="1"/>
        <v>2475</v>
      </c>
      <c r="E17" s="23">
        <f t="shared" si="2"/>
        <v>16912.5</v>
      </c>
      <c r="F17" s="23">
        <f t="shared" si="3"/>
        <v>1650</v>
      </c>
      <c r="G17" s="99">
        <f t="shared" si="4"/>
        <v>15262.5</v>
      </c>
    </row>
    <row r="18" spans="1:7">
      <c r="A18" s="98" t="s">
        <v>534</v>
      </c>
      <c r="B18" s="23">
        <v>39000</v>
      </c>
      <c r="C18" s="23">
        <f t="shared" si="0"/>
        <v>1950</v>
      </c>
      <c r="D18" s="23">
        <f t="shared" si="1"/>
        <v>7020</v>
      </c>
      <c r="E18" s="23">
        <f t="shared" si="2"/>
        <v>47970</v>
      </c>
      <c r="F18" s="23">
        <f t="shared" si="3"/>
        <v>4680</v>
      </c>
      <c r="G18" s="99">
        <f t="shared" si="4"/>
        <v>43290</v>
      </c>
    </row>
    <row r="19" spans="1:7">
      <c r="A19" s="98" t="s">
        <v>527</v>
      </c>
      <c r="B19" s="23">
        <v>13500</v>
      </c>
      <c r="C19" s="23">
        <f t="shared" si="0"/>
        <v>675</v>
      </c>
      <c r="D19" s="23">
        <f t="shared" si="1"/>
        <v>2430</v>
      </c>
      <c r="E19" s="23">
        <f t="shared" si="2"/>
        <v>16605</v>
      </c>
      <c r="F19" s="23">
        <f t="shared" si="3"/>
        <v>1620</v>
      </c>
      <c r="G19" s="99">
        <f t="shared" si="4"/>
        <v>14985</v>
      </c>
    </row>
    <row r="20" spans="1:7">
      <c r="A20" s="98" t="s">
        <v>535</v>
      </c>
      <c r="B20" s="23">
        <v>40600</v>
      </c>
      <c r="C20" s="23">
        <f t="shared" si="0"/>
        <v>2030</v>
      </c>
      <c r="D20" s="23">
        <f t="shared" si="1"/>
        <v>7308</v>
      </c>
      <c r="E20" s="23">
        <f t="shared" si="2"/>
        <v>49938</v>
      </c>
      <c r="F20" s="23">
        <f t="shared" si="3"/>
        <v>4872</v>
      </c>
      <c r="G20" s="99">
        <f t="shared" si="4"/>
        <v>45066</v>
      </c>
    </row>
    <row r="21" spans="1:7">
      <c r="A21" s="98" t="s">
        <v>527</v>
      </c>
      <c r="B21" s="23">
        <v>18850</v>
      </c>
      <c r="C21" s="23">
        <f t="shared" si="0"/>
        <v>942.5</v>
      </c>
      <c r="D21" s="23">
        <f t="shared" si="1"/>
        <v>3393</v>
      </c>
      <c r="E21" s="23">
        <f t="shared" si="2"/>
        <v>23185.5</v>
      </c>
      <c r="F21" s="23">
        <f t="shared" si="3"/>
        <v>2262</v>
      </c>
      <c r="G21" s="99">
        <f t="shared" si="4"/>
        <v>20923.5</v>
      </c>
    </row>
    <row r="22" spans="1:7">
      <c r="A22" s="98" t="s">
        <v>523</v>
      </c>
      <c r="B22" s="23">
        <v>40200</v>
      </c>
      <c r="C22" s="23">
        <f t="shared" si="0"/>
        <v>2010</v>
      </c>
      <c r="D22" s="23">
        <f t="shared" si="1"/>
        <v>7236</v>
      </c>
      <c r="E22" s="23">
        <f t="shared" si="2"/>
        <v>49446</v>
      </c>
      <c r="F22" s="23">
        <f t="shared" si="3"/>
        <v>4824</v>
      </c>
      <c r="G22" s="99">
        <f t="shared" si="4"/>
        <v>44622</v>
      </c>
    </row>
    <row r="23" spans="1:7">
      <c r="A23" s="98" t="s">
        <v>536</v>
      </c>
      <c r="B23" s="23">
        <v>31310</v>
      </c>
      <c r="C23" s="23">
        <f t="shared" si="0"/>
        <v>1565.5</v>
      </c>
      <c r="D23" s="23">
        <f t="shared" si="1"/>
        <v>5635.8</v>
      </c>
      <c r="E23" s="23">
        <f t="shared" si="2"/>
        <v>38511.300000000003</v>
      </c>
      <c r="F23" s="23">
        <f t="shared" si="3"/>
        <v>3757.2</v>
      </c>
      <c r="G23" s="99">
        <f t="shared" si="4"/>
        <v>34754.100000000006</v>
      </c>
    </row>
    <row r="24" spans="1:7">
      <c r="A24" s="98" t="s">
        <v>525</v>
      </c>
      <c r="B24" s="23">
        <v>26560</v>
      </c>
      <c r="C24" s="23">
        <f t="shared" si="0"/>
        <v>1328</v>
      </c>
      <c r="D24" s="23">
        <f t="shared" si="1"/>
        <v>4780.8</v>
      </c>
      <c r="E24" s="23">
        <f t="shared" si="2"/>
        <v>32668.799999999999</v>
      </c>
      <c r="F24" s="23">
        <f t="shared" si="3"/>
        <v>3187.2</v>
      </c>
      <c r="G24" s="99">
        <f t="shared" si="4"/>
        <v>29481.599999999999</v>
      </c>
    </row>
    <row r="25" spans="1:7">
      <c r="A25" s="98" t="s">
        <v>524</v>
      </c>
      <c r="B25" s="23">
        <v>13500</v>
      </c>
      <c r="C25" s="23">
        <f t="shared" si="0"/>
        <v>675</v>
      </c>
      <c r="D25" s="23">
        <f t="shared" si="1"/>
        <v>2430</v>
      </c>
      <c r="E25" s="23">
        <f t="shared" si="2"/>
        <v>16605</v>
      </c>
      <c r="F25" s="23">
        <f t="shared" si="3"/>
        <v>1620</v>
      </c>
      <c r="G25" s="99">
        <f t="shared" si="4"/>
        <v>14985</v>
      </c>
    </row>
    <row r="26" spans="1:7">
      <c r="A26" s="98" t="s">
        <v>537</v>
      </c>
      <c r="B26" s="23">
        <v>7810</v>
      </c>
      <c r="C26" s="23">
        <f t="shared" si="0"/>
        <v>390.5</v>
      </c>
      <c r="D26" s="23">
        <f t="shared" si="1"/>
        <v>1405.8</v>
      </c>
      <c r="E26" s="23">
        <f t="shared" si="2"/>
        <v>9606.2999999999993</v>
      </c>
      <c r="F26" s="23">
        <f t="shared" si="3"/>
        <v>937.19999999999993</v>
      </c>
      <c r="G26" s="99">
        <f t="shared" si="4"/>
        <v>8669.0999999999985</v>
      </c>
    </row>
    <row r="27" spans="1:7">
      <c r="A27" s="98" t="s">
        <v>530</v>
      </c>
      <c r="B27" s="23">
        <v>10680</v>
      </c>
      <c r="C27" s="23">
        <f t="shared" si="0"/>
        <v>534</v>
      </c>
      <c r="D27" s="23">
        <f t="shared" si="1"/>
        <v>1922.3999999999999</v>
      </c>
      <c r="E27" s="23">
        <f t="shared" si="2"/>
        <v>13136.4</v>
      </c>
      <c r="F27" s="23">
        <f t="shared" si="3"/>
        <v>1281.5999999999999</v>
      </c>
      <c r="G27" s="99">
        <f t="shared" si="4"/>
        <v>11854.8</v>
      </c>
    </row>
    <row r="28" spans="1:7">
      <c r="A28" s="98" t="s">
        <v>538</v>
      </c>
      <c r="B28" s="23">
        <v>6500</v>
      </c>
      <c r="C28" s="23">
        <f t="shared" si="0"/>
        <v>325</v>
      </c>
      <c r="D28" s="23">
        <f t="shared" si="1"/>
        <v>1170</v>
      </c>
      <c r="E28" s="23">
        <f t="shared" si="2"/>
        <v>7995</v>
      </c>
      <c r="F28" s="23">
        <f t="shared" si="3"/>
        <v>780</v>
      </c>
      <c r="G28" s="99">
        <f t="shared" si="4"/>
        <v>7215</v>
      </c>
    </row>
    <row r="29" spans="1:7">
      <c r="A29" s="98" t="s">
        <v>539</v>
      </c>
      <c r="B29" s="23">
        <v>17360</v>
      </c>
      <c r="C29" s="23">
        <f t="shared" si="0"/>
        <v>868</v>
      </c>
      <c r="D29" s="23">
        <f t="shared" si="1"/>
        <v>3124.7999999999997</v>
      </c>
      <c r="E29" s="23">
        <f t="shared" si="2"/>
        <v>21352.799999999999</v>
      </c>
      <c r="F29" s="23">
        <f t="shared" si="3"/>
        <v>2083.1999999999998</v>
      </c>
      <c r="G29" s="99">
        <f t="shared" si="4"/>
        <v>19269.599999999999</v>
      </c>
    </row>
    <row r="30" spans="1:7">
      <c r="A30" s="98" t="s">
        <v>528</v>
      </c>
      <c r="B30" s="23">
        <v>19350</v>
      </c>
      <c r="C30" s="23">
        <f t="shared" si="0"/>
        <v>967.5</v>
      </c>
      <c r="D30" s="23">
        <f t="shared" si="1"/>
        <v>3483</v>
      </c>
      <c r="E30" s="23">
        <f t="shared" si="2"/>
        <v>23800.5</v>
      </c>
      <c r="F30" s="23">
        <f t="shared" si="3"/>
        <v>2322</v>
      </c>
      <c r="G30" s="99">
        <f t="shared" si="4"/>
        <v>21478.5</v>
      </c>
    </row>
    <row r="31" spans="1:7">
      <c r="A31" s="98" t="s">
        <v>540</v>
      </c>
      <c r="B31" s="23">
        <v>19680</v>
      </c>
      <c r="C31" s="23">
        <f t="shared" si="0"/>
        <v>984</v>
      </c>
      <c r="D31" s="23">
        <f t="shared" si="1"/>
        <v>3542.4</v>
      </c>
      <c r="E31" s="23">
        <f t="shared" si="2"/>
        <v>24206.400000000001</v>
      </c>
      <c r="F31" s="23">
        <f t="shared" si="3"/>
        <v>2361.6</v>
      </c>
      <c r="G31" s="99">
        <f t="shared" si="4"/>
        <v>21844.800000000003</v>
      </c>
    </row>
    <row r="32" spans="1:7">
      <c r="A32" s="98" t="s">
        <v>537</v>
      </c>
      <c r="B32" s="23">
        <v>24990</v>
      </c>
      <c r="C32" s="23">
        <f t="shared" si="0"/>
        <v>1249.5</v>
      </c>
      <c r="D32" s="23">
        <f t="shared" si="1"/>
        <v>4498.2</v>
      </c>
      <c r="E32" s="23">
        <f t="shared" si="2"/>
        <v>30737.7</v>
      </c>
      <c r="F32" s="23">
        <f t="shared" si="3"/>
        <v>2998.7999999999997</v>
      </c>
      <c r="G32" s="99">
        <f t="shared" si="4"/>
        <v>27738.9</v>
      </c>
    </row>
    <row r="33" spans="1:7">
      <c r="A33" s="98" t="s">
        <v>528</v>
      </c>
      <c r="B33" s="23">
        <v>26100</v>
      </c>
      <c r="C33" s="23">
        <f t="shared" si="0"/>
        <v>1305</v>
      </c>
      <c r="D33" s="23">
        <f t="shared" si="1"/>
        <v>4698</v>
      </c>
      <c r="E33" s="23">
        <f t="shared" si="2"/>
        <v>32103</v>
      </c>
      <c r="F33" s="23">
        <f t="shared" si="3"/>
        <v>3132</v>
      </c>
      <c r="G33" s="99">
        <f t="shared" si="4"/>
        <v>28971</v>
      </c>
    </row>
    <row r="34" spans="1:7">
      <c r="A34" s="98" t="s">
        <v>530</v>
      </c>
      <c r="B34" s="23">
        <v>25080</v>
      </c>
      <c r="C34" s="23">
        <f t="shared" si="0"/>
        <v>1254</v>
      </c>
      <c r="D34" s="23">
        <f t="shared" si="1"/>
        <v>4514.3999999999996</v>
      </c>
      <c r="E34" s="23">
        <f t="shared" si="2"/>
        <v>30848.400000000001</v>
      </c>
      <c r="F34" s="23">
        <f t="shared" si="3"/>
        <v>3009.6</v>
      </c>
      <c r="G34" s="99">
        <f t="shared" si="4"/>
        <v>27838.800000000003</v>
      </c>
    </row>
    <row r="35" spans="1:7">
      <c r="A35" s="98" t="s">
        <v>525</v>
      </c>
      <c r="B35" s="23">
        <v>15400</v>
      </c>
      <c r="C35" s="23">
        <f t="shared" si="0"/>
        <v>770</v>
      </c>
      <c r="D35" s="23">
        <f t="shared" si="1"/>
        <v>2772</v>
      </c>
      <c r="E35" s="23">
        <f t="shared" si="2"/>
        <v>18942</v>
      </c>
      <c r="F35" s="23">
        <f t="shared" si="3"/>
        <v>1848</v>
      </c>
      <c r="G35" s="99">
        <f t="shared" si="4"/>
        <v>17094</v>
      </c>
    </row>
    <row r="36" spans="1:7">
      <c r="A36" s="98" t="s">
        <v>530</v>
      </c>
      <c r="B36" s="23">
        <v>23730</v>
      </c>
      <c r="C36" s="23">
        <f t="shared" si="0"/>
        <v>1186.5</v>
      </c>
      <c r="D36" s="23">
        <f t="shared" si="1"/>
        <v>4271.3999999999996</v>
      </c>
      <c r="E36" s="23">
        <f t="shared" si="2"/>
        <v>29187.9</v>
      </c>
      <c r="F36" s="23">
        <f t="shared" si="3"/>
        <v>2847.6</v>
      </c>
      <c r="G36" s="99">
        <f t="shared" si="4"/>
        <v>26340.300000000003</v>
      </c>
    </row>
    <row r="37" spans="1:7">
      <c r="A37" s="98" t="s">
        <v>535</v>
      </c>
      <c r="B37" s="23">
        <v>15840</v>
      </c>
      <c r="C37" s="23">
        <f t="shared" si="0"/>
        <v>792</v>
      </c>
      <c r="D37" s="23">
        <f t="shared" si="1"/>
        <v>2851.2</v>
      </c>
      <c r="E37" s="23">
        <f t="shared" si="2"/>
        <v>19483.2</v>
      </c>
      <c r="F37" s="23">
        <f t="shared" si="3"/>
        <v>1900.8</v>
      </c>
      <c r="G37" s="99">
        <f t="shared" si="4"/>
        <v>17582.400000000001</v>
      </c>
    </row>
    <row r="38" spans="1:7">
      <c r="A38" s="98" t="s">
        <v>537</v>
      </c>
      <c r="B38" s="23">
        <v>32890</v>
      </c>
      <c r="C38" s="23">
        <f t="shared" si="0"/>
        <v>1644.5</v>
      </c>
      <c r="D38" s="23">
        <f t="shared" si="1"/>
        <v>5920.2</v>
      </c>
      <c r="E38" s="23">
        <f t="shared" si="2"/>
        <v>40454.699999999997</v>
      </c>
      <c r="F38" s="23">
        <f t="shared" si="3"/>
        <v>3946.7999999999997</v>
      </c>
      <c r="G38" s="99">
        <f t="shared" si="4"/>
        <v>36507.899999999994</v>
      </c>
    </row>
    <row r="39" spans="1:7">
      <c r="A39" s="98" t="s">
        <v>541</v>
      </c>
      <c r="B39" s="23">
        <v>22080</v>
      </c>
      <c r="C39" s="23">
        <f t="shared" si="0"/>
        <v>1104</v>
      </c>
      <c r="D39" s="23">
        <f t="shared" si="1"/>
        <v>3974.3999999999996</v>
      </c>
      <c r="E39" s="23">
        <f t="shared" si="2"/>
        <v>27158.400000000001</v>
      </c>
      <c r="F39" s="23">
        <f t="shared" si="3"/>
        <v>2649.6</v>
      </c>
      <c r="G39" s="99">
        <f t="shared" si="4"/>
        <v>24508.800000000003</v>
      </c>
    </row>
    <row r="40" spans="1:7">
      <c r="A40" s="98" t="s">
        <v>426</v>
      </c>
      <c r="B40" s="23">
        <v>13750</v>
      </c>
      <c r="C40" s="23">
        <f t="shared" si="0"/>
        <v>687.5</v>
      </c>
      <c r="D40" s="23">
        <f t="shared" si="1"/>
        <v>2475</v>
      </c>
      <c r="E40" s="23">
        <f t="shared" si="2"/>
        <v>16912.5</v>
      </c>
      <c r="F40" s="23">
        <f t="shared" si="3"/>
        <v>1650</v>
      </c>
      <c r="G40" s="99">
        <f t="shared" si="4"/>
        <v>15262.5</v>
      </c>
    </row>
    <row r="41" spans="1:7">
      <c r="A41" s="98" t="s">
        <v>542</v>
      </c>
      <c r="B41" s="23">
        <v>39000</v>
      </c>
      <c r="C41" s="23">
        <f t="shared" si="0"/>
        <v>1950</v>
      </c>
      <c r="D41" s="23">
        <f t="shared" si="1"/>
        <v>7020</v>
      </c>
      <c r="E41" s="23">
        <f t="shared" si="2"/>
        <v>47970</v>
      </c>
      <c r="F41" s="23">
        <f t="shared" si="3"/>
        <v>4680</v>
      </c>
      <c r="G41" s="99">
        <f t="shared" si="4"/>
        <v>43290</v>
      </c>
    </row>
    <row r="42" spans="1:7">
      <c r="A42" s="98" t="s">
        <v>524</v>
      </c>
      <c r="B42" s="23">
        <v>13500</v>
      </c>
      <c r="C42" s="23">
        <f t="shared" si="0"/>
        <v>675</v>
      </c>
      <c r="D42" s="23">
        <f t="shared" si="1"/>
        <v>2430</v>
      </c>
      <c r="E42" s="23">
        <f t="shared" si="2"/>
        <v>16605</v>
      </c>
      <c r="F42" s="23">
        <f t="shared" si="3"/>
        <v>1620</v>
      </c>
      <c r="G42" s="99">
        <f t="shared" si="4"/>
        <v>14985</v>
      </c>
    </row>
    <row r="43" spans="1:7">
      <c r="A43" s="98" t="s">
        <v>543</v>
      </c>
      <c r="B43" s="23">
        <v>40600</v>
      </c>
      <c r="C43" s="23">
        <f t="shared" si="0"/>
        <v>2030</v>
      </c>
      <c r="D43" s="23">
        <f t="shared" si="1"/>
        <v>7308</v>
      </c>
      <c r="E43" s="23">
        <f t="shared" si="2"/>
        <v>49938</v>
      </c>
      <c r="F43" s="23">
        <f t="shared" si="3"/>
        <v>4872</v>
      </c>
      <c r="G43" s="99">
        <f t="shared" si="4"/>
        <v>45066</v>
      </c>
    </row>
    <row r="44" spans="1:7">
      <c r="A44" s="98" t="s">
        <v>541</v>
      </c>
      <c r="B44" s="23">
        <v>18850</v>
      </c>
      <c r="C44" s="23">
        <f t="shared" si="0"/>
        <v>942.5</v>
      </c>
      <c r="D44" s="23">
        <f t="shared" si="1"/>
        <v>3393</v>
      </c>
      <c r="E44" s="23">
        <f t="shared" si="2"/>
        <v>23185.5</v>
      </c>
      <c r="F44" s="23">
        <f t="shared" si="3"/>
        <v>2262</v>
      </c>
      <c r="G44" s="99">
        <f t="shared" si="4"/>
        <v>20923.5</v>
      </c>
    </row>
    <row r="45" spans="1:7">
      <c r="A45" s="98" t="s">
        <v>531</v>
      </c>
      <c r="B45" s="23">
        <v>40200</v>
      </c>
      <c r="C45" s="23">
        <f t="shared" si="0"/>
        <v>2010</v>
      </c>
      <c r="D45" s="23">
        <f t="shared" si="1"/>
        <v>7236</v>
      </c>
      <c r="E45" s="23">
        <f t="shared" si="2"/>
        <v>49446</v>
      </c>
      <c r="F45" s="23">
        <f t="shared" si="3"/>
        <v>4824</v>
      </c>
      <c r="G45" s="99">
        <f t="shared" si="4"/>
        <v>44622</v>
      </c>
    </row>
    <row r="46" spans="1:7">
      <c r="A46" s="98" t="s">
        <v>534</v>
      </c>
      <c r="B46" s="23">
        <v>31310</v>
      </c>
      <c r="C46" s="23">
        <f t="shared" si="0"/>
        <v>1565.5</v>
      </c>
      <c r="D46" s="23">
        <f t="shared" si="1"/>
        <v>5635.8</v>
      </c>
      <c r="E46" s="23">
        <f t="shared" si="2"/>
        <v>38511.300000000003</v>
      </c>
      <c r="F46" s="23">
        <f t="shared" si="3"/>
        <v>3757.2</v>
      </c>
      <c r="G46" s="99">
        <f t="shared" si="4"/>
        <v>34754.100000000006</v>
      </c>
    </row>
    <row r="47" spans="1:7">
      <c r="A47" s="98" t="s">
        <v>536</v>
      </c>
      <c r="B47" s="23">
        <v>26560</v>
      </c>
      <c r="C47" s="23">
        <f t="shared" si="0"/>
        <v>1328</v>
      </c>
      <c r="D47" s="23">
        <f t="shared" si="1"/>
        <v>4780.8</v>
      </c>
      <c r="E47" s="23">
        <f t="shared" si="2"/>
        <v>32668.799999999999</v>
      </c>
      <c r="F47" s="23">
        <f t="shared" si="3"/>
        <v>3187.2</v>
      </c>
      <c r="G47" s="99">
        <f t="shared" si="4"/>
        <v>29481.599999999999</v>
      </c>
    </row>
    <row r="48" spans="1:7">
      <c r="A48" s="98" t="s">
        <v>537</v>
      </c>
      <c r="B48" s="23">
        <v>13500</v>
      </c>
      <c r="C48" s="23">
        <f t="shared" si="0"/>
        <v>675</v>
      </c>
      <c r="D48" s="23">
        <f t="shared" si="1"/>
        <v>2430</v>
      </c>
      <c r="E48" s="23">
        <f t="shared" si="2"/>
        <v>16605</v>
      </c>
      <c r="F48" s="23">
        <f t="shared" si="3"/>
        <v>1620</v>
      </c>
      <c r="G48" s="99">
        <f t="shared" si="4"/>
        <v>14985</v>
      </c>
    </row>
    <row r="49" spans="1:7">
      <c r="A49" s="98" t="s">
        <v>528</v>
      </c>
      <c r="B49" s="23">
        <v>7810</v>
      </c>
      <c r="C49" s="23">
        <f t="shared" si="0"/>
        <v>390.5</v>
      </c>
      <c r="D49" s="23">
        <f t="shared" si="1"/>
        <v>1405.8</v>
      </c>
      <c r="E49" s="23">
        <f t="shared" si="2"/>
        <v>9606.2999999999993</v>
      </c>
      <c r="F49" s="23">
        <f t="shared" si="3"/>
        <v>937.19999999999993</v>
      </c>
      <c r="G49" s="99">
        <f t="shared" si="4"/>
        <v>8669.0999999999985</v>
      </c>
    </row>
    <row r="50" spans="1:7">
      <c r="A50" s="98" t="s">
        <v>526</v>
      </c>
      <c r="B50" s="23">
        <v>10680</v>
      </c>
      <c r="C50" s="23">
        <f t="shared" si="0"/>
        <v>534</v>
      </c>
      <c r="D50" s="23">
        <f t="shared" si="1"/>
        <v>1922.3999999999999</v>
      </c>
      <c r="E50" s="23">
        <f t="shared" si="2"/>
        <v>13136.4</v>
      </c>
      <c r="F50" s="23">
        <f t="shared" si="3"/>
        <v>1281.5999999999999</v>
      </c>
      <c r="G50" s="99">
        <f t="shared" si="4"/>
        <v>11854.8</v>
      </c>
    </row>
    <row r="51" spans="1:7">
      <c r="A51" s="98" t="s">
        <v>533</v>
      </c>
      <c r="B51" s="23">
        <v>6500</v>
      </c>
      <c r="C51" s="23">
        <f t="shared" si="0"/>
        <v>325</v>
      </c>
      <c r="D51" s="23">
        <f t="shared" si="1"/>
        <v>1170</v>
      </c>
      <c r="E51" s="23">
        <f t="shared" si="2"/>
        <v>7995</v>
      </c>
      <c r="F51" s="23">
        <f t="shared" si="3"/>
        <v>780</v>
      </c>
      <c r="G51" s="99">
        <f t="shared" si="4"/>
        <v>7215</v>
      </c>
    </row>
    <row r="52" spans="1:7">
      <c r="A52" s="98" t="s">
        <v>530</v>
      </c>
      <c r="B52" s="23">
        <v>17360</v>
      </c>
      <c r="C52" s="23">
        <f t="shared" si="0"/>
        <v>868</v>
      </c>
      <c r="D52" s="23">
        <f t="shared" si="1"/>
        <v>3124.7999999999997</v>
      </c>
      <c r="E52" s="23">
        <f t="shared" si="2"/>
        <v>21352.799999999999</v>
      </c>
      <c r="F52" s="23">
        <f t="shared" si="3"/>
        <v>2083.1999999999998</v>
      </c>
      <c r="G52" s="99">
        <f t="shared" si="4"/>
        <v>19269.599999999999</v>
      </c>
    </row>
    <row r="53" spans="1:7">
      <c r="A53" s="98" t="s">
        <v>531</v>
      </c>
      <c r="B53" s="23">
        <v>19350</v>
      </c>
      <c r="C53" s="23">
        <f t="shared" si="0"/>
        <v>967.5</v>
      </c>
      <c r="D53" s="23">
        <f t="shared" si="1"/>
        <v>3483</v>
      </c>
      <c r="E53" s="23">
        <f t="shared" si="2"/>
        <v>23800.5</v>
      </c>
      <c r="F53" s="23">
        <f t="shared" si="3"/>
        <v>2322</v>
      </c>
      <c r="G53" s="99">
        <f t="shared" si="4"/>
        <v>21478.5</v>
      </c>
    </row>
    <row r="54" spans="1:7">
      <c r="A54" s="98" t="s">
        <v>544</v>
      </c>
      <c r="B54" s="23">
        <v>19680</v>
      </c>
      <c r="C54" s="23">
        <f t="shared" si="0"/>
        <v>984</v>
      </c>
      <c r="D54" s="23">
        <f t="shared" si="1"/>
        <v>3542.4</v>
      </c>
      <c r="E54" s="23">
        <f t="shared" si="2"/>
        <v>24206.400000000001</v>
      </c>
      <c r="F54" s="23">
        <f t="shared" si="3"/>
        <v>2361.6</v>
      </c>
      <c r="G54" s="99">
        <f t="shared" si="4"/>
        <v>21844.800000000003</v>
      </c>
    </row>
    <row r="55" spans="1:7">
      <c r="A55" s="98" t="s">
        <v>545</v>
      </c>
      <c r="B55" s="23">
        <v>24990</v>
      </c>
      <c r="C55" s="23">
        <f t="shared" si="0"/>
        <v>1249.5</v>
      </c>
      <c r="D55" s="23">
        <f t="shared" si="1"/>
        <v>4498.2</v>
      </c>
      <c r="E55" s="23">
        <f t="shared" si="2"/>
        <v>30737.7</v>
      </c>
      <c r="F55" s="23">
        <f t="shared" si="3"/>
        <v>2998.7999999999997</v>
      </c>
      <c r="G55" s="99">
        <f t="shared" si="4"/>
        <v>27738.9</v>
      </c>
    </row>
    <row r="56" spans="1:7">
      <c r="A56" s="98" t="s">
        <v>528</v>
      </c>
      <c r="B56" s="23">
        <v>26100</v>
      </c>
      <c r="C56" s="23">
        <f t="shared" si="0"/>
        <v>1305</v>
      </c>
      <c r="D56" s="23">
        <f t="shared" si="1"/>
        <v>4698</v>
      </c>
      <c r="E56" s="23">
        <f t="shared" si="2"/>
        <v>32103</v>
      </c>
      <c r="F56" s="23">
        <f t="shared" si="3"/>
        <v>3132</v>
      </c>
      <c r="G56" s="99">
        <f t="shared" si="4"/>
        <v>28971</v>
      </c>
    </row>
    <row r="57" spans="1:7">
      <c r="A57" s="98" t="s">
        <v>530</v>
      </c>
      <c r="B57" s="23">
        <v>25080</v>
      </c>
      <c r="C57" s="23">
        <f t="shared" si="0"/>
        <v>1254</v>
      </c>
      <c r="D57" s="23">
        <f t="shared" si="1"/>
        <v>4514.3999999999996</v>
      </c>
      <c r="E57" s="23">
        <f t="shared" si="2"/>
        <v>30848.400000000001</v>
      </c>
      <c r="F57" s="23">
        <f t="shared" si="3"/>
        <v>3009.6</v>
      </c>
      <c r="G57" s="99">
        <f t="shared" si="4"/>
        <v>27838.800000000003</v>
      </c>
    </row>
    <row r="58" spans="1:7">
      <c r="A58" s="98" t="s">
        <v>539</v>
      </c>
      <c r="B58" s="23">
        <v>15400</v>
      </c>
      <c r="C58" s="23">
        <f t="shared" si="0"/>
        <v>770</v>
      </c>
      <c r="D58" s="23">
        <f t="shared" si="1"/>
        <v>2772</v>
      </c>
      <c r="E58" s="23">
        <f t="shared" si="2"/>
        <v>18942</v>
      </c>
      <c r="F58" s="23">
        <f t="shared" si="3"/>
        <v>1848</v>
      </c>
      <c r="G58" s="99">
        <f t="shared" si="4"/>
        <v>17094</v>
      </c>
    </row>
    <row r="59" spans="1:7">
      <c r="A59" s="98" t="s">
        <v>546</v>
      </c>
      <c r="B59" s="23">
        <v>23730</v>
      </c>
      <c r="C59" s="23">
        <f t="shared" si="0"/>
        <v>1186.5</v>
      </c>
      <c r="D59" s="23">
        <f t="shared" si="1"/>
        <v>4271.3999999999996</v>
      </c>
      <c r="E59" s="23">
        <f t="shared" si="2"/>
        <v>29187.9</v>
      </c>
      <c r="F59" s="23">
        <f t="shared" si="3"/>
        <v>2847.6</v>
      </c>
      <c r="G59" s="99">
        <f t="shared" si="4"/>
        <v>26340.300000000003</v>
      </c>
    </row>
    <row r="60" spans="1:7">
      <c r="A60" s="98" t="s">
        <v>523</v>
      </c>
      <c r="B60" s="23">
        <v>15840</v>
      </c>
      <c r="C60" s="23">
        <f t="shared" si="0"/>
        <v>792</v>
      </c>
      <c r="D60" s="23">
        <f t="shared" si="1"/>
        <v>2851.2</v>
      </c>
      <c r="E60" s="23">
        <f t="shared" si="2"/>
        <v>19483.2</v>
      </c>
      <c r="F60" s="23">
        <f t="shared" si="3"/>
        <v>1900.8</v>
      </c>
      <c r="G60" s="99">
        <f t="shared" si="4"/>
        <v>17582.400000000001</v>
      </c>
    </row>
    <row r="61" spans="1:7">
      <c r="A61" s="98" t="s">
        <v>547</v>
      </c>
      <c r="B61" s="23">
        <v>32890</v>
      </c>
      <c r="C61" s="23">
        <f t="shared" si="0"/>
        <v>1644.5</v>
      </c>
      <c r="D61" s="23">
        <f t="shared" si="1"/>
        <v>5920.2</v>
      </c>
      <c r="E61" s="23">
        <f t="shared" si="2"/>
        <v>40454.699999999997</v>
      </c>
      <c r="F61" s="23">
        <f t="shared" si="3"/>
        <v>3946.7999999999997</v>
      </c>
      <c r="G61" s="99">
        <f t="shared" si="4"/>
        <v>36507.899999999994</v>
      </c>
    </row>
    <row r="62" spans="1:7">
      <c r="A62" s="98" t="s">
        <v>544</v>
      </c>
      <c r="B62" s="23">
        <v>22080</v>
      </c>
      <c r="C62" s="23">
        <f t="shared" si="0"/>
        <v>1104</v>
      </c>
      <c r="D62" s="23">
        <f t="shared" si="1"/>
        <v>3974.3999999999996</v>
      </c>
      <c r="E62" s="23">
        <f t="shared" si="2"/>
        <v>27158.400000000001</v>
      </c>
      <c r="F62" s="23">
        <f t="shared" si="3"/>
        <v>2649.6</v>
      </c>
      <c r="G62" s="99">
        <f t="shared" si="4"/>
        <v>24508.800000000003</v>
      </c>
    </row>
    <row r="63" spans="1:7">
      <c r="A63" s="98" t="s">
        <v>525</v>
      </c>
      <c r="B63" s="23">
        <v>13750</v>
      </c>
      <c r="C63" s="23">
        <f t="shared" si="0"/>
        <v>687.5</v>
      </c>
      <c r="D63" s="23">
        <f t="shared" si="1"/>
        <v>2475</v>
      </c>
      <c r="E63" s="23">
        <f t="shared" si="2"/>
        <v>16912.5</v>
      </c>
      <c r="F63" s="23">
        <f t="shared" si="3"/>
        <v>1650</v>
      </c>
      <c r="G63" s="99">
        <f t="shared" si="4"/>
        <v>15262.5</v>
      </c>
    </row>
    <row r="64" spans="1:7">
      <c r="A64" s="98" t="s">
        <v>534</v>
      </c>
      <c r="B64" s="23">
        <v>39000</v>
      </c>
      <c r="C64" s="23">
        <f t="shared" si="0"/>
        <v>1950</v>
      </c>
      <c r="D64" s="23">
        <f t="shared" si="1"/>
        <v>7020</v>
      </c>
      <c r="E64" s="23">
        <f t="shared" si="2"/>
        <v>47970</v>
      </c>
      <c r="F64" s="23">
        <f t="shared" si="3"/>
        <v>4680</v>
      </c>
      <c r="G64" s="99">
        <f t="shared" si="4"/>
        <v>43290</v>
      </c>
    </row>
    <row r="65" spans="1:7">
      <c r="A65" s="98" t="s">
        <v>529</v>
      </c>
      <c r="B65" s="23">
        <v>13500</v>
      </c>
      <c r="C65" s="23">
        <f t="shared" si="0"/>
        <v>675</v>
      </c>
      <c r="D65" s="23">
        <f t="shared" si="1"/>
        <v>2430</v>
      </c>
      <c r="E65" s="23">
        <f t="shared" si="2"/>
        <v>16605</v>
      </c>
      <c r="F65" s="23">
        <f t="shared" si="3"/>
        <v>1620</v>
      </c>
      <c r="G65" s="99">
        <f t="shared" si="4"/>
        <v>14985</v>
      </c>
    </row>
    <row r="66" spans="1:7">
      <c r="A66" s="98" t="s">
        <v>533</v>
      </c>
      <c r="B66" s="23">
        <v>40600</v>
      </c>
      <c r="C66" s="23">
        <f t="shared" si="0"/>
        <v>2030</v>
      </c>
      <c r="D66" s="23">
        <f t="shared" si="1"/>
        <v>7308</v>
      </c>
      <c r="E66" s="23">
        <f t="shared" si="2"/>
        <v>49938</v>
      </c>
      <c r="F66" s="23">
        <f t="shared" si="3"/>
        <v>4872</v>
      </c>
      <c r="G66" s="99">
        <f t="shared" si="4"/>
        <v>45066</v>
      </c>
    </row>
    <row r="67" spans="1:7">
      <c r="A67" s="98" t="s">
        <v>547</v>
      </c>
      <c r="B67" s="23">
        <v>18850</v>
      </c>
      <c r="C67" s="23">
        <f t="shared" ref="C67:C71" si="5">B67*5%</f>
        <v>942.5</v>
      </c>
      <c r="D67" s="23">
        <f t="shared" ref="D67:D71" si="6">B67*18%</f>
        <v>3393</v>
      </c>
      <c r="E67" s="23">
        <f t="shared" ref="E67:E71" si="7">SUM(B67:D67)</f>
        <v>23185.5</v>
      </c>
      <c r="F67" s="23">
        <f t="shared" ref="F67:F71" si="8">B67*12%</f>
        <v>2262</v>
      </c>
      <c r="G67" s="99">
        <f t="shared" ref="G67:G71" si="9">E67-F67</f>
        <v>20923.5</v>
      </c>
    </row>
    <row r="68" spans="1:7">
      <c r="A68" s="98" t="s">
        <v>426</v>
      </c>
      <c r="B68" s="23">
        <v>40200</v>
      </c>
      <c r="C68" s="23">
        <f t="shared" si="5"/>
        <v>2010</v>
      </c>
      <c r="D68" s="23">
        <f t="shared" si="6"/>
        <v>7236</v>
      </c>
      <c r="E68" s="23">
        <f t="shared" si="7"/>
        <v>49446</v>
      </c>
      <c r="F68" s="23">
        <f t="shared" si="8"/>
        <v>4824</v>
      </c>
      <c r="G68" s="99">
        <f t="shared" si="9"/>
        <v>44622</v>
      </c>
    </row>
    <row r="69" spans="1:7">
      <c r="A69" s="98" t="s">
        <v>535</v>
      </c>
      <c r="B69" s="23">
        <v>31310</v>
      </c>
      <c r="C69" s="23">
        <f t="shared" si="5"/>
        <v>1565.5</v>
      </c>
      <c r="D69" s="23">
        <f t="shared" si="6"/>
        <v>5635.8</v>
      </c>
      <c r="E69" s="23">
        <f t="shared" si="7"/>
        <v>38511.300000000003</v>
      </c>
      <c r="F69" s="23">
        <f t="shared" si="8"/>
        <v>3757.2</v>
      </c>
      <c r="G69" s="99">
        <f t="shared" si="9"/>
        <v>34754.100000000006</v>
      </c>
    </row>
    <row r="70" spans="1:7">
      <c r="A70" s="98" t="s">
        <v>538</v>
      </c>
      <c r="B70" s="23">
        <v>31310</v>
      </c>
      <c r="C70" s="23">
        <f t="shared" si="5"/>
        <v>1565.5</v>
      </c>
      <c r="D70" s="23">
        <f t="shared" si="6"/>
        <v>5635.8</v>
      </c>
      <c r="E70" s="23">
        <f t="shared" si="7"/>
        <v>38511.300000000003</v>
      </c>
      <c r="F70" s="23">
        <f t="shared" si="8"/>
        <v>3757.2</v>
      </c>
      <c r="G70" s="99">
        <f t="shared" si="9"/>
        <v>34754.100000000006</v>
      </c>
    </row>
    <row r="71" spans="1:7">
      <c r="A71" s="103" t="s">
        <v>542</v>
      </c>
      <c r="B71" s="104">
        <v>31310</v>
      </c>
      <c r="C71" s="104">
        <f t="shared" si="5"/>
        <v>1565.5</v>
      </c>
      <c r="D71" s="104">
        <f t="shared" si="6"/>
        <v>5635.8</v>
      </c>
      <c r="E71" s="104">
        <f t="shared" si="7"/>
        <v>38511.300000000003</v>
      </c>
      <c r="F71" s="104">
        <f t="shared" si="8"/>
        <v>3757.2</v>
      </c>
      <c r="G71" s="105">
        <f t="shared" si="9"/>
        <v>34754.100000000006</v>
      </c>
    </row>
  </sheetData>
  <pageMargins left="0.7" right="0.7" top="0.75" bottom="0.75" header="0.3" footer="0.3"/>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04970-5B4D-47DF-A2F3-E06644498318}">
  <sheetPr>
    <tabColor rgb="FFFF0000"/>
  </sheetPr>
  <dimension ref="A1:Y48"/>
  <sheetViews>
    <sheetView workbookViewId="0">
      <selection activeCell="E6" sqref="E6"/>
    </sheetView>
  </sheetViews>
  <sheetFormatPr defaultRowHeight="15"/>
  <cols>
    <col min="1" max="1" width="18.42578125" customWidth="1"/>
    <col min="2" max="2" width="17.28515625" customWidth="1"/>
    <col min="3" max="3" width="20" bestFit="1" customWidth="1"/>
    <col min="4" max="4" width="15.42578125" customWidth="1"/>
    <col min="5" max="5" width="24.42578125" customWidth="1"/>
    <col min="6" max="6" width="21.5703125" customWidth="1"/>
  </cols>
  <sheetData>
    <row r="1" spans="1:25" ht="21.75" thickBot="1">
      <c r="A1" s="51" t="s">
        <v>48</v>
      </c>
      <c r="B1" s="30" t="s">
        <v>522</v>
      </c>
      <c r="C1" s="30" t="s">
        <v>555</v>
      </c>
      <c r="F1">
        <v>1000</v>
      </c>
      <c r="G1" t="s">
        <v>554</v>
      </c>
    </row>
    <row r="2" spans="1:25" ht="15.75" thickBot="1">
      <c r="A2" s="2">
        <v>48056</v>
      </c>
      <c r="B2" s="2" t="s">
        <v>523</v>
      </c>
      <c r="C2" s="2">
        <v>1001</v>
      </c>
      <c r="D2" s="2">
        <v>1002</v>
      </c>
      <c r="E2" s="2" t="str" cm="1">
        <f t="array" ref="E2">LOOKUP($D$2,$C:$C,$B:$B&amp;"-"&amp;$A:$A)</f>
        <v>Aditya-10818</v>
      </c>
      <c r="V2" s="78"/>
      <c r="W2" s="78"/>
      <c r="X2" s="78"/>
      <c r="Y2" s="79"/>
    </row>
    <row r="3" spans="1:25">
      <c r="A3" s="2">
        <v>10818</v>
      </c>
      <c r="B3" s="2" t="s">
        <v>524</v>
      </c>
      <c r="C3" s="2">
        <v>1002</v>
      </c>
      <c r="E3" t="str">
        <f>A2&amp;"-"&amp;B2</f>
        <v>48056-Ishwar</v>
      </c>
    </row>
    <row r="4" spans="1:25">
      <c r="A4" s="2">
        <v>48897</v>
      </c>
      <c r="B4" s="2" t="s">
        <v>523</v>
      </c>
      <c r="C4" s="2">
        <v>1003</v>
      </c>
      <c r="E4" t="str">
        <f>B2&amp;"-"&amp;A2</f>
        <v>Ishwar-48056</v>
      </c>
    </row>
    <row r="5" spans="1:25">
      <c r="A5" s="2">
        <v>8989</v>
      </c>
      <c r="B5" s="2" t="s">
        <v>525</v>
      </c>
      <c r="C5" s="2">
        <v>1004</v>
      </c>
    </row>
    <row r="6" spans="1:25">
      <c r="A6" s="2">
        <v>45072</v>
      </c>
      <c r="B6" s="2" t="s">
        <v>525</v>
      </c>
      <c r="C6" s="2">
        <v>1005</v>
      </c>
    </row>
    <row r="7" spans="1:25">
      <c r="A7" s="2">
        <v>11731</v>
      </c>
      <c r="B7" s="2" t="s">
        <v>526</v>
      </c>
      <c r="C7" s="2">
        <v>1006</v>
      </c>
    </row>
    <row r="8" spans="1:25">
      <c r="A8" s="2">
        <v>33538</v>
      </c>
      <c r="B8" s="2" t="s">
        <v>527</v>
      </c>
      <c r="C8" s="2">
        <v>1007</v>
      </c>
    </row>
    <row r="9" spans="1:25">
      <c r="A9" s="2">
        <v>32363</v>
      </c>
      <c r="B9" s="2" t="s">
        <v>528</v>
      </c>
      <c r="C9" s="2">
        <v>1008</v>
      </c>
    </row>
    <row r="10" spans="1:25">
      <c r="A10" s="2">
        <v>10481</v>
      </c>
      <c r="B10" s="2" t="s">
        <v>528</v>
      </c>
      <c r="C10" s="2">
        <v>1009</v>
      </c>
    </row>
    <row r="11" spans="1:25">
      <c r="A11" s="2">
        <v>46460</v>
      </c>
      <c r="B11" s="2" t="s">
        <v>529</v>
      </c>
      <c r="C11" s="2">
        <v>1010</v>
      </c>
    </row>
    <row r="12" spans="1:25">
      <c r="A12" s="2">
        <v>20518</v>
      </c>
      <c r="B12" s="2" t="s">
        <v>529</v>
      </c>
      <c r="C12" s="2">
        <v>1011</v>
      </c>
    </row>
    <row r="13" spans="1:25">
      <c r="A13" s="2">
        <v>7331</v>
      </c>
      <c r="B13" s="2" t="s">
        <v>530</v>
      </c>
      <c r="C13" s="2">
        <v>1012</v>
      </c>
    </row>
    <row r="14" spans="1:25">
      <c r="A14" s="2">
        <v>24994</v>
      </c>
      <c r="B14" s="2" t="s">
        <v>531</v>
      </c>
      <c r="C14" s="2">
        <v>1013</v>
      </c>
    </row>
    <row r="15" spans="1:25">
      <c r="A15" s="2">
        <v>42588</v>
      </c>
      <c r="B15" s="2" t="s">
        <v>532</v>
      </c>
      <c r="C15" s="2">
        <v>1014</v>
      </c>
    </row>
    <row r="16" spans="1:25">
      <c r="A16" s="2">
        <v>39118</v>
      </c>
      <c r="B16" s="2" t="s">
        <v>533</v>
      </c>
      <c r="C16" s="2">
        <v>1015</v>
      </c>
    </row>
    <row r="17" spans="1:3">
      <c r="A17" s="2">
        <v>29715</v>
      </c>
      <c r="B17" s="2" t="s">
        <v>533</v>
      </c>
      <c r="C17" s="2">
        <v>1016</v>
      </c>
    </row>
    <row r="18" spans="1:3">
      <c r="A18" s="2">
        <v>9381</v>
      </c>
      <c r="B18" s="2" t="s">
        <v>534</v>
      </c>
      <c r="C18" s="2">
        <v>1017</v>
      </c>
    </row>
    <row r="19" spans="1:3">
      <c r="A19" s="2">
        <v>47001</v>
      </c>
      <c r="B19" s="2" t="s">
        <v>527</v>
      </c>
      <c r="C19" s="2">
        <v>1018</v>
      </c>
    </row>
    <row r="20" spans="1:3">
      <c r="A20" s="2">
        <v>27879</v>
      </c>
      <c r="B20" s="2" t="s">
        <v>535</v>
      </c>
      <c r="C20" s="2">
        <v>1019</v>
      </c>
    </row>
    <row r="21" spans="1:3">
      <c r="A21" s="2">
        <v>35475</v>
      </c>
      <c r="B21" s="2" t="s">
        <v>527</v>
      </c>
      <c r="C21" s="2">
        <v>1020</v>
      </c>
    </row>
    <row r="22" spans="1:3">
      <c r="A22" s="2">
        <v>43132</v>
      </c>
      <c r="B22" s="2" t="s">
        <v>523</v>
      </c>
      <c r="C22" s="2">
        <v>1021</v>
      </c>
    </row>
    <row r="23" spans="1:3">
      <c r="A23" s="2">
        <v>49344</v>
      </c>
      <c r="B23" s="2" t="s">
        <v>536</v>
      </c>
      <c r="C23" s="2">
        <v>1022</v>
      </c>
    </row>
    <row r="24" spans="1:3">
      <c r="A24" s="2">
        <v>13973</v>
      </c>
      <c r="B24" s="2" t="s">
        <v>525</v>
      </c>
      <c r="C24" s="2">
        <v>1023</v>
      </c>
    </row>
    <row r="25" spans="1:3">
      <c r="A25" s="2">
        <v>47469</v>
      </c>
      <c r="B25" s="2" t="s">
        <v>524</v>
      </c>
      <c r="C25" s="2">
        <v>1024</v>
      </c>
    </row>
    <row r="26" spans="1:3">
      <c r="A26" s="2">
        <v>32874</v>
      </c>
      <c r="B26" s="2" t="s">
        <v>537</v>
      </c>
      <c r="C26" s="2">
        <v>1025</v>
      </c>
    </row>
    <row r="27" spans="1:3">
      <c r="A27" s="2">
        <v>26613</v>
      </c>
      <c r="B27" s="2" t="s">
        <v>530</v>
      </c>
      <c r="C27" s="2">
        <v>1026</v>
      </c>
    </row>
    <row r="28" spans="1:3">
      <c r="A28" s="2">
        <v>40981</v>
      </c>
      <c r="B28" s="2" t="s">
        <v>538</v>
      </c>
      <c r="C28" s="2">
        <v>1027</v>
      </c>
    </row>
    <row r="29" spans="1:3">
      <c r="A29" s="2">
        <v>20182</v>
      </c>
      <c r="B29" s="2" t="s">
        <v>539</v>
      </c>
      <c r="C29" s="2">
        <v>1028</v>
      </c>
    </row>
    <row r="30" spans="1:3">
      <c r="A30" s="2">
        <v>9102</v>
      </c>
      <c r="B30" s="2" t="s">
        <v>528</v>
      </c>
      <c r="C30" s="2">
        <v>1029</v>
      </c>
    </row>
    <row r="31" spans="1:3">
      <c r="A31" s="2">
        <v>38132</v>
      </c>
      <c r="B31" s="2" t="s">
        <v>540</v>
      </c>
      <c r="C31" s="2">
        <v>1030</v>
      </c>
    </row>
    <row r="32" spans="1:3">
      <c r="A32" s="2">
        <v>9143</v>
      </c>
      <c r="B32" s="2" t="s">
        <v>537</v>
      </c>
      <c r="C32" s="2">
        <v>1031</v>
      </c>
    </row>
    <row r="33" spans="1:3">
      <c r="A33">
        <v>9143</v>
      </c>
      <c r="B33" s="2" t="s">
        <v>528</v>
      </c>
      <c r="C33" s="2">
        <v>1032</v>
      </c>
    </row>
    <row r="34" spans="1:3">
      <c r="A34">
        <v>9143</v>
      </c>
      <c r="B34" s="2" t="s">
        <v>530</v>
      </c>
      <c r="C34" s="2">
        <v>1033</v>
      </c>
    </row>
    <row r="35" spans="1:3">
      <c r="A35">
        <v>9143</v>
      </c>
      <c r="B35" s="2" t="s">
        <v>525</v>
      </c>
      <c r="C35" s="2">
        <v>1034</v>
      </c>
    </row>
    <row r="36" spans="1:3">
      <c r="A36">
        <v>9143</v>
      </c>
      <c r="B36" s="2" t="s">
        <v>530</v>
      </c>
      <c r="C36" s="2">
        <v>1035</v>
      </c>
    </row>
    <row r="37" spans="1:3">
      <c r="A37">
        <v>9143</v>
      </c>
      <c r="B37" s="2" t="s">
        <v>535</v>
      </c>
      <c r="C37" s="2">
        <v>1036</v>
      </c>
    </row>
    <row r="38" spans="1:3">
      <c r="A38">
        <v>9143</v>
      </c>
      <c r="B38" s="2" t="s">
        <v>537</v>
      </c>
      <c r="C38" s="2">
        <v>1037</v>
      </c>
    </row>
    <row r="39" spans="1:3">
      <c r="A39">
        <v>9143</v>
      </c>
      <c r="B39" s="2" t="s">
        <v>541</v>
      </c>
      <c r="C39" s="2">
        <v>1038</v>
      </c>
    </row>
    <row r="40" spans="1:3">
      <c r="A40">
        <v>9143</v>
      </c>
      <c r="B40" s="2" t="s">
        <v>426</v>
      </c>
      <c r="C40" s="2">
        <v>1039</v>
      </c>
    </row>
    <row r="41" spans="1:3">
      <c r="A41">
        <v>9143</v>
      </c>
      <c r="B41" s="2" t="s">
        <v>542</v>
      </c>
      <c r="C41" s="2">
        <v>1040</v>
      </c>
    </row>
    <row r="42" spans="1:3">
      <c r="A42">
        <v>9143</v>
      </c>
      <c r="B42" s="2" t="s">
        <v>524</v>
      </c>
      <c r="C42" s="2">
        <v>1041</v>
      </c>
    </row>
    <row r="43" spans="1:3">
      <c r="A43">
        <v>9143</v>
      </c>
      <c r="B43" s="2" t="s">
        <v>543</v>
      </c>
      <c r="C43" s="2">
        <v>1042</v>
      </c>
    </row>
    <row r="44" spans="1:3">
      <c r="A44">
        <v>9143</v>
      </c>
      <c r="B44" s="2" t="s">
        <v>541</v>
      </c>
      <c r="C44" s="2">
        <v>1043</v>
      </c>
    </row>
    <row r="45" spans="1:3">
      <c r="A45">
        <v>9143</v>
      </c>
      <c r="B45" s="2" t="s">
        <v>531</v>
      </c>
      <c r="C45" s="2">
        <v>1044</v>
      </c>
    </row>
    <row r="46" spans="1:3">
      <c r="A46">
        <v>9143</v>
      </c>
      <c r="B46" s="2" t="s">
        <v>534</v>
      </c>
      <c r="C46" s="2">
        <v>1045</v>
      </c>
    </row>
    <row r="47" spans="1:3">
      <c r="A47">
        <v>9143</v>
      </c>
      <c r="B47" s="2" t="s">
        <v>536</v>
      </c>
      <c r="C47" s="2">
        <v>1046</v>
      </c>
    </row>
    <row r="48" spans="1:3">
      <c r="A48">
        <v>9143</v>
      </c>
      <c r="B48" s="2" t="s">
        <v>537</v>
      </c>
      <c r="C48" s="2">
        <v>1047</v>
      </c>
    </row>
  </sheetData>
  <dataValidations count="1">
    <dataValidation type="list" allowBlank="1" showInputMessage="1" showErrorMessage="1" sqref="D2" xr:uid="{DAEFFA56-0709-4461-9D3A-46B586B357B2}">
      <formula1>$C:$C</formula1>
    </dataValidation>
  </dataValidation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B3D9D-F73C-4A55-BA76-A683C75E489E}">
  <dimension ref="A1:O16"/>
  <sheetViews>
    <sheetView topLeftCell="D3" workbookViewId="0">
      <selection activeCell="O5" sqref="O5"/>
    </sheetView>
  </sheetViews>
  <sheetFormatPr defaultRowHeight="24.6" customHeight="1"/>
  <cols>
    <col min="1" max="2" width="8.7109375" bestFit="1" customWidth="1"/>
    <col min="3" max="3" width="16.28515625" bestFit="1" customWidth="1"/>
    <col min="4" max="4" width="16" bestFit="1" customWidth="1"/>
    <col min="5" max="5" width="15.5703125" bestFit="1" customWidth="1"/>
    <col min="6" max="6" width="11.28515625" customWidth="1"/>
    <col min="7" max="7" width="12" customWidth="1"/>
    <col min="8" max="8" width="9" customWidth="1"/>
    <col min="9" max="9" width="18" bestFit="1" customWidth="1"/>
    <col min="10" max="10" width="22.140625" bestFit="1" customWidth="1"/>
    <col min="11" max="11" width="21.7109375" bestFit="1" customWidth="1"/>
    <col min="12" max="12" width="16.7109375" bestFit="1" customWidth="1"/>
    <col min="13" max="13" width="6.85546875" customWidth="1"/>
    <col min="14" max="14" width="10.140625" customWidth="1"/>
    <col min="15" max="15" width="19.28515625" bestFit="1" customWidth="1"/>
  </cols>
  <sheetData>
    <row r="1" spans="1:15" ht="24.6" customHeight="1">
      <c r="A1" s="168" t="s">
        <v>579</v>
      </c>
      <c r="B1" s="168"/>
      <c r="C1" s="168"/>
      <c r="D1" s="168"/>
      <c r="E1" s="168"/>
      <c r="F1" s="168"/>
      <c r="G1" s="168"/>
      <c r="H1" s="168"/>
      <c r="I1" s="168"/>
      <c r="J1" s="168"/>
      <c r="K1" s="168"/>
      <c r="L1" s="168"/>
      <c r="M1" s="168"/>
      <c r="N1" s="168"/>
      <c r="O1" s="168"/>
    </row>
    <row r="2" spans="1:15" ht="24.6" customHeight="1">
      <c r="A2" s="169"/>
      <c r="B2" s="169"/>
      <c r="C2" s="169"/>
      <c r="D2" s="169"/>
      <c r="E2" s="169"/>
      <c r="F2" s="169"/>
      <c r="G2" s="169"/>
      <c r="H2" s="169"/>
      <c r="I2" s="169"/>
      <c r="J2" s="169"/>
      <c r="K2" s="169"/>
      <c r="L2" s="169"/>
      <c r="M2" s="169"/>
      <c r="N2" s="169"/>
      <c r="O2" s="169"/>
    </row>
    <row r="3" spans="1:15" ht="39" customHeight="1">
      <c r="A3" s="80" t="s">
        <v>556</v>
      </c>
      <c r="B3" s="80" t="s">
        <v>522</v>
      </c>
      <c r="C3" s="80" t="s">
        <v>129</v>
      </c>
      <c r="D3" s="80" t="s">
        <v>557</v>
      </c>
      <c r="E3" s="80" t="s">
        <v>558</v>
      </c>
      <c r="F3" s="80" t="s">
        <v>130</v>
      </c>
      <c r="G3" s="80" t="s">
        <v>580</v>
      </c>
      <c r="H3" s="80" t="s">
        <v>559</v>
      </c>
      <c r="I3" s="80" t="s">
        <v>581</v>
      </c>
      <c r="J3" s="80" t="s">
        <v>560</v>
      </c>
      <c r="K3" s="80" t="s">
        <v>561</v>
      </c>
      <c r="L3" s="80" t="s">
        <v>562</v>
      </c>
      <c r="M3" s="80" t="s">
        <v>80</v>
      </c>
      <c r="N3" s="80" t="s">
        <v>81</v>
      </c>
      <c r="O3" s="80" t="s">
        <v>563</v>
      </c>
    </row>
    <row r="4" spans="1:15" ht="24.6" customHeight="1">
      <c r="A4" s="2">
        <v>1001</v>
      </c>
      <c r="B4" s="85" t="s">
        <v>564</v>
      </c>
      <c r="C4" s="86" t="s">
        <v>565</v>
      </c>
      <c r="D4" s="86" t="s">
        <v>582</v>
      </c>
      <c r="E4" s="86" t="s">
        <v>583</v>
      </c>
      <c r="F4" s="87" t="s">
        <v>584</v>
      </c>
      <c r="G4" s="87" t="s">
        <v>585</v>
      </c>
      <c r="H4" s="87" t="s">
        <v>586</v>
      </c>
      <c r="I4" s="87" t="s">
        <v>587</v>
      </c>
      <c r="J4" s="88" t="s">
        <v>588</v>
      </c>
      <c r="K4" s="87" t="s">
        <v>589</v>
      </c>
      <c r="L4" s="87" t="s">
        <v>590</v>
      </c>
      <c r="M4" s="86" t="s">
        <v>591</v>
      </c>
      <c r="N4" s="86" t="s">
        <v>592</v>
      </c>
      <c r="O4" s="89" t="s">
        <v>593</v>
      </c>
    </row>
    <row r="5" spans="1:15" ht="24.6" customHeight="1">
      <c r="A5" s="2">
        <v>1002</v>
      </c>
      <c r="B5" s="83" t="s">
        <v>566</v>
      </c>
      <c r="C5" s="2" t="s">
        <v>567</v>
      </c>
      <c r="D5" s="2">
        <v>35000</v>
      </c>
      <c r="E5" s="2">
        <v>29</v>
      </c>
      <c r="F5" s="82">
        <f t="shared" ref="F5:F16" si="0">D5/30*E5</f>
        <v>33833.333333333336</v>
      </c>
      <c r="G5" s="82">
        <f t="shared" ref="G5:G16" si="1">F5*7%</f>
        <v>2368.3333333333339</v>
      </c>
      <c r="H5" s="82">
        <f t="shared" ref="H5:H16" si="2">F5*5%</f>
        <v>1691.666666666667</v>
      </c>
      <c r="I5" s="82">
        <f t="shared" ref="I5:I16" si="3">F5*8%</f>
        <v>2706.666666666667</v>
      </c>
      <c r="J5" s="81">
        <v>60</v>
      </c>
      <c r="K5" s="82">
        <f t="shared" ref="K5:K16" si="4">F5/30/8*J5</f>
        <v>8458.3333333333339</v>
      </c>
      <c r="L5" s="82">
        <f t="shared" ref="L5:L16" si="5">D5+G5+H5+I5+K5</f>
        <v>50225</v>
      </c>
      <c r="M5" s="2">
        <f t="shared" ref="M5:M16" si="6">D5*7%</f>
        <v>2450.0000000000005</v>
      </c>
      <c r="N5" s="2">
        <f t="shared" ref="N5:N16" si="7">D5*8%</f>
        <v>2800</v>
      </c>
      <c r="O5" s="84">
        <f t="shared" ref="O5:O16" si="8">L5-M5-N5</f>
        <v>44975</v>
      </c>
    </row>
    <row r="6" spans="1:15" ht="24.6" customHeight="1">
      <c r="A6" s="2">
        <v>1003</v>
      </c>
      <c r="B6" s="83" t="s">
        <v>568</v>
      </c>
      <c r="C6" s="2" t="s">
        <v>569</v>
      </c>
      <c r="D6" s="2">
        <v>30000</v>
      </c>
      <c r="E6" s="2">
        <v>30</v>
      </c>
      <c r="F6" s="82">
        <f t="shared" si="0"/>
        <v>30000</v>
      </c>
      <c r="G6" s="82">
        <f t="shared" si="1"/>
        <v>2100</v>
      </c>
      <c r="H6" s="82">
        <f t="shared" si="2"/>
        <v>1500</v>
      </c>
      <c r="I6" s="82">
        <f t="shared" si="3"/>
        <v>2400</v>
      </c>
      <c r="J6" s="81">
        <v>60</v>
      </c>
      <c r="K6" s="82">
        <f t="shared" si="4"/>
        <v>7500</v>
      </c>
      <c r="L6" s="82">
        <f t="shared" si="5"/>
        <v>43500</v>
      </c>
      <c r="M6" s="2">
        <f t="shared" si="6"/>
        <v>2100</v>
      </c>
      <c r="N6" s="2">
        <f t="shared" si="7"/>
        <v>2400</v>
      </c>
      <c r="O6" s="84">
        <f t="shared" si="8"/>
        <v>39000</v>
      </c>
    </row>
    <row r="7" spans="1:15" ht="24.6" customHeight="1">
      <c r="A7" s="2">
        <v>1004</v>
      </c>
      <c r="B7" s="83" t="s">
        <v>570</v>
      </c>
      <c r="C7" s="2" t="s">
        <v>571</v>
      </c>
      <c r="D7" s="2">
        <v>25000</v>
      </c>
      <c r="E7" s="2">
        <v>26</v>
      </c>
      <c r="F7" s="82">
        <f t="shared" si="0"/>
        <v>21666.666666666668</v>
      </c>
      <c r="G7" s="82">
        <f t="shared" si="1"/>
        <v>1516.666666666667</v>
      </c>
      <c r="H7" s="82">
        <f t="shared" si="2"/>
        <v>1083.3333333333335</v>
      </c>
      <c r="I7" s="82">
        <f t="shared" si="3"/>
        <v>1733.3333333333335</v>
      </c>
      <c r="J7" s="81">
        <v>60</v>
      </c>
      <c r="K7" s="82">
        <f t="shared" si="4"/>
        <v>5416.666666666667</v>
      </c>
      <c r="L7" s="82">
        <f t="shared" si="5"/>
        <v>34750</v>
      </c>
      <c r="M7" s="2">
        <f t="shared" si="6"/>
        <v>1750.0000000000002</v>
      </c>
      <c r="N7" s="2">
        <f t="shared" si="7"/>
        <v>2000</v>
      </c>
      <c r="O7" s="84">
        <f t="shared" si="8"/>
        <v>31000</v>
      </c>
    </row>
    <row r="8" spans="1:15" ht="24.6" customHeight="1">
      <c r="A8" s="2">
        <v>1005</v>
      </c>
      <c r="B8" s="83" t="s">
        <v>572</v>
      </c>
      <c r="C8" s="2" t="s">
        <v>571</v>
      </c>
      <c r="D8" s="2">
        <v>25000</v>
      </c>
      <c r="E8" s="2">
        <v>25</v>
      </c>
      <c r="F8" s="82">
        <f t="shared" si="0"/>
        <v>20833.333333333336</v>
      </c>
      <c r="G8" s="82">
        <f t="shared" si="1"/>
        <v>1458.3333333333337</v>
      </c>
      <c r="H8" s="82">
        <f t="shared" si="2"/>
        <v>1041.6666666666667</v>
      </c>
      <c r="I8" s="82">
        <f t="shared" si="3"/>
        <v>1666.666666666667</v>
      </c>
      <c r="J8" s="81">
        <v>60</v>
      </c>
      <c r="K8" s="82">
        <f t="shared" si="4"/>
        <v>5208.3333333333339</v>
      </c>
      <c r="L8" s="82">
        <f t="shared" si="5"/>
        <v>34375</v>
      </c>
      <c r="M8" s="2">
        <f t="shared" si="6"/>
        <v>1750.0000000000002</v>
      </c>
      <c r="N8" s="2">
        <f t="shared" si="7"/>
        <v>2000</v>
      </c>
      <c r="O8" s="84">
        <f t="shared" si="8"/>
        <v>30625</v>
      </c>
    </row>
    <row r="9" spans="1:15" ht="24.6" customHeight="1">
      <c r="A9" s="2">
        <v>1006</v>
      </c>
      <c r="B9" s="83" t="s">
        <v>573</v>
      </c>
      <c r="C9" s="2" t="s">
        <v>571</v>
      </c>
      <c r="D9" s="2">
        <v>25000</v>
      </c>
      <c r="E9" s="2">
        <v>30</v>
      </c>
      <c r="F9" s="82">
        <f t="shared" si="0"/>
        <v>25000</v>
      </c>
      <c r="G9" s="82">
        <f t="shared" si="1"/>
        <v>1750.0000000000002</v>
      </c>
      <c r="H9" s="82">
        <f t="shared" si="2"/>
        <v>1250</v>
      </c>
      <c r="I9" s="82">
        <f t="shared" si="3"/>
        <v>2000</v>
      </c>
      <c r="J9" s="81">
        <v>60</v>
      </c>
      <c r="K9" s="82">
        <f t="shared" si="4"/>
        <v>6250</v>
      </c>
      <c r="L9" s="82">
        <f t="shared" si="5"/>
        <v>36250</v>
      </c>
      <c r="M9" s="2">
        <f t="shared" si="6"/>
        <v>1750.0000000000002</v>
      </c>
      <c r="N9" s="2">
        <f t="shared" si="7"/>
        <v>2000</v>
      </c>
      <c r="O9" s="84">
        <f t="shared" si="8"/>
        <v>32500</v>
      </c>
    </row>
    <row r="10" spans="1:15" ht="24.6" customHeight="1">
      <c r="A10" s="2">
        <v>1007</v>
      </c>
      <c r="B10" s="83" t="s">
        <v>574</v>
      </c>
      <c r="C10" s="2" t="s">
        <v>571</v>
      </c>
      <c r="D10" s="2">
        <v>25000</v>
      </c>
      <c r="E10" s="2">
        <v>30</v>
      </c>
      <c r="F10" s="82">
        <f t="shared" si="0"/>
        <v>25000</v>
      </c>
      <c r="G10" s="82">
        <f t="shared" si="1"/>
        <v>1750.0000000000002</v>
      </c>
      <c r="H10" s="82">
        <f t="shared" si="2"/>
        <v>1250</v>
      </c>
      <c r="I10" s="82">
        <f t="shared" si="3"/>
        <v>2000</v>
      </c>
      <c r="J10" s="81">
        <v>60</v>
      </c>
      <c r="K10" s="82">
        <f t="shared" si="4"/>
        <v>6250</v>
      </c>
      <c r="L10" s="82">
        <f t="shared" si="5"/>
        <v>36250</v>
      </c>
      <c r="M10" s="2">
        <f t="shared" si="6"/>
        <v>1750.0000000000002</v>
      </c>
      <c r="N10" s="2">
        <f t="shared" si="7"/>
        <v>2000</v>
      </c>
      <c r="O10" s="84">
        <f t="shared" si="8"/>
        <v>32500</v>
      </c>
    </row>
    <row r="11" spans="1:15" ht="24.6" customHeight="1">
      <c r="A11" s="2">
        <v>1008</v>
      </c>
      <c r="B11" s="83" t="s">
        <v>575</v>
      </c>
      <c r="C11" s="2" t="s">
        <v>571</v>
      </c>
      <c r="D11" s="2">
        <v>25000</v>
      </c>
      <c r="E11" s="2">
        <v>25</v>
      </c>
      <c r="F11" s="82">
        <f t="shared" si="0"/>
        <v>20833.333333333336</v>
      </c>
      <c r="G11" s="82">
        <f t="shared" si="1"/>
        <v>1458.3333333333337</v>
      </c>
      <c r="H11" s="82">
        <f t="shared" si="2"/>
        <v>1041.6666666666667</v>
      </c>
      <c r="I11" s="82">
        <f t="shared" si="3"/>
        <v>1666.666666666667</v>
      </c>
      <c r="J11" s="81">
        <v>60</v>
      </c>
      <c r="K11" s="82">
        <f t="shared" si="4"/>
        <v>5208.3333333333339</v>
      </c>
      <c r="L11" s="82">
        <f t="shared" si="5"/>
        <v>34375</v>
      </c>
      <c r="M11" s="2">
        <f t="shared" si="6"/>
        <v>1750.0000000000002</v>
      </c>
      <c r="N11" s="2">
        <f t="shared" si="7"/>
        <v>2000</v>
      </c>
      <c r="O11" s="84">
        <f t="shared" si="8"/>
        <v>30625</v>
      </c>
    </row>
    <row r="12" spans="1:15" ht="24.6" customHeight="1">
      <c r="A12" s="2">
        <v>1009</v>
      </c>
      <c r="B12" s="83" t="s">
        <v>576</v>
      </c>
      <c r="C12" s="2" t="s">
        <v>571</v>
      </c>
      <c r="D12" s="2">
        <v>18000</v>
      </c>
      <c r="E12" s="2">
        <v>28</v>
      </c>
      <c r="F12" s="82">
        <f t="shared" si="0"/>
        <v>16800</v>
      </c>
      <c r="G12" s="82">
        <f t="shared" si="1"/>
        <v>1176</v>
      </c>
      <c r="H12" s="82">
        <f t="shared" si="2"/>
        <v>840</v>
      </c>
      <c r="I12" s="82">
        <f t="shared" si="3"/>
        <v>1344</v>
      </c>
      <c r="J12" s="81">
        <v>60</v>
      </c>
      <c r="K12" s="82">
        <f t="shared" si="4"/>
        <v>4200</v>
      </c>
      <c r="L12" s="82">
        <f t="shared" si="5"/>
        <v>25560</v>
      </c>
      <c r="M12" s="2">
        <f t="shared" si="6"/>
        <v>1260.0000000000002</v>
      </c>
      <c r="N12" s="2">
        <f t="shared" si="7"/>
        <v>1440</v>
      </c>
      <c r="O12" s="84">
        <f t="shared" si="8"/>
        <v>22860</v>
      </c>
    </row>
    <row r="13" spans="1:15" ht="24.6" customHeight="1">
      <c r="A13" s="2">
        <v>1010</v>
      </c>
      <c r="B13" s="83" t="s">
        <v>577</v>
      </c>
      <c r="C13" s="2" t="s">
        <v>571</v>
      </c>
      <c r="D13" s="2">
        <v>18000</v>
      </c>
      <c r="E13" s="2">
        <v>26</v>
      </c>
      <c r="F13" s="82">
        <f t="shared" si="0"/>
        <v>15600</v>
      </c>
      <c r="G13" s="82">
        <f t="shared" si="1"/>
        <v>1092</v>
      </c>
      <c r="H13" s="82">
        <f t="shared" si="2"/>
        <v>780</v>
      </c>
      <c r="I13" s="82">
        <f t="shared" si="3"/>
        <v>1248</v>
      </c>
      <c r="J13" s="81">
        <v>60</v>
      </c>
      <c r="K13" s="82">
        <f t="shared" si="4"/>
        <v>3900</v>
      </c>
      <c r="L13" s="82">
        <f t="shared" si="5"/>
        <v>25020</v>
      </c>
      <c r="M13" s="2">
        <f t="shared" si="6"/>
        <v>1260.0000000000002</v>
      </c>
      <c r="N13" s="2">
        <f t="shared" si="7"/>
        <v>1440</v>
      </c>
      <c r="O13" s="84">
        <f t="shared" si="8"/>
        <v>22320</v>
      </c>
    </row>
    <row r="14" spans="1:15" ht="24.6" customHeight="1">
      <c r="A14" s="2">
        <v>1011</v>
      </c>
      <c r="B14" s="83" t="s">
        <v>578</v>
      </c>
      <c r="C14" s="2" t="s">
        <v>571</v>
      </c>
      <c r="D14" s="2">
        <v>18000</v>
      </c>
      <c r="E14" s="2">
        <v>24</v>
      </c>
      <c r="F14" s="82">
        <f t="shared" si="0"/>
        <v>14400</v>
      </c>
      <c r="G14" s="82">
        <f t="shared" si="1"/>
        <v>1008.0000000000001</v>
      </c>
      <c r="H14" s="82">
        <f t="shared" si="2"/>
        <v>720</v>
      </c>
      <c r="I14" s="82">
        <f t="shared" si="3"/>
        <v>1152</v>
      </c>
      <c r="J14" s="81">
        <v>60</v>
      </c>
      <c r="K14" s="82">
        <f t="shared" si="4"/>
        <v>3600</v>
      </c>
      <c r="L14" s="82">
        <f t="shared" si="5"/>
        <v>24480</v>
      </c>
      <c r="M14" s="2">
        <f t="shared" si="6"/>
        <v>1260.0000000000002</v>
      </c>
      <c r="N14" s="2">
        <f t="shared" si="7"/>
        <v>1440</v>
      </c>
      <c r="O14" s="84">
        <f t="shared" si="8"/>
        <v>21780</v>
      </c>
    </row>
    <row r="15" spans="1:15" ht="24.6" customHeight="1">
      <c r="A15" s="2">
        <v>1012</v>
      </c>
      <c r="B15" s="83" t="s">
        <v>541</v>
      </c>
      <c r="C15" s="2" t="s">
        <v>571</v>
      </c>
      <c r="D15" s="2">
        <v>18000</v>
      </c>
      <c r="E15" s="2">
        <v>30</v>
      </c>
      <c r="F15" s="82">
        <f t="shared" si="0"/>
        <v>18000</v>
      </c>
      <c r="G15" s="82">
        <f t="shared" si="1"/>
        <v>1260.0000000000002</v>
      </c>
      <c r="H15" s="82">
        <f t="shared" si="2"/>
        <v>900</v>
      </c>
      <c r="I15" s="82">
        <f t="shared" si="3"/>
        <v>1440</v>
      </c>
      <c r="J15" s="81">
        <v>60</v>
      </c>
      <c r="K15" s="82">
        <f t="shared" si="4"/>
        <v>4500</v>
      </c>
      <c r="L15" s="82">
        <f t="shared" si="5"/>
        <v>26100</v>
      </c>
      <c r="M15" s="2">
        <f t="shared" si="6"/>
        <v>1260.0000000000002</v>
      </c>
      <c r="N15" s="2">
        <f t="shared" si="7"/>
        <v>1440</v>
      </c>
      <c r="O15" s="84">
        <f t="shared" si="8"/>
        <v>23400</v>
      </c>
    </row>
    <row r="16" spans="1:15" ht="24.6" customHeight="1">
      <c r="A16" s="2">
        <v>1013</v>
      </c>
      <c r="B16" s="90" t="s">
        <v>572</v>
      </c>
      <c r="C16" s="91" t="s">
        <v>571</v>
      </c>
      <c r="D16" s="91">
        <v>18000</v>
      </c>
      <c r="E16" s="91">
        <v>30</v>
      </c>
      <c r="F16" s="92">
        <f t="shared" si="0"/>
        <v>18000</v>
      </c>
      <c r="G16" s="92">
        <f t="shared" si="1"/>
        <v>1260.0000000000002</v>
      </c>
      <c r="H16" s="92">
        <f t="shared" si="2"/>
        <v>900</v>
      </c>
      <c r="I16" s="92">
        <f t="shared" si="3"/>
        <v>1440</v>
      </c>
      <c r="J16" s="93">
        <v>60</v>
      </c>
      <c r="K16" s="92">
        <f t="shared" si="4"/>
        <v>4500</v>
      </c>
      <c r="L16" s="92">
        <f t="shared" si="5"/>
        <v>26100</v>
      </c>
      <c r="M16" s="91">
        <f t="shared" si="6"/>
        <v>1260.0000000000002</v>
      </c>
      <c r="N16" s="91">
        <f t="shared" si="7"/>
        <v>1440</v>
      </c>
      <c r="O16" s="94">
        <f t="shared" si="8"/>
        <v>23400</v>
      </c>
    </row>
  </sheetData>
  <mergeCells count="1">
    <mergeCell ref="A1:O2"/>
  </mergeCells>
  <pageMargins left="0.7" right="0.7" top="0.75" bottom="0.75" header="0.3" footer="0.3"/>
  <tableParts count="1">
    <tablePart r:id="rId1"/>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85340-536D-44C9-ACA8-8F8CBCAB2A9E}">
  <dimension ref="C1:O16"/>
  <sheetViews>
    <sheetView topLeftCell="C1" workbookViewId="0">
      <selection activeCell="O21" sqref="O21"/>
    </sheetView>
  </sheetViews>
  <sheetFormatPr defaultRowHeight="15"/>
  <cols>
    <col min="3" max="3" width="8.7109375" bestFit="1" customWidth="1"/>
    <col min="4" max="4" width="16" bestFit="1" customWidth="1"/>
    <col min="5" max="5" width="15.5703125" bestFit="1" customWidth="1"/>
    <col min="6" max="6" width="10.42578125" customWidth="1"/>
    <col min="7" max="7" width="11" bestFit="1" customWidth="1"/>
    <col min="8" max="8" width="8.5703125" customWidth="1"/>
    <col min="9" max="9" width="18" bestFit="1" customWidth="1"/>
    <col min="10" max="10" width="22.140625" bestFit="1" customWidth="1"/>
    <col min="11" max="11" width="21.7109375" bestFit="1" customWidth="1"/>
    <col min="12" max="12" width="16.7109375" bestFit="1" customWidth="1"/>
    <col min="13" max="13" width="6.85546875" customWidth="1"/>
    <col min="14" max="14" width="5.85546875" customWidth="1"/>
    <col min="15" max="15" width="19.28515625" bestFit="1" customWidth="1"/>
  </cols>
  <sheetData>
    <row r="1" spans="3:15" ht="14.45" customHeight="1">
      <c r="C1" s="170" t="s">
        <v>594</v>
      </c>
      <c r="D1" s="170"/>
      <c r="E1" s="170"/>
      <c r="F1" s="170"/>
      <c r="G1" s="170"/>
      <c r="H1" s="170"/>
      <c r="I1" s="170"/>
      <c r="J1" s="170"/>
      <c r="K1" s="170"/>
      <c r="L1" s="170"/>
      <c r="M1" s="170"/>
      <c r="N1" s="170"/>
      <c r="O1" s="170"/>
    </row>
    <row r="2" spans="3:15" ht="14.45" customHeight="1">
      <c r="C2" s="171"/>
      <c r="D2" s="171"/>
      <c r="E2" s="171"/>
      <c r="F2" s="171"/>
      <c r="G2" s="171"/>
      <c r="H2" s="171"/>
      <c r="I2" s="171"/>
      <c r="J2" s="171"/>
      <c r="K2" s="171"/>
      <c r="L2" s="171"/>
      <c r="M2" s="171"/>
      <c r="N2" s="171"/>
      <c r="O2" s="171"/>
    </row>
    <row r="3" spans="3:15" ht="21">
      <c r="C3" s="106" t="s">
        <v>522</v>
      </c>
      <c r="D3" s="106" t="s">
        <v>557</v>
      </c>
      <c r="E3" s="106" t="s">
        <v>558</v>
      </c>
      <c r="F3" s="106" t="s">
        <v>130</v>
      </c>
      <c r="G3" s="106" t="s">
        <v>580</v>
      </c>
      <c r="H3" s="106" t="s">
        <v>559</v>
      </c>
      <c r="I3" s="106" t="s">
        <v>581</v>
      </c>
      <c r="J3" s="106" t="s">
        <v>560</v>
      </c>
      <c r="K3" s="106" t="s">
        <v>561</v>
      </c>
      <c r="L3" s="106" t="s">
        <v>562</v>
      </c>
      <c r="M3" s="106" t="s">
        <v>80</v>
      </c>
      <c r="N3" s="106" t="s">
        <v>81</v>
      </c>
      <c r="O3" s="106" t="s">
        <v>563</v>
      </c>
    </row>
    <row r="4" spans="3:15">
      <c r="C4" s="85" t="s">
        <v>564</v>
      </c>
      <c r="D4" s="87" t="s">
        <v>582</v>
      </c>
      <c r="E4" t="s">
        <v>583</v>
      </c>
      <c r="F4" s="95" t="s">
        <v>584</v>
      </c>
      <c r="G4" t="s">
        <v>591</v>
      </c>
      <c r="H4" t="s">
        <v>592</v>
      </c>
      <c r="I4" t="s">
        <v>595</v>
      </c>
      <c r="J4" s="96" t="s">
        <v>588</v>
      </c>
      <c r="K4" t="s">
        <v>596</v>
      </c>
      <c r="L4" s="95" t="s">
        <v>597</v>
      </c>
      <c r="M4" t="s">
        <v>598</v>
      </c>
      <c r="N4" t="s">
        <v>599</v>
      </c>
      <c r="O4" s="95" t="s">
        <v>600</v>
      </c>
    </row>
    <row r="5" spans="3:15">
      <c r="C5" s="83" t="s">
        <v>566</v>
      </c>
      <c r="D5" s="2">
        <v>35000</v>
      </c>
      <c r="E5">
        <v>29</v>
      </c>
      <c r="F5" s="95">
        <f t="shared" ref="F5:F16" si="0">D5/30*E5</f>
        <v>33833.333333333336</v>
      </c>
      <c r="G5">
        <f t="shared" ref="G5:G16" si="1">D5*7%</f>
        <v>2450.0000000000005</v>
      </c>
      <c r="H5">
        <f t="shared" ref="H5:H16" si="2">D5*8%</f>
        <v>2800</v>
      </c>
      <c r="I5">
        <f t="shared" ref="I5:I16" si="3">D5*8%</f>
        <v>2800</v>
      </c>
      <c r="J5" s="96">
        <v>60</v>
      </c>
      <c r="K5">
        <f t="shared" ref="K5:K16" si="4">D5/30/8*J5</f>
        <v>8750</v>
      </c>
      <c r="L5" s="95">
        <f t="shared" ref="L5:L16" si="5">D5+G5+H5+I5+K5</f>
        <v>51800</v>
      </c>
      <c r="M5">
        <f t="shared" ref="M5:M16" si="6">D5*12%</f>
        <v>4200</v>
      </c>
      <c r="N5">
        <f t="shared" ref="N5:N16" si="7">D5*0.75%</f>
        <v>262.5</v>
      </c>
      <c r="O5" s="95">
        <f t="shared" ref="O5:O16" si="8">L5-M5-N5</f>
        <v>47337.5</v>
      </c>
    </row>
    <row r="6" spans="3:15">
      <c r="C6" s="83" t="s">
        <v>568</v>
      </c>
      <c r="D6" s="2">
        <v>30000</v>
      </c>
      <c r="E6">
        <v>30</v>
      </c>
      <c r="F6" s="95">
        <f t="shared" si="0"/>
        <v>30000</v>
      </c>
      <c r="G6">
        <f t="shared" si="1"/>
        <v>2100</v>
      </c>
      <c r="H6">
        <f t="shared" si="2"/>
        <v>2400</v>
      </c>
      <c r="I6">
        <f t="shared" si="3"/>
        <v>2400</v>
      </c>
      <c r="J6" s="96">
        <v>60</v>
      </c>
      <c r="K6">
        <f t="shared" si="4"/>
        <v>7500</v>
      </c>
      <c r="L6" s="95">
        <f t="shared" si="5"/>
        <v>44400</v>
      </c>
      <c r="M6">
        <f t="shared" si="6"/>
        <v>3600</v>
      </c>
      <c r="N6">
        <f t="shared" si="7"/>
        <v>225</v>
      </c>
      <c r="O6" s="95">
        <f t="shared" si="8"/>
        <v>40575</v>
      </c>
    </row>
    <row r="7" spans="3:15">
      <c r="C7" s="83" t="s">
        <v>570</v>
      </c>
      <c r="D7" s="2">
        <v>25000</v>
      </c>
      <c r="E7">
        <v>26</v>
      </c>
      <c r="F7" s="95">
        <f t="shared" si="0"/>
        <v>21666.666666666668</v>
      </c>
      <c r="G7">
        <f t="shared" si="1"/>
        <v>1750.0000000000002</v>
      </c>
      <c r="H7">
        <f t="shared" si="2"/>
        <v>2000</v>
      </c>
      <c r="I7">
        <f t="shared" si="3"/>
        <v>2000</v>
      </c>
      <c r="J7" s="96">
        <v>60</v>
      </c>
      <c r="K7">
        <f t="shared" si="4"/>
        <v>6250</v>
      </c>
      <c r="L7" s="95">
        <f t="shared" si="5"/>
        <v>37000</v>
      </c>
      <c r="M7">
        <f t="shared" si="6"/>
        <v>3000</v>
      </c>
      <c r="N7">
        <f t="shared" si="7"/>
        <v>187.5</v>
      </c>
      <c r="O7" s="95">
        <f t="shared" si="8"/>
        <v>33812.5</v>
      </c>
    </row>
    <row r="8" spans="3:15">
      <c r="C8" s="83" t="s">
        <v>572</v>
      </c>
      <c r="D8" s="2">
        <v>25000</v>
      </c>
      <c r="E8">
        <v>25</v>
      </c>
      <c r="F8" s="95">
        <f t="shared" si="0"/>
        <v>20833.333333333336</v>
      </c>
      <c r="G8">
        <f t="shared" si="1"/>
        <v>1750.0000000000002</v>
      </c>
      <c r="H8">
        <f t="shared" si="2"/>
        <v>2000</v>
      </c>
      <c r="I8">
        <f t="shared" si="3"/>
        <v>2000</v>
      </c>
      <c r="J8" s="96">
        <v>60</v>
      </c>
      <c r="K8">
        <f t="shared" si="4"/>
        <v>6250</v>
      </c>
      <c r="L8" s="95">
        <f t="shared" si="5"/>
        <v>37000</v>
      </c>
      <c r="M8">
        <f t="shared" si="6"/>
        <v>3000</v>
      </c>
      <c r="N8">
        <f t="shared" si="7"/>
        <v>187.5</v>
      </c>
      <c r="O8" s="95">
        <f t="shared" si="8"/>
        <v>33812.5</v>
      </c>
    </row>
    <row r="9" spans="3:15">
      <c r="C9" s="83" t="s">
        <v>573</v>
      </c>
      <c r="D9" s="2">
        <v>25000</v>
      </c>
      <c r="E9">
        <v>30</v>
      </c>
      <c r="F9" s="95">
        <f t="shared" si="0"/>
        <v>25000</v>
      </c>
      <c r="G9">
        <f t="shared" si="1"/>
        <v>1750.0000000000002</v>
      </c>
      <c r="H9">
        <f t="shared" si="2"/>
        <v>2000</v>
      </c>
      <c r="I9">
        <f t="shared" si="3"/>
        <v>2000</v>
      </c>
      <c r="J9" s="96">
        <v>60</v>
      </c>
      <c r="K9">
        <f t="shared" si="4"/>
        <v>6250</v>
      </c>
      <c r="L9" s="95">
        <f t="shared" si="5"/>
        <v>37000</v>
      </c>
      <c r="M9">
        <f t="shared" si="6"/>
        <v>3000</v>
      </c>
      <c r="N9">
        <f t="shared" si="7"/>
        <v>187.5</v>
      </c>
      <c r="O9" s="95">
        <f t="shared" si="8"/>
        <v>33812.5</v>
      </c>
    </row>
    <row r="10" spans="3:15">
      <c r="C10" s="83" t="s">
        <v>574</v>
      </c>
      <c r="D10" s="2">
        <v>25000</v>
      </c>
      <c r="E10">
        <v>30</v>
      </c>
      <c r="F10" s="95">
        <f t="shared" si="0"/>
        <v>25000</v>
      </c>
      <c r="G10">
        <f t="shared" si="1"/>
        <v>1750.0000000000002</v>
      </c>
      <c r="H10">
        <f t="shared" si="2"/>
        <v>2000</v>
      </c>
      <c r="I10">
        <f t="shared" si="3"/>
        <v>2000</v>
      </c>
      <c r="J10" s="96">
        <v>60</v>
      </c>
      <c r="K10">
        <f t="shared" si="4"/>
        <v>6250</v>
      </c>
      <c r="L10" s="95">
        <f t="shared" si="5"/>
        <v>37000</v>
      </c>
      <c r="M10">
        <f t="shared" si="6"/>
        <v>3000</v>
      </c>
      <c r="N10">
        <f t="shared" si="7"/>
        <v>187.5</v>
      </c>
      <c r="O10" s="95">
        <f t="shared" si="8"/>
        <v>33812.5</v>
      </c>
    </row>
    <row r="11" spans="3:15">
      <c r="C11" s="83" t="s">
        <v>575</v>
      </c>
      <c r="D11" s="2">
        <v>25000</v>
      </c>
      <c r="E11">
        <v>25</v>
      </c>
      <c r="F11" s="95">
        <f t="shared" si="0"/>
        <v>20833.333333333336</v>
      </c>
      <c r="G11">
        <f t="shared" si="1"/>
        <v>1750.0000000000002</v>
      </c>
      <c r="H11">
        <f t="shared" si="2"/>
        <v>2000</v>
      </c>
      <c r="I11">
        <f t="shared" si="3"/>
        <v>2000</v>
      </c>
      <c r="J11" s="96">
        <v>60</v>
      </c>
      <c r="K11">
        <f t="shared" si="4"/>
        <v>6250</v>
      </c>
      <c r="L11" s="95">
        <f t="shared" si="5"/>
        <v>37000</v>
      </c>
      <c r="M11">
        <f t="shared" si="6"/>
        <v>3000</v>
      </c>
      <c r="N11">
        <f t="shared" si="7"/>
        <v>187.5</v>
      </c>
      <c r="O11" s="95">
        <f t="shared" si="8"/>
        <v>33812.5</v>
      </c>
    </row>
    <row r="12" spans="3:15">
      <c r="C12" s="83" t="s">
        <v>576</v>
      </c>
      <c r="D12" s="2">
        <v>18000</v>
      </c>
      <c r="E12">
        <v>28</v>
      </c>
      <c r="F12" s="95">
        <f t="shared" si="0"/>
        <v>16800</v>
      </c>
      <c r="G12">
        <f t="shared" si="1"/>
        <v>1260.0000000000002</v>
      </c>
      <c r="H12">
        <f t="shared" si="2"/>
        <v>1440</v>
      </c>
      <c r="I12">
        <f t="shared" si="3"/>
        <v>1440</v>
      </c>
      <c r="J12" s="96">
        <v>60</v>
      </c>
      <c r="K12">
        <f t="shared" si="4"/>
        <v>4500</v>
      </c>
      <c r="L12" s="95">
        <f t="shared" si="5"/>
        <v>26640</v>
      </c>
      <c r="M12">
        <f t="shared" si="6"/>
        <v>2160</v>
      </c>
      <c r="N12">
        <f t="shared" si="7"/>
        <v>135</v>
      </c>
      <c r="O12" s="95">
        <f t="shared" si="8"/>
        <v>24345</v>
      </c>
    </row>
    <row r="13" spans="3:15">
      <c r="C13" s="83" t="s">
        <v>577</v>
      </c>
      <c r="D13" s="2">
        <v>18000</v>
      </c>
      <c r="E13">
        <v>26</v>
      </c>
      <c r="F13" s="95">
        <f t="shared" si="0"/>
        <v>15600</v>
      </c>
      <c r="G13">
        <f t="shared" si="1"/>
        <v>1260.0000000000002</v>
      </c>
      <c r="H13">
        <f t="shared" si="2"/>
        <v>1440</v>
      </c>
      <c r="I13">
        <f t="shared" si="3"/>
        <v>1440</v>
      </c>
      <c r="J13" s="96">
        <v>60</v>
      </c>
      <c r="K13">
        <f t="shared" si="4"/>
        <v>4500</v>
      </c>
      <c r="L13" s="95">
        <f t="shared" si="5"/>
        <v>26640</v>
      </c>
      <c r="M13">
        <f t="shared" si="6"/>
        <v>2160</v>
      </c>
      <c r="N13">
        <f t="shared" si="7"/>
        <v>135</v>
      </c>
      <c r="O13" s="95">
        <f t="shared" si="8"/>
        <v>24345</v>
      </c>
    </row>
    <row r="14" spans="3:15">
      <c r="C14" s="83" t="s">
        <v>578</v>
      </c>
      <c r="D14" s="2">
        <v>18000</v>
      </c>
      <c r="E14">
        <v>24</v>
      </c>
      <c r="F14" s="95">
        <f t="shared" si="0"/>
        <v>14400</v>
      </c>
      <c r="G14">
        <f t="shared" si="1"/>
        <v>1260.0000000000002</v>
      </c>
      <c r="H14">
        <f t="shared" si="2"/>
        <v>1440</v>
      </c>
      <c r="I14">
        <f t="shared" si="3"/>
        <v>1440</v>
      </c>
      <c r="J14" s="96">
        <v>60</v>
      </c>
      <c r="K14">
        <f t="shared" si="4"/>
        <v>4500</v>
      </c>
      <c r="L14" s="95">
        <f t="shared" si="5"/>
        <v>26640</v>
      </c>
      <c r="M14">
        <f t="shared" si="6"/>
        <v>2160</v>
      </c>
      <c r="N14">
        <f t="shared" si="7"/>
        <v>135</v>
      </c>
      <c r="O14" s="95">
        <f t="shared" si="8"/>
        <v>24345</v>
      </c>
    </row>
    <row r="15" spans="3:15">
      <c r="C15" s="83" t="s">
        <v>541</v>
      </c>
      <c r="D15" s="2">
        <v>18000</v>
      </c>
      <c r="E15">
        <v>30</v>
      </c>
      <c r="F15" s="95">
        <f t="shared" si="0"/>
        <v>18000</v>
      </c>
      <c r="G15">
        <f t="shared" si="1"/>
        <v>1260.0000000000002</v>
      </c>
      <c r="H15">
        <f t="shared" si="2"/>
        <v>1440</v>
      </c>
      <c r="I15">
        <f t="shared" si="3"/>
        <v>1440</v>
      </c>
      <c r="J15" s="96">
        <v>60</v>
      </c>
      <c r="K15">
        <f t="shared" si="4"/>
        <v>4500</v>
      </c>
      <c r="L15" s="95">
        <f t="shared" si="5"/>
        <v>26640</v>
      </c>
      <c r="M15">
        <f t="shared" si="6"/>
        <v>2160</v>
      </c>
      <c r="N15">
        <f t="shared" si="7"/>
        <v>135</v>
      </c>
      <c r="O15" s="95">
        <f t="shared" si="8"/>
        <v>24345</v>
      </c>
    </row>
    <row r="16" spans="3:15">
      <c r="C16" s="90" t="s">
        <v>572</v>
      </c>
      <c r="D16" s="91">
        <v>18000</v>
      </c>
      <c r="E16">
        <v>30</v>
      </c>
      <c r="F16" s="95">
        <f t="shared" si="0"/>
        <v>18000</v>
      </c>
      <c r="G16">
        <f t="shared" si="1"/>
        <v>1260.0000000000002</v>
      </c>
      <c r="H16">
        <f t="shared" si="2"/>
        <v>1440</v>
      </c>
      <c r="I16">
        <f t="shared" si="3"/>
        <v>1440</v>
      </c>
      <c r="J16" s="96">
        <v>60</v>
      </c>
      <c r="K16">
        <f t="shared" si="4"/>
        <v>4500</v>
      </c>
      <c r="L16" s="95">
        <f t="shared" si="5"/>
        <v>26640</v>
      </c>
      <c r="M16">
        <f t="shared" si="6"/>
        <v>2160</v>
      </c>
      <c r="N16">
        <f t="shared" si="7"/>
        <v>135</v>
      </c>
      <c r="O16" s="95">
        <f t="shared" si="8"/>
        <v>24345</v>
      </c>
    </row>
  </sheetData>
  <mergeCells count="1">
    <mergeCell ref="C1:O2"/>
  </mergeCells>
  <pageMargins left="0.7" right="0.7" top="0.75" bottom="0.75" header="0.3" footer="0.3"/>
  <tableParts count="1">
    <tablePart r:id="rId1"/>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A098C-4F3E-4D59-AA12-27D1D67F307D}">
  <dimension ref="A1:E10"/>
  <sheetViews>
    <sheetView zoomScale="110" zoomScaleNormal="110" workbookViewId="0">
      <selection activeCell="I7" sqref="I7"/>
    </sheetView>
  </sheetViews>
  <sheetFormatPr defaultRowHeight="15"/>
  <cols>
    <col min="1" max="1" width="16.140625" bestFit="1" customWidth="1"/>
    <col min="2" max="2" width="16.28515625" bestFit="1" customWidth="1"/>
    <col min="3" max="3" width="8.28515625" bestFit="1" customWidth="1"/>
    <col min="4" max="4" width="9.140625" bestFit="1" customWidth="1"/>
    <col min="5" max="5" width="11.42578125" bestFit="1" customWidth="1"/>
    <col min="6" max="6" width="6.5703125" bestFit="1" customWidth="1"/>
    <col min="7" max="7" width="8.28515625" bestFit="1" customWidth="1"/>
    <col min="8" max="8" width="9.5703125" bestFit="1" customWidth="1"/>
    <col min="10" max="10" width="12" bestFit="1" customWidth="1"/>
    <col min="11" max="11" width="11.42578125" bestFit="1" customWidth="1"/>
  </cols>
  <sheetData>
    <row r="1" spans="1:5">
      <c r="A1" s="3" t="s">
        <v>603</v>
      </c>
      <c r="B1" t="s">
        <v>56</v>
      </c>
    </row>
    <row r="3" spans="1:5">
      <c r="A3" s="3" t="s">
        <v>638</v>
      </c>
      <c r="B3" s="3" t="s">
        <v>433</v>
      </c>
    </row>
    <row r="4" spans="1:5">
      <c r="A4" s="3" t="s">
        <v>44</v>
      </c>
      <c r="B4" t="s">
        <v>622</v>
      </c>
      <c r="C4" t="s">
        <v>625</v>
      </c>
      <c r="D4" t="s">
        <v>617</v>
      </c>
      <c r="E4" t="s">
        <v>45</v>
      </c>
    </row>
    <row r="5" spans="1:5">
      <c r="A5" s="4" t="s">
        <v>610</v>
      </c>
      <c r="D5">
        <v>1800</v>
      </c>
      <c r="E5">
        <v>1800</v>
      </c>
    </row>
    <row r="6" spans="1:5">
      <c r="A6" s="4" t="s">
        <v>618</v>
      </c>
      <c r="C6">
        <v>1500</v>
      </c>
      <c r="E6">
        <v>1500</v>
      </c>
    </row>
    <row r="7" spans="1:5">
      <c r="A7" s="4" t="s">
        <v>626</v>
      </c>
      <c r="B7">
        <v>2200</v>
      </c>
      <c r="E7">
        <v>2200</v>
      </c>
    </row>
    <row r="8" spans="1:5">
      <c r="A8" s="4" t="s">
        <v>632</v>
      </c>
      <c r="D8">
        <v>1600</v>
      </c>
      <c r="E8">
        <v>1600</v>
      </c>
    </row>
    <row r="9" spans="1:5">
      <c r="A9" s="4" t="s">
        <v>635</v>
      </c>
      <c r="B9">
        <v>1400</v>
      </c>
      <c r="E9">
        <v>1400</v>
      </c>
    </row>
    <row r="10" spans="1:5">
      <c r="A10" s="4" t="s">
        <v>45</v>
      </c>
      <c r="B10">
        <v>3600</v>
      </c>
      <c r="C10">
        <v>1500</v>
      </c>
      <c r="D10">
        <v>3400</v>
      </c>
      <c r="E10">
        <v>8500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3FDE-2ADC-481D-BCF1-7683D09FCB9D}">
  <dimension ref="A1:P20"/>
  <sheetViews>
    <sheetView workbookViewId="0">
      <selection sqref="A1:J6"/>
    </sheetView>
  </sheetViews>
  <sheetFormatPr defaultRowHeight="12.6" customHeight="1"/>
  <cols>
    <col min="1" max="1" width="13.5703125" bestFit="1" customWidth="1"/>
    <col min="2" max="2" width="10.42578125" bestFit="1" customWidth="1"/>
    <col min="3" max="3" width="11" bestFit="1" customWidth="1"/>
    <col min="4" max="4" width="14" bestFit="1" customWidth="1"/>
    <col min="5" max="5" width="22.140625" customWidth="1"/>
    <col min="6" max="6" width="19.5703125" bestFit="1" customWidth="1"/>
    <col min="7" max="7" width="20.140625" bestFit="1" customWidth="1"/>
    <col min="8" max="8" width="15.5703125" customWidth="1"/>
    <col min="9" max="9" width="20.7109375" bestFit="1" customWidth="1"/>
    <col min="10" max="10" width="19.85546875" bestFit="1" customWidth="1"/>
    <col min="11" max="11" width="14.85546875" customWidth="1"/>
  </cols>
  <sheetData>
    <row r="1" spans="1:16" ht="20.45" customHeight="1">
      <c r="A1" s="142" t="s">
        <v>601</v>
      </c>
      <c r="B1" s="143" t="s">
        <v>522</v>
      </c>
      <c r="C1" s="143" t="s">
        <v>602</v>
      </c>
      <c r="D1" s="143" t="s">
        <v>603</v>
      </c>
      <c r="E1" s="143" t="s">
        <v>604</v>
      </c>
      <c r="F1" s="143" t="s">
        <v>605</v>
      </c>
      <c r="G1" s="143" t="s">
        <v>606</v>
      </c>
      <c r="H1" s="143" t="s">
        <v>607</v>
      </c>
      <c r="I1" s="143" t="s">
        <v>608</v>
      </c>
      <c r="J1" s="144" t="s">
        <v>609</v>
      </c>
    </row>
    <row r="2" spans="1:16" ht="20.45" customHeight="1">
      <c r="A2" s="140" t="s">
        <v>610</v>
      </c>
      <c r="B2" s="14" t="s">
        <v>611</v>
      </c>
      <c r="C2" s="14" t="s">
        <v>612</v>
      </c>
      <c r="D2" s="14" t="s">
        <v>613</v>
      </c>
      <c r="E2" s="14">
        <v>2.5</v>
      </c>
      <c r="F2" s="14" t="s">
        <v>614</v>
      </c>
      <c r="G2" s="14" t="s">
        <v>615</v>
      </c>
      <c r="H2" s="14">
        <v>1800</v>
      </c>
      <c r="I2" s="14" t="s">
        <v>616</v>
      </c>
      <c r="J2" s="141" t="s">
        <v>617</v>
      </c>
    </row>
    <row r="3" spans="1:16" ht="20.45" customHeight="1">
      <c r="A3" s="140" t="s">
        <v>618</v>
      </c>
      <c r="B3" s="14" t="s">
        <v>619</v>
      </c>
      <c r="C3" s="14" t="s">
        <v>620</v>
      </c>
      <c r="D3" s="14" t="s">
        <v>621</v>
      </c>
      <c r="E3" s="14">
        <v>1.8</v>
      </c>
      <c r="F3" s="14" t="s">
        <v>622</v>
      </c>
      <c r="G3" s="14" t="s">
        <v>623</v>
      </c>
      <c r="H3" s="14">
        <v>1500</v>
      </c>
      <c r="I3" s="14" t="s">
        <v>624</v>
      </c>
      <c r="J3" s="21" t="s">
        <v>625</v>
      </c>
    </row>
    <row r="4" spans="1:16" ht="20.45" customHeight="1">
      <c r="A4" s="140" t="s">
        <v>626</v>
      </c>
      <c r="B4" s="14" t="s">
        <v>627</v>
      </c>
      <c r="C4" s="14" t="s">
        <v>628</v>
      </c>
      <c r="D4" s="14" t="s">
        <v>629</v>
      </c>
      <c r="E4" s="14">
        <v>3</v>
      </c>
      <c r="F4" s="14" t="s">
        <v>630</v>
      </c>
      <c r="G4" s="14" t="s">
        <v>631</v>
      </c>
      <c r="H4" s="14">
        <v>2200</v>
      </c>
      <c r="I4" s="14" t="s">
        <v>616</v>
      </c>
      <c r="J4" s="141" t="s">
        <v>622</v>
      </c>
    </row>
    <row r="5" spans="1:16" ht="20.45" customHeight="1">
      <c r="A5" s="140" t="s">
        <v>632</v>
      </c>
      <c r="B5" s="14" t="s">
        <v>633</v>
      </c>
      <c r="C5" s="14" t="s">
        <v>612</v>
      </c>
      <c r="D5" s="14" t="s">
        <v>634</v>
      </c>
      <c r="E5" s="14">
        <v>2</v>
      </c>
      <c r="F5" s="14" t="s">
        <v>614</v>
      </c>
      <c r="G5" s="14" t="s">
        <v>615</v>
      </c>
      <c r="H5" s="14">
        <v>1600</v>
      </c>
      <c r="I5" s="14" t="s">
        <v>624</v>
      </c>
      <c r="J5" s="141" t="s">
        <v>617</v>
      </c>
    </row>
    <row r="6" spans="1:16" ht="20.45" customHeight="1">
      <c r="A6" s="145" t="s">
        <v>635</v>
      </c>
      <c r="B6" s="146" t="s">
        <v>530</v>
      </c>
      <c r="C6" s="146" t="s">
        <v>620</v>
      </c>
      <c r="D6" s="146" t="s">
        <v>621</v>
      </c>
      <c r="E6" s="146">
        <v>1.5</v>
      </c>
      <c r="F6" s="146" t="s">
        <v>630</v>
      </c>
      <c r="G6" s="146" t="s">
        <v>636</v>
      </c>
      <c r="H6" s="146">
        <v>1400</v>
      </c>
      <c r="I6" s="146" t="s">
        <v>616</v>
      </c>
      <c r="J6" s="147" t="s">
        <v>622</v>
      </c>
    </row>
    <row r="11" spans="1:16" ht="12.6" customHeight="1">
      <c r="A11" s="37"/>
    </row>
    <row r="12" spans="1:16" ht="12.6" customHeight="1">
      <c r="P12" t="s">
        <v>637</v>
      </c>
    </row>
    <row r="15" spans="1:16" ht="15.6" customHeight="1">
      <c r="A15" s="50"/>
    </row>
    <row r="16" spans="1:16" ht="15.6" customHeight="1">
      <c r="A16" s="50"/>
    </row>
    <row r="17" spans="1:9" ht="15.6" customHeight="1">
      <c r="A17" s="50"/>
    </row>
    <row r="18" spans="1:9" ht="17.45" customHeight="1">
      <c r="A18" s="50"/>
    </row>
    <row r="19" spans="1:9" ht="15.6" customHeight="1">
      <c r="A19" s="50"/>
    </row>
    <row r="20" spans="1:9" ht="15.6" customHeight="1">
      <c r="A20" s="50"/>
      <c r="B20" s="77"/>
      <c r="C20" s="77"/>
      <c r="D20" s="77"/>
      <c r="E20" s="77"/>
      <c r="F20" s="77"/>
      <c r="G20" s="77"/>
      <c r="H20" s="77"/>
      <c r="I20" s="77"/>
    </row>
  </sheetData>
  <conditionalFormatting sqref="A1:J2 A3:I3 A4:J7">
    <cfRule type="containsText" dxfId="2" priority="1" operator="containsText" text="PENDING">
      <formula>NOT(ISERROR(SEARCH("PENDING",A1)))</formula>
    </cfRule>
  </conditionalFormatting>
  <pageMargins left="0.7" right="0.7" top="0.75" bottom="0.75" header="0.3" footer="0.3"/>
  <tableParts count="1">
    <tablePart r:id="rId1"/>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EA548-1735-4495-B982-7E479A7C5A0D}">
  <dimension ref="A1:H25"/>
  <sheetViews>
    <sheetView workbookViewId="0">
      <selection activeCell="H9" sqref="H9"/>
    </sheetView>
  </sheetViews>
  <sheetFormatPr defaultRowHeight="15"/>
  <cols>
    <col min="1" max="1" width="15.7109375" customWidth="1"/>
    <col min="2" max="2" width="9.85546875" customWidth="1"/>
    <col min="3" max="3" width="11.28515625" customWidth="1"/>
    <col min="4" max="4" width="15.7109375" customWidth="1"/>
    <col min="5" max="5" width="20.5703125" customWidth="1"/>
    <col min="6" max="6" width="24" customWidth="1"/>
    <col min="7" max="7" width="22.140625" customWidth="1"/>
    <col min="8" max="8" width="17.28515625" customWidth="1"/>
    <col min="9" max="9" width="18.28515625" customWidth="1"/>
    <col min="10" max="10" width="12.5703125" bestFit="1" customWidth="1"/>
    <col min="11" max="11" width="18.28515625" bestFit="1" customWidth="1"/>
    <col min="12" max="12" width="17.7109375" customWidth="1"/>
    <col min="13" max="13" width="15.85546875" customWidth="1"/>
  </cols>
  <sheetData>
    <row r="1" spans="1:8" ht="32.450000000000003" customHeight="1">
      <c r="A1" s="149" t="s">
        <v>642</v>
      </c>
      <c r="B1" s="150" t="s">
        <v>522</v>
      </c>
      <c r="C1" s="150" t="s">
        <v>376</v>
      </c>
      <c r="D1" s="150" t="s">
        <v>641</v>
      </c>
      <c r="E1" s="150" t="s">
        <v>644</v>
      </c>
      <c r="F1" s="150" t="s">
        <v>640</v>
      </c>
      <c r="G1" s="150" t="s">
        <v>643</v>
      </c>
      <c r="H1" s="151" t="s">
        <v>639</v>
      </c>
    </row>
    <row r="2" spans="1:8" ht="32.450000000000003" customHeight="1">
      <c r="A2" s="148">
        <v>45839</v>
      </c>
      <c r="B2" s="14" t="s">
        <v>611</v>
      </c>
      <c r="C2" s="14" t="s">
        <v>645</v>
      </c>
      <c r="D2" s="14" t="s">
        <v>646</v>
      </c>
      <c r="E2" s="14" t="s">
        <v>617</v>
      </c>
      <c r="F2" s="14" t="s">
        <v>621</v>
      </c>
      <c r="G2" s="107">
        <v>45841</v>
      </c>
      <c r="H2" s="141" t="s">
        <v>610</v>
      </c>
    </row>
    <row r="3" spans="1:8" ht="32.450000000000003" customHeight="1">
      <c r="A3" s="148">
        <v>45839</v>
      </c>
      <c r="B3" s="14" t="s">
        <v>566</v>
      </c>
      <c r="C3" s="14" t="s">
        <v>645</v>
      </c>
      <c r="D3" s="14" t="s">
        <v>649</v>
      </c>
      <c r="E3" s="14" t="s">
        <v>617</v>
      </c>
      <c r="F3" s="14" t="s">
        <v>634</v>
      </c>
      <c r="G3" s="107">
        <v>45842</v>
      </c>
      <c r="H3" s="141" t="s">
        <v>618</v>
      </c>
    </row>
    <row r="4" spans="1:8" ht="32.450000000000003" customHeight="1">
      <c r="A4" s="148">
        <v>45840</v>
      </c>
      <c r="B4" s="14" t="s">
        <v>619</v>
      </c>
      <c r="C4" s="14" t="s">
        <v>647</v>
      </c>
      <c r="D4" s="14" t="s">
        <v>648</v>
      </c>
      <c r="E4" t="s">
        <v>625</v>
      </c>
      <c r="F4" s="14" t="s">
        <v>629</v>
      </c>
      <c r="G4" s="107">
        <v>45815</v>
      </c>
      <c r="H4" s="141" t="s">
        <v>626</v>
      </c>
    </row>
    <row r="5" spans="1:8" ht="32.450000000000003" customHeight="1">
      <c r="A5" s="148">
        <v>45841</v>
      </c>
      <c r="B5" s="14" t="s">
        <v>650</v>
      </c>
      <c r="C5" s="14" t="s">
        <v>651</v>
      </c>
      <c r="D5" s="14" t="s">
        <v>652</v>
      </c>
      <c r="E5" s="14" t="s">
        <v>617</v>
      </c>
      <c r="F5" s="14" t="s">
        <v>621</v>
      </c>
      <c r="G5" s="107">
        <v>45843</v>
      </c>
      <c r="H5" s="141" t="s">
        <v>632</v>
      </c>
    </row>
    <row r="6" spans="1:8" ht="32.450000000000003" customHeight="1">
      <c r="A6" s="152">
        <v>45842</v>
      </c>
      <c r="B6" s="146" t="s">
        <v>653</v>
      </c>
      <c r="C6" s="146" t="s">
        <v>647</v>
      </c>
      <c r="D6" s="146" t="s">
        <v>646</v>
      </c>
      <c r="E6" t="s">
        <v>625</v>
      </c>
      <c r="F6" s="146" t="s">
        <v>629</v>
      </c>
      <c r="G6" s="153">
        <v>45814</v>
      </c>
      <c r="H6" s="147" t="s">
        <v>635</v>
      </c>
    </row>
    <row r="13" spans="1:8">
      <c r="A13" t="s">
        <v>654</v>
      </c>
    </row>
    <row r="14" spans="1:8">
      <c r="A14" s="37"/>
    </row>
    <row r="15" spans="1:8">
      <c r="A15" s="50" t="s">
        <v>655</v>
      </c>
    </row>
    <row r="16" spans="1:8">
      <c r="A16" s="108" t="s">
        <v>656</v>
      </c>
    </row>
    <row r="17" spans="1:1">
      <c r="A17" s="37"/>
    </row>
    <row r="18" spans="1:1">
      <c r="A18" s="50" t="s">
        <v>657</v>
      </c>
    </row>
    <row r="19" spans="1:1">
      <c r="A19" s="50" t="s">
        <v>658</v>
      </c>
    </row>
    <row r="20" spans="1:1">
      <c r="A20" s="50" t="s">
        <v>659</v>
      </c>
    </row>
    <row r="21" spans="1:1">
      <c r="A21" s="50" t="s">
        <v>660</v>
      </c>
    </row>
    <row r="22" spans="1:1">
      <c r="A22" s="50" t="s">
        <v>661</v>
      </c>
    </row>
    <row r="23" spans="1:1">
      <c r="A23" s="50" t="s">
        <v>662</v>
      </c>
    </row>
    <row r="24" spans="1:1">
      <c r="A24" s="50" t="s">
        <v>663</v>
      </c>
    </row>
    <row r="25" spans="1:1">
      <c r="A25" s="108" t="s">
        <v>664</v>
      </c>
    </row>
  </sheetData>
  <sortState xmlns:xlrd2="http://schemas.microsoft.com/office/spreadsheetml/2017/richdata2" ref="H2:H6">
    <sortCondition ref="H1:H6"/>
  </sortState>
  <conditionalFormatting sqref="A1:H3 A4:D4 F4:H4 A5:H5 A6:D6 F6:H6">
    <cfRule type="containsText" dxfId="1" priority="3" operator="containsText" text="PENDING">
      <formula>NOT(ISERROR(SEARCH("PENDING",A1)))</formula>
    </cfRule>
  </conditionalFormatting>
  <dataValidations count="2">
    <dataValidation type="list" allowBlank="1" showInputMessage="1" showErrorMessage="1" sqref="L2" xr:uid="{25BBE7D1-5D31-4F44-A1E4-5B1F3E4207A3}">
      <formula1>$H$2:$H$6</formula1>
    </dataValidation>
    <dataValidation type="list" allowBlank="1" showInputMessage="1" showErrorMessage="1" sqref="K5" xr:uid="{900F1EAC-9E87-4CD1-A2BD-E8868FC989AE}">
      <formula1>$F$2:$F$6</formula1>
    </dataValidation>
  </dataValidations>
  <pageMargins left="0.7" right="0.7" top="0.75" bottom="0.75" header="0.3" footer="0.3"/>
  <tableParts count="1">
    <tablePart r:id="rId1"/>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62CA5-0CE9-4CC9-A115-4FBBB1C9937E}">
  <dimension ref="A1:E11"/>
  <sheetViews>
    <sheetView workbookViewId="0">
      <selection activeCell="N2" sqref="N2"/>
    </sheetView>
  </sheetViews>
  <sheetFormatPr defaultRowHeight="15"/>
  <cols>
    <col min="1" max="1" width="10" bestFit="1" customWidth="1"/>
    <col min="2" max="2" width="15.7109375" bestFit="1" customWidth="1"/>
    <col min="3" max="3" width="16.5703125" bestFit="1" customWidth="1"/>
    <col min="4" max="4" width="10.28515625" bestFit="1" customWidth="1"/>
    <col min="5" max="5" width="20" bestFit="1" customWidth="1"/>
    <col min="6" max="6" width="18.85546875" customWidth="1"/>
    <col min="7" max="7" width="17.5703125" customWidth="1"/>
  </cols>
  <sheetData>
    <row r="1" spans="1:5" ht="21">
      <c r="A1" s="30" t="s">
        <v>259</v>
      </c>
      <c r="B1" s="30" t="s">
        <v>257</v>
      </c>
      <c r="C1" s="30" t="s">
        <v>256</v>
      </c>
      <c r="D1" s="30" t="s">
        <v>260</v>
      </c>
      <c r="E1" s="30" t="s">
        <v>258</v>
      </c>
    </row>
    <row r="2" spans="1:5">
      <c r="A2" s="2" t="s">
        <v>263</v>
      </c>
      <c r="B2" s="2" t="s">
        <v>261</v>
      </c>
      <c r="C2" s="2">
        <v>1001</v>
      </c>
      <c r="D2" s="2">
        <v>45</v>
      </c>
      <c r="E2" s="2" t="s">
        <v>262</v>
      </c>
    </row>
    <row r="3" spans="1:5">
      <c r="A3" s="2" t="s">
        <v>266</v>
      </c>
      <c r="B3" s="2" t="s">
        <v>264</v>
      </c>
      <c r="C3" s="2">
        <v>1002</v>
      </c>
      <c r="D3" s="2">
        <v>65</v>
      </c>
      <c r="E3" s="2" t="s">
        <v>265</v>
      </c>
    </row>
    <row r="4" spans="1:5">
      <c r="A4" s="2" t="s">
        <v>269</v>
      </c>
      <c r="B4" s="2" t="s">
        <v>267</v>
      </c>
      <c r="C4" s="2">
        <v>1003</v>
      </c>
      <c r="D4" s="2">
        <v>32</v>
      </c>
      <c r="E4" s="2" t="s">
        <v>268</v>
      </c>
    </row>
    <row r="5" spans="1:5">
      <c r="A5" s="2" t="s">
        <v>263</v>
      </c>
      <c r="B5" s="2" t="s">
        <v>270</v>
      </c>
      <c r="C5" s="2">
        <v>1004</v>
      </c>
      <c r="D5" s="2">
        <v>65</v>
      </c>
      <c r="E5" s="2" t="s">
        <v>271</v>
      </c>
    </row>
    <row r="6" spans="1:5">
      <c r="A6" s="2" t="s">
        <v>266</v>
      </c>
      <c r="B6" s="2" t="s">
        <v>272</v>
      </c>
      <c r="C6" s="2">
        <v>1005</v>
      </c>
      <c r="D6" s="2">
        <v>98</v>
      </c>
      <c r="E6" s="2" t="s">
        <v>262</v>
      </c>
    </row>
    <row r="7" spans="1:5">
      <c r="A7" s="2" t="s">
        <v>269</v>
      </c>
      <c r="B7" s="2" t="s">
        <v>273</v>
      </c>
      <c r="C7" s="2">
        <v>1006</v>
      </c>
      <c r="D7" s="2">
        <v>65</v>
      </c>
      <c r="E7" s="2" t="s">
        <v>265</v>
      </c>
    </row>
    <row r="8" spans="1:5">
      <c r="A8" s="2" t="s">
        <v>263</v>
      </c>
      <c r="B8" s="2" t="s">
        <v>274</v>
      </c>
      <c r="C8" s="2">
        <v>1007</v>
      </c>
      <c r="D8" s="2">
        <v>32</v>
      </c>
      <c r="E8" s="2" t="s">
        <v>271</v>
      </c>
    </row>
    <row r="9" spans="1:5">
      <c r="A9" s="2" t="s">
        <v>266</v>
      </c>
      <c r="B9" s="2" t="s">
        <v>275</v>
      </c>
      <c r="C9" s="2">
        <v>1008</v>
      </c>
      <c r="D9" s="2">
        <v>65</v>
      </c>
      <c r="E9" s="2" t="s">
        <v>276</v>
      </c>
    </row>
    <row r="10" spans="1:5">
      <c r="A10" s="2" t="s">
        <v>269</v>
      </c>
      <c r="B10" s="2" t="s">
        <v>277</v>
      </c>
      <c r="C10" s="2">
        <v>1009</v>
      </c>
      <c r="D10" s="2">
        <v>54</v>
      </c>
      <c r="E10" s="2" t="s">
        <v>276</v>
      </c>
    </row>
    <row r="11" spans="1:5">
      <c r="A11" s="2" t="s">
        <v>263</v>
      </c>
      <c r="B11" s="2" t="s">
        <v>278</v>
      </c>
      <c r="C11" s="2">
        <v>1010</v>
      </c>
      <c r="D11" s="2">
        <v>65</v>
      </c>
      <c r="E11" s="2" t="s">
        <v>265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57C66-85E3-4DFC-A6AA-465CCDE633EC}">
  <dimension ref="A1:H12"/>
  <sheetViews>
    <sheetView workbookViewId="0">
      <selection activeCell="A2" sqref="A2"/>
    </sheetView>
  </sheetViews>
  <sheetFormatPr defaultRowHeight="15"/>
  <cols>
    <col min="1" max="1" width="19.140625" customWidth="1"/>
    <col min="2" max="2" width="19.28515625" customWidth="1"/>
    <col min="3" max="3" width="10.85546875" bestFit="1" customWidth="1"/>
    <col min="4" max="4" width="12" customWidth="1"/>
    <col min="5" max="5" width="11.7109375" bestFit="1" customWidth="1"/>
    <col min="8" max="8" width="10.42578125" bestFit="1" customWidth="1"/>
    <col min="10" max="10" width="14.42578125" customWidth="1"/>
    <col min="11" max="11" width="11.85546875" customWidth="1"/>
  </cols>
  <sheetData>
    <row r="1" spans="1:8" ht="21">
      <c r="A1" s="30" t="s">
        <v>256</v>
      </c>
      <c r="B1" s="30" t="s">
        <v>257</v>
      </c>
      <c r="C1" s="30" t="s">
        <v>258</v>
      </c>
      <c r="D1" s="30" t="s">
        <v>259</v>
      </c>
      <c r="E1" s="30" t="s">
        <v>260</v>
      </c>
      <c r="G1" s="107">
        <v>45839</v>
      </c>
      <c r="H1" s="113">
        <f>DATE(YEAR(G1),MONTH(G1),DAY(G1))</f>
        <v>45839</v>
      </c>
    </row>
    <row r="2" spans="1:8">
      <c r="A2" s="2" t="str" cm="1">
        <f t="array" ref="A2:E12">_xlfn.SORTBY(Sheet11!A1:E11,MATCH('sortby formula'!A1:E1,Sheet11!A1:E1,0),1)</f>
        <v>Sales</v>
      </c>
      <c r="B2" s="2" t="str">
        <v>Salesman</v>
      </c>
      <c r="C2" s="2" t="str">
        <v>Zone</v>
      </c>
      <c r="D2" s="2" t="str">
        <v>Product</v>
      </c>
      <c r="E2" s="2" t="str">
        <v>Salesman ID</v>
      </c>
      <c r="G2" s="107">
        <v>45839</v>
      </c>
      <c r="H2" s="2">
        <f>DAY(G2)</f>
        <v>1</v>
      </c>
    </row>
    <row r="3" spans="1:8">
      <c r="A3" s="2">
        <v>45</v>
      </c>
      <c r="B3" s="2" t="str">
        <v>Shaktimaan</v>
      </c>
      <c r="C3" s="2" t="str">
        <v>South City</v>
      </c>
      <c r="D3" s="2" t="str">
        <v>Iodex</v>
      </c>
      <c r="E3" s="2">
        <v>1001</v>
      </c>
      <c r="G3" s="107">
        <v>45840</v>
      </c>
      <c r="H3" s="2">
        <f>MONTH(G3)</f>
        <v>7</v>
      </c>
    </row>
    <row r="4" spans="1:8">
      <c r="A4" s="2">
        <v>65</v>
      </c>
      <c r="B4" s="2" t="str">
        <v>Ironman</v>
      </c>
      <c r="C4" s="2" t="str">
        <v>North City</v>
      </c>
      <c r="D4" s="2" t="str">
        <v>Tigerbalm</v>
      </c>
      <c r="E4" s="2">
        <v>1002</v>
      </c>
      <c r="G4" s="107">
        <v>45841</v>
      </c>
      <c r="H4" s="2">
        <f>YEAR(G4)</f>
        <v>2025</v>
      </c>
    </row>
    <row r="5" spans="1:8">
      <c r="A5" s="2">
        <v>32</v>
      </c>
      <c r="B5" s="2" t="str">
        <v>Superman</v>
      </c>
      <c r="C5" s="2" t="str">
        <v>West City</v>
      </c>
      <c r="D5" s="2" t="str">
        <v>Toothpaste</v>
      </c>
      <c r="E5" s="2">
        <v>1003</v>
      </c>
      <c r="G5" s="107">
        <v>45842</v>
      </c>
      <c r="H5" s="2"/>
    </row>
    <row r="6" spans="1:8">
      <c r="A6" s="2">
        <v>65</v>
      </c>
      <c r="B6" s="2" t="str">
        <v>Thor</v>
      </c>
      <c r="C6" s="2" t="str">
        <v>South City</v>
      </c>
      <c r="D6" s="2" t="str">
        <v>Toothbrush</v>
      </c>
      <c r="E6" s="2">
        <v>1004</v>
      </c>
    </row>
    <row r="7" spans="1:8">
      <c r="A7" s="2">
        <v>98</v>
      </c>
      <c r="B7" s="2" t="str">
        <v>Batman</v>
      </c>
      <c r="C7" s="2" t="str">
        <v>North City</v>
      </c>
      <c r="D7" s="2" t="str">
        <v>Iodex</v>
      </c>
      <c r="E7" s="2">
        <v>1005</v>
      </c>
    </row>
    <row r="8" spans="1:8">
      <c r="A8" s="2">
        <v>65</v>
      </c>
      <c r="B8" s="2" t="str">
        <v>Spiderman</v>
      </c>
      <c r="C8" s="2" t="str">
        <v>West City</v>
      </c>
      <c r="D8" s="2" t="str">
        <v>Tigerbalm</v>
      </c>
      <c r="E8" s="2">
        <v>1006</v>
      </c>
    </row>
    <row r="9" spans="1:8">
      <c r="A9" s="2">
        <v>32</v>
      </c>
      <c r="B9" s="2" t="str">
        <v>Antman</v>
      </c>
      <c r="C9" s="2" t="str">
        <v>South City</v>
      </c>
      <c r="D9" s="2" t="str">
        <v>Toothbrush</v>
      </c>
      <c r="E9" s="2">
        <v>1007</v>
      </c>
    </row>
    <row r="10" spans="1:8">
      <c r="A10" s="2">
        <v>65</v>
      </c>
      <c r="B10" s="2" t="str">
        <v>Hitman</v>
      </c>
      <c r="C10" s="2" t="str">
        <v>North City</v>
      </c>
      <c r="D10" s="2" t="str">
        <v>Zandubalm</v>
      </c>
      <c r="E10" s="2">
        <v>1008</v>
      </c>
    </row>
    <row r="11" spans="1:8">
      <c r="A11" s="2">
        <v>54</v>
      </c>
      <c r="B11" s="2" t="str">
        <v>Ratman</v>
      </c>
      <c r="C11" s="2" t="str">
        <v>West City</v>
      </c>
      <c r="D11" s="2" t="str">
        <v>Zandubalm</v>
      </c>
      <c r="E11" s="2">
        <v>1009</v>
      </c>
    </row>
    <row r="12" spans="1:8">
      <c r="A12" s="2">
        <v>65</v>
      </c>
      <c r="B12" s="2" t="str">
        <v>Netman</v>
      </c>
      <c r="C12" s="2" t="str">
        <v>South City</v>
      </c>
      <c r="D12" s="2" t="str">
        <v>Tigerbalm</v>
      </c>
      <c r="E12" s="2">
        <v>1010</v>
      </c>
    </row>
  </sheetData>
  <conditionalFormatting sqref="G1:G5">
    <cfRule type="containsText" dxfId="0" priority="1" operator="containsText" text="PENDING">
      <formula>NOT(ISERROR(SEARCH("PENDING",G1)))</formula>
    </cfRule>
  </conditionalFormatting>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07963-BC57-4603-8CB1-892F745A5C07}">
  <dimension ref="A1:G71"/>
  <sheetViews>
    <sheetView topLeftCell="A13" workbookViewId="0">
      <selection activeCell="K28" sqref="K28"/>
    </sheetView>
  </sheetViews>
  <sheetFormatPr defaultRowHeight="15"/>
  <cols>
    <col min="1" max="1" width="8.7109375" bestFit="1" customWidth="1"/>
    <col min="2" max="2" width="17.85546875" customWidth="1"/>
    <col min="3" max="3" width="13.7109375" customWidth="1"/>
    <col min="4" max="4" width="12.28515625" customWidth="1"/>
    <col min="5" max="5" width="20" bestFit="1" customWidth="1"/>
    <col min="6" max="6" width="9.42578125" bestFit="1" customWidth="1"/>
    <col min="7" max="7" width="16.28515625" bestFit="1" customWidth="1"/>
  </cols>
  <sheetData>
    <row r="1" spans="1:7" ht="21">
      <c r="A1" s="110" t="s">
        <v>522</v>
      </c>
      <c r="B1" s="111" t="s">
        <v>548</v>
      </c>
      <c r="C1" s="111" t="s">
        <v>549</v>
      </c>
      <c r="D1" s="111" t="s">
        <v>550</v>
      </c>
      <c r="E1" s="111" t="s">
        <v>551</v>
      </c>
      <c r="F1" s="111" t="s">
        <v>552</v>
      </c>
      <c r="G1" s="112" t="s">
        <v>553</v>
      </c>
    </row>
    <row r="2" spans="1:7">
      <c r="A2" s="83" t="s">
        <v>523</v>
      </c>
      <c r="B2" s="2">
        <v>13500</v>
      </c>
      <c r="C2" s="2">
        <v>675</v>
      </c>
      <c r="D2" s="2">
        <v>2430</v>
      </c>
      <c r="E2" s="2">
        <v>16605</v>
      </c>
      <c r="F2" s="2">
        <v>1620</v>
      </c>
      <c r="G2" s="21">
        <v>14985</v>
      </c>
    </row>
    <row r="3" spans="1:7">
      <c r="A3" s="83" t="s">
        <v>524</v>
      </c>
      <c r="B3" s="2">
        <v>7810</v>
      </c>
      <c r="C3" s="2">
        <v>390.5</v>
      </c>
      <c r="D3" s="2">
        <v>1405.8</v>
      </c>
      <c r="E3" s="2">
        <v>9606.2999999999993</v>
      </c>
      <c r="F3" s="2">
        <v>937.19999999999993</v>
      </c>
      <c r="G3" s="21">
        <v>8669.0999999999985</v>
      </c>
    </row>
    <row r="4" spans="1:7">
      <c r="A4" s="83" t="s">
        <v>523</v>
      </c>
      <c r="B4" s="2">
        <v>10680</v>
      </c>
      <c r="C4" s="2">
        <v>534</v>
      </c>
      <c r="D4" s="2">
        <v>1922.3999999999999</v>
      </c>
      <c r="E4" s="2">
        <v>13136.4</v>
      </c>
      <c r="F4" s="2">
        <v>1281.5999999999999</v>
      </c>
      <c r="G4" s="21">
        <v>11854.8</v>
      </c>
    </row>
    <row r="5" spans="1:7">
      <c r="A5" s="83" t="s">
        <v>525</v>
      </c>
      <c r="B5" s="2">
        <v>6500</v>
      </c>
      <c r="C5" s="2">
        <v>325</v>
      </c>
      <c r="D5" s="2">
        <v>1170</v>
      </c>
      <c r="E5" s="2">
        <v>7995</v>
      </c>
      <c r="F5" s="2">
        <v>780</v>
      </c>
      <c r="G5" s="21">
        <v>7215</v>
      </c>
    </row>
    <row r="6" spans="1:7">
      <c r="A6" s="83" t="s">
        <v>525</v>
      </c>
      <c r="B6" s="2">
        <v>17360</v>
      </c>
      <c r="C6" s="2">
        <v>868</v>
      </c>
      <c r="D6" s="2">
        <v>3124.7999999999997</v>
      </c>
      <c r="E6" s="2">
        <v>21352.799999999999</v>
      </c>
      <c r="F6" s="2">
        <v>2083.1999999999998</v>
      </c>
      <c r="G6" s="21">
        <v>19269.599999999999</v>
      </c>
    </row>
    <row r="7" spans="1:7">
      <c r="A7" s="83" t="s">
        <v>526</v>
      </c>
      <c r="B7" s="2">
        <v>19350</v>
      </c>
      <c r="C7" s="2">
        <v>967.5</v>
      </c>
      <c r="D7" s="2">
        <v>3483</v>
      </c>
      <c r="E7" s="2">
        <v>23800.5</v>
      </c>
      <c r="F7" s="2">
        <v>2322</v>
      </c>
      <c r="G7" s="21">
        <v>21478.5</v>
      </c>
    </row>
    <row r="8" spans="1:7">
      <c r="A8" s="83" t="s">
        <v>527</v>
      </c>
      <c r="B8" s="2">
        <v>19680</v>
      </c>
      <c r="C8" s="2">
        <v>984</v>
      </c>
      <c r="D8" s="2">
        <v>3542.4</v>
      </c>
      <c r="E8" s="2">
        <v>24206.400000000001</v>
      </c>
      <c r="F8" s="2">
        <v>2361.6</v>
      </c>
      <c r="G8" s="21">
        <v>21844.800000000003</v>
      </c>
    </row>
    <row r="9" spans="1:7">
      <c r="A9" s="83" t="s">
        <v>528</v>
      </c>
      <c r="B9" s="2">
        <v>24990</v>
      </c>
      <c r="C9" s="2">
        <v>1249.5</v>
      </c>
      <c r="D9" s="2">
        <v>4498.2</v>
      </c>
      <c r="E9" s="2">
        <v>30737.7</v>
      </c>
      <c r="F9" s="2">
        <v>2998.7999999999997</v>
      </c>
      <c r="G9" s="21">
        <v>27738.9</v>
      </c>
    </row>
    <row r="10" spans="1:7">
      <c r="A10" s="83" t="s">
        <v>528</v>
      </c>
      <c r="B10" s="2">
        <v>26100</v>
      </c>
      <c r="C10" s="2">
        <v>1305</v>
      </c>
      <c r="D10" s="2">
        <v>4698</v>
      </c>
      <c r="E10" s="2">
        <v>32103</v>
      </c>
      <c r="F10" s="2">
        <v>3132</v>
      </c>
      <c r="G10" s="21">
        <v>28971</v>
      </c>
    </row>
    <row r="11" spans="1:7">
      <c r="A11" s="83" t="s">
        <v>529</v>
      </c>
      <c r="B11" s="2">
        <v>25080</v>
      </c>
      <c r="C11" s="2">
        <v>1254</v>
      </c>
      <c r="D11" s="2">
        <v>4514.3999999999996</v>
      </c>
      <c r="E11" s="2">
        <v>30848.400000000001</v>
      </c>
      <c r="F11" s="2">
        <v>3009.6</v>
      </c>
      <c r="G11" s="21">
        <v>27838.800000000003</v>
      </c>
    </row>
    <row r="12" spans="1:7">
      <c r="A12" s="83" t="s">
        <v>529</v>
      </c>
      <c r="B12" s="2">
        <v>15400</v>
      </c>
      <c r="C12" s="2">
        <v>770</v>
      </c>
      <c r="D12" s="2">
        <v>2772</v>
      </c>
      <c r="E12" s="2">
        <v>18942</v>
      </c>
      <c r="F12" s="2">
        <v>1848</v>
      </c>
      <c r="G12" s="21">
        <v>17094</v>
      </c>
    </row>
    <row r="13" spans="1:7">
      <c r="A13" s="83" t="s">
        <v>530</v>
      </c>
      <c r="B13" s="2">
        <v>23730</v>
      </c>
      <c r="C13" s="2">
        <v>1186.5</v>
      </c>
      <c r="D13" s="2">
        <v>4271.3999999999996</v>
      </c>
      <c r="E13" s="2">
        <v>29187.9</v>
      </c>
      <c r="F13" s="2">
        <v>2847.6</v>
      </c>
      <c r="G13" s="21">
        <v>26340.300000000003</v>
      </c>
    </row>
    <row r="14" spans="1:7">
      <c r="A14" s="83" t="s">
        <v>531</v>
      </c>
      <c r="B14" s="2">
        <v>15840</v>
      </c>
      <c r="C14" s="2">
        <v>792</v>
      </c>
      <c r="D14" s="2">
        <v>2851.2</v>
      </c>
      <c r="E14" s="2">
        <v>19483.2</v>
      </c>
      <c r="F14" s="2">
        <v>1900.8</v>
      </c>
      <c r="G14" s="21">
        <v>17582.400000000001</v>
      </c>
    </row>
    <row r="15" spans="1:7">
      <c r="A15" s="83" t="s">
        <v>532</v>
      </c>
      <c r="B15" s="2">
        <v>32890</v>
      </c>
      <c r="C15" s="2">
        <v>1644.5</v>
      </c>
      <c r="D15" s="2">
        <v>5920.2</v>
      </c>
      <c r="E15" s="2">
        <v>40454.699999999997</v>
      </c>
      <c r="F15" s="2">
        <v>3946.7999999999997</v>
      </c>
      <c r="G15" s="21">
        <v>36507.899999999994</v>
      </c>
    </row>
    <row r="16" spans="1:7">
      <c r="A16" s="83" t="s">
        <v>533</v>
      </c>
      <c r="B16" s="2">
        <v>22080</v>
      </c>
      <c r="C16" s="2">
        <v>1104</v>
      </c>
      <c r="D16" s="2">
        <v>3974.3999999999996</v>
      </c>
      <c r="E16" s="2">
        <v>27158.400000000001</v>
      </c>
      <c r="F16" s="2">
        <v>2649.6</v>
      </c>
      <c r="G16" s="21">
        <v>24508.800000000003</v>
      </c>
    </row>
    <row r="17" spans="1:7">
      <c r="A17" s="83" t="s">
        <v>533</v>
      </c>
      <c r="B17" s="2">
        <v>13750</v>
      </c>
      <c r="C17" s="2">
        <v>687.5</v>
      </c>
      <c r="D17" s="2">
        <v>2475</v>
      </c>
      <c r="E17" s="2">
        <v>16912.5</v>
      </c>
      <c r="F17" s="2">
        <v>1650</v>
      </c>
      <c r="G17" s="21">
        <v>15262.5</v>
      </c>
    </row>
    <row r="18" spans="1:7">
      <c r="A18" s="83" t="s">
        <v>534</v>
      </c>
      <c r="B18" s="2">
        <v>39000</v>
      </c>
      <c r="C18" s="2">
        <v>1950</v>
      </c>
      <c r="D18" s="2">
        <v>7020</v>
      </c>
      <c r="E18" s="2">
        <v>47970</v>
      </c>
      <c r="F18" s="2">
        <v>4680</v>
      </c>
      <c r="G18" s="21">
        <v>43290</v>
      </c>
    </row>
    <row r="19" spans="1:7">
      <c r="A19" s="83" t="s">
        <v>527</v>
      </c>
      <c r="B19" s="2">
        <v>13500</v>
      </c>
      <c r="C19" s="2">
        <v>675</v>
      </c>
      <c r="D19" s="2">
        <v>2430</v>
      </c>
      <c r="E19" s="2">
        <v>16605</v>
      </c>
      <c r="F19" s="2">
        <v>1620</v>
      </c>
      <c r="G19" s="21">
        <v>14985</v>
      </c>
    </row>
    <row r="20" spans="1:7">
      <c r="A20" s="83" t="s">
        <v>535</v>
      </c>
      <c r="B20" s="2">
        <v>40600</v>
      </c>
      <c r="C20" s="2">
        <v>2030</v>
      </c>
      <c r="D20" s="2">
        <v>7308</v>
      </c>
      <c r="E20" s="2">
        <v>49938</v>
      </c>
      <c r="F20" s="2">
        <v>4872</v>
      </c>
      <c r="G20" s="21">
        <v>45066</v>
      </c>
    </row>
    <row r="21" spans="1:7">
      <c r="A21" s="83" t="s">
        <v>527</v>
      </c>
      <c r="B21" s="2">
        <v>18850</v>
      </c>
      <c r="C21" s="2">
        <v>942.5</v>
      </c>
      <c r="D21" s="2">
        <v>3393</v>
      </c>
      <c r="E21" s="2">
        <v>23185.5</v>
      </c>
      <c r="F21" s="2">
        <v>2262</v>
      </c>
      <c r="G21" s="21">
        <v>20923.5</v>
      </c>
    </row>
    <row r="22" spans="1:7">
      <c r="A22" s="83" t="s">
        <v>523</v>
      </c>
      <c r="B22" s="2">
        <v>40200</v>
      </c>
      <c r="C22" s="2">
        <v>2010</v>
      </c>
      <c r="D22" s="2">
        <v>7236</v>
      </c>
      <c r="E22" s="2">
        <v>49446</v>
      </c>
      <c r="F22" s="2">
        <v>4824</v>
      </c>
      <c r="G22" s="21">
        <v>44622</v>
      </c>
    </row>
    <row r="23" spans="1:7">
      <c r="A23" s="83" t="s">
        <v>536</v>
      </c>
      <c r="B23" s="2">
        <v>31310</v>
      </c>
      <c r="C23" s="2">
        <v>1565.5</v>
      </c>
      <c r="D23" s="2">
        <v>5635.8</v>
      </c>
      <c r="E23" s="2">
        <v>38511.300000000003</v>
      </c>
      <c r="F23" s="2">
        <v>3757.2</v>
      </c>
      <c r="G23" s="21">
        <v>34754.100000000006</v>
      </c>
    </row>
    <row r="24" spans="1:7">
      <c r="A24" s="83" t="s">
        <v>525</v>
      </c>
      <c r="B24" s="2">
        <v>26560</v>
      </c>
      <c r="C24" s="2">
        <v>1328</v>
      </c>
      <c r="D24" s="2">
        <v>4780.8</v>
      </c>
      <c r="E24" s="2">
        <v>32668.799999999999</v>
      </c>
      <c r="F24" s="2">
        <v>3187.2</v>
      </c>
      <c r="G24" s="21">
        <v>29481.599999999999</v>
      </c>
    </row>
    <row r="25" spans="1:7">
      <c r="A25" s="83" t="s">
        <v>524</v>
      </c>
      <c r="B25" s="2">
        <v>13500</v>
      </c>
      <c r="C25" s="2">
        <v>675</v>
      </c>
      <c r="D25" s="2">
        <v>2430</v>
      </c>
      <c r="E25" s="2">
        <v>16605</v>
      </c>
      <c r="F25" s="2">
        <v>1620</v>
      </c>
      <c r="G25" s="21">
        <v>14985</v>
      </c>
    </row>
    <row r="26" spans="1:7">
      <c r="A26" s="83" t="s">
        <v>537</v>
      </c>
      <c r="B26" s="2">
        <v>7810</v>
      </c>
      <c r="C26" s="2">
        <v>390.5</v>
      </c>
      <c r="D26" s="2">
        <v>1405.8</v>
      </c>
      <c r="E26" s="2">
        <v>9606.2999999999993</v>
      </c>
      <c r="F26" s="2">
        <v>937.19999999999993</v>
      </c>
      <c r="G26" s="21">
        <v>8669.0999999999985</v>
      </c>
    </row>
    <row r="27" spans="1:7">
      <c r="A27" s="83" t="s">
        <v>530</v>
      </c>
      <c r="B27" s="2">
        <v>10680</v>
      </c>
      <c r="C27" s="2">
        <v>534</v>
      </c>
      <c r="D27" s="2">
        <v>1922.3999999999999</v>
      </c>
      <c r="E27" s="2">
        <v>13136.4</v>
      </c>
      <c r="F27" s="2">
        <v>1281.5999999999999</v>
      </c>
      <c r="G27" s="21">
        <v>11854.8</v>
      </c>
    </row>
    <row r="28" spans="1:7">
      <c r="A28" s="83" t="s">
        <v>538</v>
      </c>
      <c r="B28" s="2">
        <v>6500</v>
      </c>
      <c r="C28" s="2">
        <v>325</v>
      </c>
      <c r="D28" s="2">
        <v>1170</v>
      </c>
      <c r="E28" s="2">
        <v>7995</v>
      </c>
      <c r="F28" s="2">
        <v>780</v>
      </c>
      <c r="G28" s="21">
        <v>7215</v>
      </c>
    </row>
    <row r="29" spans="1:7">
      <c r="A29" s="83" t="s">
        <v>539</v>
      </c>
      <c r="B29" s="2">
        <v>17360</v>
      </c>
      <c r="C29" s="2">
        <v>868</v>
      </c>
      <c r="D29" s="2">
        <v>3124.7999999999997</v>
      </c>
      <c r="E29" s="2">
        <v>21352.799999999999</v>
      </c>
      <c r="F29" s="2">
        <v>2083.1999999999998</v>
      </c>
      <c r="G29" s="21">
        <v>19269.599999999999</v>
      </c>
    </row>
    <row r="30" spans="1:7">
      <c r="A30" s="83" t="s">
        <v>528</v>
      </c>
      <c r="B30" s="2">
        <v>19350</v>
      </c>
      <c r="C30" s="2">
        <v>967.5</v>
      </c>
      <c r="D30" s="2">
        <v>3483</v>
      </c>
      <c r="E30" s="2">
        <v>23800.5</v>
      </c>
      <c r="F30" s="2">
        <v>2322</v>
      </c>
      <c r="G30" s="21">
        <v>21478.5</v>
      </c>
    </row>
    <row r="31" spans="1:7">
      <c r="A31" s="83" t="s">
        <v>540</v>
      </c>
      <c r="B31" s="2">
        <v>19680</v>
      </c>
      <c r="C31" s="2">
        <v>984</v>
      </c>
      <c r="D31" s="2">
        <v>3542.4</v>
      </c>
      <c r="E31" s="2">
        <v>24206.400000000001</v>
      </c>
      <c r="F31" s="2">
        <v>2361.6</v>
      </c>
      <c r="G31" s="21">
        <v>21844.800000000003</v>
      </c>
    </row>
    <row r="32" spans="1:7">
      <c r="A32" s="83" t="s">
        <v>537</v>
      </c>
      <c r="B32" s="2">
        <v>24990</v>
      </c>
      <c r="C32" s="2">
        <v>1249.5</v>
      </c>
      <c r="D32" s="2">
        <v>4498.2</v>
      </c>
      <c r="E32" s="2">
        <v>30737.7</v>
      </c>
      <c r="F32" s="2">
        <v>2998.7999999999997</v>
      </c>
      <c r="G32" s="21">
        <v>27738.9</v>
      </c>
    </row>
    <row r="33" spans="1:7">
      <c r="A33" s="83" t="s">
        <v>528</v>
      </c>
      <c r="B33" s="2">
        <v>26100</v>
      </c>
      <c r="C33" s="2">
        <v>1305</v>
      </c>
      <c r="D33" s="2">
        <v>4698</v>
      </c>
      <c r="E33" s="2">
        <v>32103</v>
      </c>
      <c r="F33" s="2">
        <v>3132</v>
      </c>
      <c r="G33" s="21">
        <v>28971</v>
      </c>
    </row>
    <row r="34" spans="1:7">
      <c r="A34" s="83" t="s">
        <v>530</v>
      </c>
      <c r="B34" s="2">
        <v>25080</v>
      </c>
      <c r="C34" s="2">
        <v>1254</v>
      </c>
      <c r="D34" s="2">
        <v>4514.3999999999996</v>
      </c>
      <c r="E34" s="2">
        <v>30848.400000000001</v>
      </c>
      <c r="F34" s="2">
        <v>3009.6</v>
      </c>
      <c r="G34" s="21">
        <v>27838.800000000003</v>
      </c>
    </row>
    <row r="35" spans="1:7">
      <c r="A35" s="83" t="s">
        <v>525</v>
      </c>
      <c r="B35" s="2">
        <v>15400</v>
      </c>
      <c r="C35" s="2">
        <v>770</v>
      </c>
      <c r="D35" s="2">
        <v>2772</v>
      </c>
      <c r="E35" s="2">
        <v>18942</v>
      </c>
      <c r="F35" s="2">
        <v>1848</v>
      </c>
      <c r="G35" s="21">
        <v>17094</v>
      </c>
    </row>
    <row r="36" spans="1:7">
      <c r="A36" s="83" t="s">
        <v>530</v>
      </c>
      <c r="B36" s="2">
        <v>23730</v>
      </c>
      <c r="C36" s="2">
        <v>1186.5</v>
      </c>
      <c r="D36" s="2">
        <v>4271.3999999999996</v>
      </c>
      <c r="E36" s="2">
        <v>29187.9</v>
      </c>
      <c r="F36" s="2">
        <v>2847.6</v>
      </c>
      <c r="G36" s="21">
        <v>26340.300000000003</v>
      </c>
    </row>
    <row r="37" spans="1:7">
      <c r="A37" s="83" t="s">
        <v>535</v>
      </c>
      <c r="B37" s="2">
        <v>15840</v>
      </c>
      <c r="C37" s="2">
        <v>792</v>
      </c>
      <c r="D37" s="2">
        <v>2851.2</v>
      </c>
      <c r="E37" s="2">
        <v>19483.2</v>
      </c>
      <c r="F37" s="2">
        <v>1900.8</v>
      </c>
      <c r="G37" s="21">
        <v>17582.400000000001</v>
      </c>
    </row>
    <row r="38" spans="1:7">
      <c r="A38" s="83" t="s">
        <v>537</v>
      </c>
      <c r="B38" s="2">
        <v>32890</v>
      </c>
      <c r="C38" s="2">
        <v>1644.5</v>
      </c>
      <c r="D38" s="2">
        <v>5920.2</v>
      </c>
      <c r="E38" s="2">
        <v>40454.699999999997</v>
      </c>
      <c r="F38" s="2">
        <v>3946.7999999999997</v>
      </c>
      <c r="G38" s="21">
        <v>36507.899999999994</v>
      </c>
    </row>
    <row r="39" spans="1:7">
      <c r="A39" s="83" t="s">
        <v>541</v>
      </c>
      <c r="B39" s="2">
        <v>22080</v>
      </c>
      <c r="C39" s="2">
        <v>1104</v>
      </c>
      <c r="D39" s="2">
        <v>3974.3999999999996</v>
      </c>
      <c r="E39" s="2">
        <v>27158.400000000001</v>
      </c>
      <c r="F39" s="2">
        <v>2649.6</v>
      </c>
      <c r="G39" s="21">
        <v>24508.800000000003</v>
      </c>
    </row>
    <row r="40" spans="1:7">
      <c r="A40" s="83" t="s">
        <v>426</v>
      </c>
      <c r="B40" s="2">
        <v>13750</v>
      </c>
      <c r="C40" s="2">
        <v>687.5</v>
      </c>
      <c r="D40" s="2">
        <v>2475</v>
      </c>
      <c r="E40" s="2">
        <v>16912.5</v>
      </c>
      <c r="F40" s="2">
        <v>1650</v>
      </c>
      <c r="G40" s="21">
        <v>15262.5</v>
      </c>
    </row>
    <row r="41" spans="1:7">
      <c r="A41" s="83" t="s">
        <v>542</v>
      </c>
      <c r="B41" s="2">
        <v>39000</v>
      </c>
      <c r="C41" s="2">
        <v>1950</v>
      </c>
      <c r="D41" s="2">
        <v>7020</v>
      </c>
      <c r="E41" s="2">
        <v>47970</v>
      </c>
      <c r="F41" s="2">
        <v>4680</v>
      </c>
      <c r="G41" s="21">
        <v>43290</v>
      </c>
    </row>
    <row r="42" spans="1:7">
      <c r="A42" s="83" t="s">
        <v>524</v>
      </c>
      <c r="B42" s="2">
        <v>13500</v>
      </c>
      <c r="C42" s="2">
        <v>675</v>
      </c>
      <c r="D42" s="2">
        <v>2430</v>
      </c>
      <c r="E42" s="2">
        <v>16605</v>
      </c>
      <c r="F42" s="2">
        <v>1620</v>
      </c>
      <c r="G42" s="21">
        <v>14985</v>
      </c>
    </row>
    <row r="43" spans="1:7">
      <c r="A43" s="83" t="s">
        <v>543</v>
      </c>
      <c r="B43" s="2">
        <v>40600</v>
      </c>
      <c r="C43" s="2">
        <v>2030</v>
      </c>
      <c r="D43" s="2">
        <v>7308</v>
      </c>
      <c r="E43" s="2">
        <v>49938</v>
      </c>
      <c r="F43" s="2">
        <v>4872</v>
      </c>
      <c r="G43" s="21">
        <v>45066</v>
      </c>
    </row>
    <row r="44" spans="1:7">
      <c r="A44" s="83" t="s">
        <v>541</v>
      </c>
      <c r="B44" s="2">
        <v>18850</v>
      </c>
      <c r="C44" s="2">
        <v>942.5</v>
      </c>
      <c r="D44" s="2">
        <v>3393</v>
      </c>
      <c r="E44" s="2">
        <v>23185.5</v>
      </c>
      <c r="F44" s="2">
        <v>2262</v>
      </c>
      <c r="G44" s="21">
        <v>20923.5</v>
      </c>
    </row>
    <row r="45" spans="1:7">
      <c r="A45" s="83" t="s">
        <v>531</v>
      </c>
      <c r="B45" s="2">
        <v>40200</v>
      </c>
      <c r="C45" s="2">
        <v>2010</v>
      </c>
      <c r="D45" s="2">
        <v>7236</v>
      </c>
      <c r="E45" s="2">
        <v>49446</v>
      </c>
      <c r="F45" s="2">
        <v>4824</v>
      </c>
      <c r="G45" s="21">
        <v>44622</v>
      </c>
    </row>
    <row r="46" spans="1:7">
      <c r="A46" s="83" t="s">
        <v>534</v>
      </c>
      <c r="B46" s="2">
        <v>31310</v>
      </c>
      <c r="C46" s="2">
        <v>1565.5</v>
      </c>
      <c r="D46" s="2">
        <v>5635.8</v>
      </c>
      <c r="E46" s="2">
        <v>38511.300000000003</v>
      </c>
      <c r="F46" s="2">
        <v>3757.2</v>
      </c>
      <c r="G46" s="21">
        <v>34754.100000000006</v>
      </c>
    </row>
    <row r="47" spans="1:7">
      <c r="A47" s="83" t="s">
        <v>536</v>
      </c>
      <c r="B47" s="2">
        <v>26560</v>
      </c>
      <c r="C47" s="2">
        <v>1328</v>
      </c>
      <c r="D47" s="2">
        <v>4780.8</v>
      </c>
      <c r="E47" s="2">
        <v>32668.799999999999</v>
      </c>
      <c r="F47" s="2">
        <v>3187.2</v>
      </c>
      <c r="G47" s="21">
        <v>29481.599999999999</v>
      </c>
    </row>
    <row r="48" spans="1:7">
      <c r="A48" s="83" t="s">
        <v>537</v>
      </c>
      <c r="B48" s="2">
        <v>13500</v>
      </c>
      <c r="C48" s="2">
        <v>675</v>
      </c>
      <c r="D48" s="2">
        <v>2430</v>
      </c>
      <c r="E48" s="2">
        <v>16605</v>
      </c>
      <c r="F48" s="2">
        <v>1620</v>
      </c>
      <c r="G48" s="21">
        <v>14985</v>
      </c>
    </row>
    <row r="49" spans="1:7">
      <c r="A49" s="83" t="s">
        <v>528</v>
      </c>
      <c r="B49" s="2">
        <v>7810</v>
      </c>
      <c r="C49" s="2">
        <v>390.5</v>
      </c>
      <c r="D49" s="2">
        <v>1405.8</v>
      </c>
      <c r="E49" s="2">
        <v>9606.2999999999993</v>
      </c>
      <c r="F49" s="2">
        <v>937.19999999999993</v>
      </c>
      <c r="G49" s="21">
        <v>8669.0999999999985</v>
      </c>
    </row>
    <row r="50" spans="1:7">
      <c r="A50" s="83" t="s">
        <v>526</v>
      </c>
      <c r="B50" s="2">
        <v>10680</v>
      </c>
      <c r="C50" s="2">
        <v>534</v>
      </c>
      <c r="D50" s="2">
        <v>1922.3999999999999</v>
      </c>
      <c r="E50" s="2">
        <v>13136.4</v>
      </c>
      <c r="F50" s="2">
        <v>1281.5999999999999</v>
      </c>
      <c r="G50" s="21">
        <v>11854.8</v>
      </c>
    </row>
    <row r="51" spans="1:7">
      <c r="A51" s="83" t="s">
        <v>533</v>
      </c>
      <c r="B51" s="2">
        <v>6500</v>
      </c>
      <c r="C51" s="2">
        <v>325</v>
      </c>
      <c r="D51" s="2">
        <v>1170</v>
      </c>
      <c r="E51" s="2">
        <v>7995</v>
      </c>
      <c r="F51" s="2">
        <v>780</v>
      </c>
      <c r="G51" s="21">
        <v>7215</v>
      </c>
    </row>
    <row r="52" spans="1:7">
      <c r="A52" s="83" t="s">
        <v>530</v>
      </c>
      <c r="B52" s="2">
        <v>17360</v>
      </c>
      <c r="C52" s="2">
        <v>868</v>
      </c>
      <c r="D52" s="2">
        <v>3124.7999999999997</v>
      </c>
      <c r="E52" s="2">
        <v>21352.799999999999</v>
      </c>
      <c r="F52" s="2">
        <v>2083.1999999999998</v>
      </c>
      <c r="G52" s="21">
        <v>19269.599999999999</v>
      </c>
    </row>
    <row r="53" spans="1:7">
      <c r="A53" s="83" t="s">
        <v>531</v>
      </c>
      <c r="B53" s="2">
        <v>19350</v>
      </c>
      <c r="C53" s="2">
        <v>967.5</v>
      </c>
      <c r="D53" s="2">
        <v>3483</v>
      </c>
      <c r="E53" s="2">
        <v>23800.5</v>
      </c>
      <c r="F53" s="2">
        <v>2322</v>
      </c>
      <c r="G53" s="21">
        <v>21478.5</v>
      </c>
    </row>
    <row r="54" spans="1:7">
      <c r="A54" s="83" t="s">
        <v>544</v>
      </c>
      <c r="B54" s="2">
        <v>19680</v>
      </c>
      <c r="C54" s="2">
        <v>984</v>
      </c>
      <c r="D54" s="2">
        <v>3542.4</v>
      </c>
      <c r="E54" s="2">
        <v>24206.400000000001</v>
      </c>
      <c r="F54" s="2">
        <v>2361.6</v>
      </c>
      <c r="G54" s="21">
        <v>21844.800000000003</v>
      </c>
    </row>
    <row r="55" spans="1:7">
      <c r="A55" s="83" t="s">
        <v>545</v>
      </c>
      <c r="B55" s="2">
        <v>24990</v>
      </c>
      <c r="C55" s="2">
        <v>1249.5</v>
      </c>
      <c r="D55" s="2">
        <v>4498.2</v>
      </c>
      <c r="E55" s="2">
        <v>30737.7</v>
      </c>
      <c r="F55" s="2">
        <v>2998.7999999999997</v>
      </c>
      <c r="G55" s="21">
        <v>27738.9</v>
      </c>
    </row>
    <row r="56" spans="1:7">
      <c r="A56" s="83" t="s">
        <v>528</v>
      </c>
      <c r="B56" s="2">
        <v>26100</v>
      </c>
      <c r="C56" s="2">
        <v>1305</v>
      </c>
      <c r="D56" s="2">
        <v>4698</v>
      </c>
      <c r="E56" s="2">
        <v>32103</v>
      </c>
      <c r="F56" s="2">
        <v>3132</v>
      </c>
      <c r="G56" s="21">
        <v>28971</v>
      </c>
    </row>
    <row r="57" spans="1:7">
      <c r="A57" s="83" t="s">
        <v>530</v>
      </c>
      <c r="B57" s="2">
        <v>25080</v>
      </c>
      <c r="C57" s="2">
        <v>1254</v>
      </c>
      <c r="D57" s="2">
        <v>4514.3999999999996</v>
      </c>
      <c r="E57" s="2">
        <v>30848.400000000001</v>
      </c>
      <c r="F57" s="2">
        <v>3009.6</v>
      </c>
      <c r="G57" s="21">
        <v>27838.800000000003</v>
      </c>
    </row>
    <row r="58" spans="1:7">
      <c r="A58" s="83" t="s">
        <v>539</v>
      </c>
      <c r="B58" s="2">
        <v>15400</v>
      </c>
      <c r="C58" s="2">
        <v>770</v>
      </c>
      <c r="D58" s="2">
        <v>2772</v>
      </c>
      <c r="E58" s="2">
        <v>18942</v>
      </c>
      <c r="F58" s="2">
        <v>1848</v>
      </c>
      <c r="G58" s="21">
        <v>17094</v>
      </c>
    </row>
    <row r="59" spans="1:7">
      <c r="A59" s="83" t="s">
        <v>546</v>
      </c>
      <c r="B59" s="2">
        <v>23730</v>
      </c>
      <c r="C59" s="2">
        <v>1186.5</v>
      </c>
      <c r="D59" s="2">
        <v>4271.3999999999996</v>
      </c>
      <c r="E59" s="2">
        <v>29187.9</v>
      </c>
      <c r="F59" s="2">
        <v>2847.6</v>
      </c>
      <c r="G59" s="21">
        <v>26340.300000000003</v>
      </c>
    </row>
    <row r="60" spans="1:7">
      <c r="A60" s="83" t="s">
        <v>523</v>
      </c>
      <c r="B60" s="2">
        <v>15840</v>
      </c>
      <c r="C60" s="2">
        <v>792</v>
      </c>
      <c r="D60" s="2">
        <v>2851.2</v>
      </c>
      <c r="E60" s="2">
        <v>19483.2</v>
      </c>
      <c r="F60" s="2">
        <v>1900.8</v>
      </c>
      <c r="G60" s="21">
        <v>17582.400000000001</v>
      </c>
    </row>
    <row r="61" spans="1:7">
      <c r="A61" s="83" t="s">
        <v>547</v>
      </c>
      <c r="B61" s="2">
        <v>32890</v>
      </c>
      <c r="C61" s="2">
        <v>1644.5</v>
      </c>
      <c r="D61" s="2">
        <v>5920.2</v>
      </c>
      <c r="E61" s="2">
        <v>40454.699999999997</v>
      </c>
      <c r="F61" s="2">
        <v>3946.7999999999997</v>
      </c>
      <c r="G61" s="21">
        <v>36507.899999999994</v>
      </c>
    </row>
    <row r="62" spans="1:7">
      <c r="A62" s="83" t="s">
        <v>544</v>
      </c>
      <c r="B62" s="2">
        <v>22080</v>
      </c>
      <c r="C62" s="2">
        <v>1104</v>
      </c>
      <c r="D62" s="2">
        <v>3974.3999999999996</v>
      </c>
      <c r="E62" s="2">
        <v>27158.400000000001</v>
      </c>
      <c r="F62" s="2">
        <v>2649.6</v>
      </c>
      <c r="G62" s="21">
        <v>24508.800000000003</v>
      </c>
    </row>
    <row r="63" spans="1:7">
      <c r="A63" s="83" t="s">
        <v>525</v>
      </c>
      <c r="B63" s="2">
        <v>13750</v>
      </c>
      <c r="C63" s="2">
        <v>687.5</v>
      </c>
      <c r="D63" s="2">
        <v>2475</v>
      </c>
      <c r="E63" s="2">
        <v>16912.5</v>
      </c>
      <c r="F63" s="2">
        <v>1650</v>
      </c>
      <c r="G63" s="21">
        <v>15262.5</v>
      </c>
    </row>
    <row r="64" spans="1:7">
      <c r="A64" s="83" t="s">
        <v>534</v>
      </c>
      <c r="B64" s="2">
        <v>39000</v>
      </c>
      <c r="C64" s="2">
        <v>1950</v>
      </c>
      <c r="D64" s="2">
        <v>7020</v>
      </c>
      <c r="E64" s="2">
        <v>47970</v>
      </c>
      <c r="F64" s="2">
        <v>4680</v>
      </c>
      <c r="G64" s="21">
        <v>43290</v>
      </c>
    </row>
    <row r="65" spans="1:7">
      <c r="A65" s="83" t="s">
        <v>529</v>
      </c>
      <c r="B65" s="2">
        <v>13500</v>
      </c>
      <c r="C65" s="2">
        <v>675</v>
      </c>
      <c r="D65" s="2">
        <v>2430</v>
      </c>
      <c r="E65" s="2">
        <v>16605</v>
      </c>
      <c r="F65" s="2">
        <v>1620</v>
      </c>
      <c r="G65" s="21">
        <v>14985</v>
      </c>
    </row>
    <row r="66" spans="1:7">
      <c r="A66" s="83" t="s">
        <v>533</v>
      </c>
      <c r="B66" s="2">
        <v>40600</v>
      </c>
      <c r="C66" s="2">
        <v>2030</v>
      </c>
      <c r="D66" s="2">
        <v>7308</v>
      </c>
      <c r="E66" s="2">
        <v>49938</v>
      </c>
      <c r="F66" s="2">
        <v>4872</v>
      </c>
      <c r="G66" s="21">
        <v>45066</v>
      </c>
    </row>
    <row r="67" spans="1:7">
      <c r="A67" s="83" t="s">
        <v>547</v>
      </c>
      <c r="B67" s="2">
        <v>18850</v>
      </c>
      <c r="C67" s="2">
        <v>942.5</v>
      </c>
      <c r="D67" s="2">
        <v>3393</v>
      </c>
      <c r="E67" s="2">
        <v>23185.5</v>
      </c>
      <c r="F67" s="2">
        <v>2262</v>
      </c>
      <c r="G67" s="21">
        <v>20923.5</v>
      </c>
    </row>
    <row r="68" spans="1:7">
      <c r="A68" s="83" t="s">
        <v>426</v>
      </c>
      <c r="B68" s="2">
        <v>40200</v>
      </c>
      <c r="C68" s="2">
        <v>2010</v>
      </c>
      <c r="D68" s="2">
        <v>7236</v>
      </c>
      <c r="E68" s="2">
        <v>49446</v>
      </c>
      <c r="F68" s="2">
        <v>4824</v>
      </c>
      <c r="G68" s="21">
        <v>44622</v>
      </c>
    </row>
    <row r="69" spans="1:7">
      <c r="A69" s="83" t="s">
        <v>535</v>
      </c>
      <c r="B69" s="2">
        <v>31310</v>
      </c>
      <c r="C69" s="2">
        <v>1565.5</v>
      </c>
      <c r="D69" s="2">
        <v>5635.8</v>
      </c>
      <c r="E69" s="2">
        <v>38511.300000000003</v>
      </c>
      <c r="F69" s="2">
        <v>3757.2</v>
      </c>
      <c r="G69" s="21">
        <v>34754.100000000006</v>
      </c>
    </row>
    <row r="70" spans="1:7">
      <c r="A70" s="83" t="s">
        <v>538</v>
      </c>
      <c r="B70" s="2">
        <v>31310</v>
      </c>
      <c r="C70" s="2">
        <v>1565.5</v>
      </c>
      <c r="D70" s="2">
        <v>5635.8</v>
      </c>
      <c r="E70" s="2">
        <v>38511.300000000003</v>
      </c>
      <c r="F70" s="2">
        <v>3757.2</v>
      </c>
      <c r="G70" s="21">
        <v>34754.100000000006</v>
      </c>
    </row>
    <row r="71" spans="1:7">
      <c r="A71" s="90" t="s">
        <v>542</v>
      </c>
      <c r="B71" s="91">
        <v>31310</v>
      </c>
      <c r="C71" s="91">
        <v>1565.5</v>
      </c>
      <c r="D71" s="91">
        <v>5635.8</v>
      </c>
      <c r="E71" s="91">
        <v>38511.300000000003</v>
      </c>
      <c r="F71" s="91">
        <v>3757.2</v>
      </c>
      <c r="G71" s="109">
        <v>34754.100000000006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50</vt:i4>
      </vt:variant>
      <vt:variant>
        <vt:lpstr>Named Ranges</vt:lpstr>
      </vt:variant>
      <vt:variant>
        <vt:i4>29</vt:i4>
      </vt:variant>
    </vt:vector>
  </HeadingPairs>
  <TitlesOfParts>
    <vt:vector size="79" baseType="lpstr">
      <vt:lpstr>pivot table</vt:lpstr>
      <vt:lpstr>Sheet1</vt:lpstr>
      <vt:lpstr>use timeine</vt:lpstr>
      <vt:lpstr>index plus match</vt:lpstr>
      <vt:lpstr>use lookup</vt:lpstr>
      <vt:lpstr>use vlookup</vt:lpstr>
      <vt:lpstr>use hlookup</vt:lpstr>
      <vt:lpstr>sumif</vt:lpstr>
      <vt:lpstr>sumifs&amp;countif</vt:lpstr>
      <vt:lpstr>avergaeif&amp;ifs</vt:lpstr>
      <vt:lpstr>sumproduct</vt:lpstr>
      <vt:lpstr>US OF IF,AND,OR</vt:lpstr>
      <vt:lpstr>SUBSITUTE</vt:lpstr>
      <vt:lpstr>USE OF LEFT,RIGHT,</vt:lpstr>
      <vt:lpstr>REPT FORMULA</vt:lpstr>
      <vt:lpstr>MAYPENT FORMULA</vt:lpstr>
      <vt:lpstr>PV,FV</vt:lpstr>
      <vt:lpstr>VLOOKUP</vt:lpstr>
      <vt:lpstr>RANGE,LOOKUP</vt:lpstr>
      <vt:lpstr>IFERROE INVLOOKUP</vt:lpstr>
      <vt:lpstr>NESTED VLOOKPU</vt:lpstr>
      <vt:lpstr>double lookup</vt:lpstr>
      <vt:lpstr>multivlookup</vt:lpstr>
      <vt:lpstr>AVG,PER</vt:lpstr>
      <vt:lpstr>Sheet16</vt:lpstr>
      <vt:lpstr>mis report chart</vt:lpstr>
      <vt:lpstr>chart2</vt:lpstr>
      <vt:lpstr>chart1</vt:lpstr>
      <vt:lpstr>mis report</vt:lpstr>
      <vt:lpstr>pivot deshaboard</vt:lpstr>
      <vt:lpstr>pivot cchart</vt:lpstr>
      <vt:lpstr>Sheet9</vt:lpstr>
      <vt:lpstr>created one row</vt:lpstr>
      <vt:lpstr>Sheet4</vt:lpstr>
      <vt:lpstr>line chart</vt:lpstr>
      <vt:lpstr>date_data</vt:lpstr>
      <vt:lpstr>pivot</vt:lpstr>
      <vt:lpstr>MIS dashboard</vt:lpstr>
      <vt:lpstr>Sheet13</vt:lpstr>
      <vt:lpstr>custmomer satisfection</vt:lpstr>
      <vt:lpstr>NET SALARY2</vt:lpstr>
      <vt:lpstr>ADD COST</vt:lpstr>
      <vt:lpstr>EMP_SAL_SHEET</vt:lpstr>
      <vt:lpstr>SAL+SLIP</vt:lpstr>
      <vt:lpstr>infor about farmers</vt:lpstr>
      <vt:lpstr>farmers</vt:lpstr>
      <vt:lpstr>PRACTICE</vt:lpstr>
      <vt:lpstr>Sheet11</vt:lpstr>
      <vt:lpstr>sortby formula</vt:lpstr>
      <vt:lpstr>Shit10</vt:lpstr>
      <vt:lpstr>Amount</vt:lpstr>
      <vt:lpstr>date_data!Date</vt:lpstr>
      <vt:lpstr>Date</vt:lpstr>
      <vt:lpstr>DATEE</vt:lpstr>
      <vt:lpstr>Discount_5</vt:lpstr>
      <vt:lpstr>Item</vt:lpstr>
      <vt:lpstr>items</vt:lpstr>
      <vt:lpstr>MONN</vt:lpstr>
      <vt:lpstr>Month</vt:lpstr>
      <vt:lpstr>Order_ID</vt:lpstr>
      <vt:lpstr>Price</vt:lpstr>
      <vt:lpstr>Product_Category</vt:lpstr>
      <vt:lpstr>Qty_Sold</vt:lpstr>
      <vt:lpstr>date_data!region</vt:lpstr>
      <vt:lpstr>Region</vt:lpstr>
      <vt:lpstr>REGIONN</vt:lpstr>
      <vt:lpstr>RIGON</vt:lpstr>
      <vt:lpstr>SALESMANN</vt:lpstr>
      <vt:lpstr>Salesperson</vt:lpstr>
      <vt:lpstr>shorts</vt:lpstr>
      <vt:lpstr>SOLD_QTY</vt:lpstr>
      <vt:lpstr>Total_Amount</vt:lpstr>
      <vt:lpstr>TOTAL_PRICE</vt:lpstr>
      <vt:lpstr>Total_Sales</vt:lpstr>
      <vt:lpstr>Unit</vt:lpstr>
      <vt:lpstr>Unit_Price</vt:lpstr>
      <vt:lpstr>Units_Sold</vt:lpstr>
      <vt:lpstr>Year</vt:lpstr>
      <vt:lpstr>YEARR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Gowlikar Rupesh</dc:creator>
  <cp:lastModifiedBy>user</cp:lastModifiedBy>
  <cp:lastPrinted>2025-08-04T10:31:31Z</cp:lastPrinted>
  <dcterms:created xsi:type="dcterms:W3CDTF">2025-07-31T16:08:19Z</dcterms:created>
  <dcterms:modified xsi:type="dcterms:W3CDTF">2025-10-12T12:38:14Z</dcterms:modified>
</cp:coreProperties>
</file>