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priya\Desktop\gartner\"/>
    </mc:Choice>
  </mc:AlternateContent>
  <xr:revisionPtr revIDLastSave="0" documentId="8_{3657E221-07ED-4C9E-87DC-772096567181}" xr6:coauthVersionLast="47" xr6:coauthVersionMax="47" xr10:uidLastSave="{00000000-0000-0000-0000-000000000000}"/>
  <bookViews>
    <workbookView xWindow="-110" yWindow="-110" windowWidth="19420" windowHeight="10300" tabRatio="998" activeTab="6" xr2:uid="{00000000-000D-0000-FFFF-FFFF00000000}"/>
  </bookViews>
  <sheets>
    <sheet name="Front page" sheetId="21" r:id="rId1"/>
    <sheet name="HistoricalFS" sheetId="3" r:id="rId2"/>
    <sheet name="Ratio Analysis" sheetId="6" r:id="rId3"/>
    <sheet name="Forecasting" sheetId="8" r:id="rId4"/>
    <sheet name="Data Sheet" sheetId="2" r:id="rId5"/>
    <sheet name="Raw Data For CCA" sheetId="15" r:id="rId6"/>
    <sheet name="CCA" sheetId="12" r:id="rId7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9" i="12" l="1"/>
  <c r="P29" i="12"/>
  <c r="O29" i="12"/>
  <c r="O28" i="12"/>
  <c r="O27" i="12"/>
  <c r="O23" i="12"/>
  <c r="P23" i="12"/>
  <c r="Q23" i="12"/>
  <c r="Q22" i="12"/>
  <c r="P22" i="12"/>
  <c r="O22" i="12"/>
  <c r="O21" i="12"/>
  <c r="P21" i="12"/>
  <c r="Q21" i="12"/>
  <c r="Q20" i="12"/>
  <c r="P20" i="12"/>
  <c r="O20" i="12"/>
  <c r="O19" i="12"/>
  <c r="P19" i="12"/>
  <c r="Q19" i="12"/>
  <c r="Q18" i="12"/>
  <c r="P18" i="12"/>
  <c r="O18" i="12"/>
  <c r="O11" i="12"/>
  <c r="O30" i="12"/>
  <c r="P28" i="12"/>
  <c r="H16" i="12"/>
  <c r="P16" i="12"/>
  <c r="P27" i="12"/>
  <c r="P32" i="12" s="1"/>
  <c r="L16" i="12"/>
  <c r="L15" i="12"/>
  <c r="L14" i="12"/>
  <c r="L13" i="12"/>
  <c r="L12" i="12"/>
  <c r="L11" i="12"/>
  <c r="L10" i="12"/>
  <c r="L9" i="12"/>
  <c r="L8" i="12"/>
  <c r="K16" i="12"/>
  <c r="K15" i="12"/>
  <c r="K14" i="12"/>
  <c r="K13" i="12"/>
  <c r="K12" i="12"/>
  <c r="K11" i="12"/>
  <c r="K10" i="12"/>
  <c r="K9" i="12"/>
  <c r="K8" i="12"/>
  <c r="J16" i="12"/>
  <c r="J15" i="12"/>
  <c r="J14" i="12"/>
  <c r="J13" i="12"/>
  <c r="J12" i="12"/>
  <c r="J11" i="12"/>
  <c r="J10" i="12"/>
  <c r="J9" i="12"/>
  <c r="J8" i="12"/>
  <c r="G16" i="12"/>
  <c r="G15" i="12"/>
  <c r="G14" i="12"/>
  <c r="G13" i="12"/>
  <c r="G12" i="12"/>
  <c r="G11" i="12"/>
  <c r="G10" i="12"/>
  <c r="G9" i="12"/>
  <c r="G8" i="12"/>
  <c r="E16" i="12"/>
  <c r="E15" i="12"/>
  <c r="E14" i="12"/>
  <c r="E13" i="12"/>
  <c r="E12" i="12"/>
  <c r="E11" i="12"/>
  <c r="E10" i="12"/>
  <c r="E9" i="12"/>
  <c r="E8" i="12"/>
  <c r="D16" i="12"/>
  <c r="D15" i="12"/>
  <c r="D14" i="12"/>
  <c r="D13" i="12"/>
  <c r="D12" i="12"/>
  <c r="D11" i="12"/>
  <c r="D10" i="12"/>
  <c r="D9" i="12"/>
  <c r="D8" i="12"/>
  <c r="B16" i="12"/>
  <c r="B15" i="12"/>
  <c r="B14" i="12"/>
  <c r="B13" i="12"/>
  <c r="B12" i="12"/>
  <c r="B11" i="12"/>
  <c r="B10" i="12"/>
  <c r="B9" i="12"/>
  <c r="B8" i="12"/>
  <c r="A5" i="15"/>
  <c r="A6" i="15" s="1"/>
  <c r="A7" i="15" s="1"/>
  <c r="A8" i="15" s="1"/>
  <c r="A9" i="15" s="1"/>
  <c r="A10" i="15" s="1"/>
  <c r="A11" i="15" s="1"/>
  <c r="A12" i="15" s="1"/>
  <c r="A4" i="15"/>
  <c r="H5" i="15"/>
  <c r="L2" i="8" l="1"/>
  <c r="G2" i="8"/>
  <c r="H4" i="15"/>
  <c r="E4" i="15"/>
  <c r="I4" i="15" s="1"/>
  <c r="F9" i="12" l="1"/>
  <c r="F10" i="12"/>
  <c r="F13" i="12"/>
  <c r="F14" i="12"/>
  <c r="F15" i="12"/>
  <c r="F16" i="12"/>
  <c r="E6" i="15"/>
  <c r="I6" i="15" s="1"/>
  <c r="E5" i="15"/>
  <c r="I5" i="15" s="1"/>
  <c r="E3" i="15"/>
  <c r="I3" i="15" s="1"/>
  <c r="E7" i="15"/>
  <c r="I7" i="15" s="1"/>
  <c r="E8" i="15"/>
  <c r="I8" i="15" s="1"/>
  <c r="E9" i="15"/>
  <c r="E10" i="15"/>
  <c r="E11" i="15"/>
  <c r="I11" i="15" s="1"/>
  <c r="E12" i="15"/>
  <c r="I12" i="15" s="1"/>
  <c r="H6" i="15"/>
  <c r="H3" i="15"/>
  <c r="H7" i="15"/>
  <c r="H8" i="15"/>
  <c r="H9" i="15"/>
  <c r="H10" i="15"/>
  <c r="H11" i="15"/>
  <c r="H12" i="15"/>
  <c r="I9" i="15"/>
  <c r="I10" i="15"/>
  <c r="Q28" i="12"/>
  <c r="F11" i="12" l="1"/>
  <c r="F12" i="12"/>
  <c r="Q12" i="12" s="1"/>
  <c r="Q9" i="12"/>
  <c r="H11" i="12"/>
  <c r="F8" i="12"/>
  <c r="Q16" i="12"/>
  <c r="H10" i="12"/>
  <c r="H14" i="12"/>
  <c r="H9" i="12"/>
  <c r="Q11" i="12"/>
  <c r="H13" i="12"/>
  <c r="H15" i="12"/>
  <c r="P30" i="12"/>
  <c r="Q30" i="12"/>
  <c r="H8" i="12" l="1"/>
  <c r="O8" i="12" s="1"/>
  <c r="Q8" i="12"/>
  <c r="Q14" i="12"/>
  <c r="Q15" i="12"/>
  <c r="Q10" i="12"/>
  <c r="P11" i="12"/>
  <c r="H12" i="12"/>
  <c r="O12" i="12" s="1"/>
  <c r="Q13" i="12"/>
  <c r="P14" i="12"/>
  <c r="O14" i="12"/>
  <c r="P10" i="12"/>
  <c r="O10" i="12"/>
  <c r="P15" i="12"/>
  <c r="O15" i="12"/>
  <c r="O16" i="12"/>
  <c r="P9" i="12"/>
  <c r="O9" i="12"/>
  <c r="P13" i="12"/>
  <c r="O13" i="12"/>
  <c r="P8" i="12" l="1"/>
  <c r="P12" i="12"/>
  <c r="Q27" i="12"/>
  <c r="Q32" i="12" l="1"/>
  <c r="Q34" i="12" s="1"/>
  <c r="P34" i="12"/>
  <c r="O32" i="12"/>
  <c r="O34" i="12" s="1"/>
  <c r="L3" i="6" l="1"/>
  <c r="K3" i="6"/>
  <c r="J3" i="6"/>
  <c r="I3" i="6"/>
  <c r="H3" i="6"/>
  <c r="G3" i="6"/>
  <c r="F3" i="6"/>
  <c r="E3" i="6"/>
  <c r="D3" i="6"/>
  <c r="C3" i="6"/>
  <c r="B2" i="6"/>
  <c r="L5" i="8" l="1"/>
  <c r="L6" i="8" s="1"/>
  <c r="L7" i="8" s="1"/>
  <c r="L8" i="8" s="1"/>
  <c r="L9" i="8" s="1"/>
  <c r="L10" i="8" s="1"/>
  <c r="L11" i="8" s="1"/>
  <c r="L12" i="8" s="1"/>
  <c r="L13" i="8" s="1"/>
  <c r="L1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B2" i="8"/>
  <c r="G5" i="8"/>
  <c r="G6" i="8" s="1"/>
  <c r="G7" i="8" s="1"/>
  <c r="G8" i="8" s="1"/>
  <c r="G9" i="8" s="1"/>
  <c r="G10" i="8" s="1"/>
  <c r="G11" i="8" s="1"/>
  <c r="G12" i="8" s="1"/>
  <c r="G13" i="8" s="1"/>
  <c r="G14" i="8" s="1"/>
  <c r="D4" i="8" a="1"/>
  <c r="D9" i="8" s="1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D7" i="8" l="1"/>
  <c r="B20" i="8"/>
  <c r="D12" i="8"/>
  <c r="E12" i="8" s="1"/>
  <c r="D6" i="8"/>
  <c r="D11" i="8"/>
  <c r="D5" i="8"/>
  <c r="D13" i="8"/>
  <c r="D8" i="8"/>
  <c r="D4" i="8"/>
  <c r="L15" i="8"/>
  <c r="G15" i="8"/>
  <c r="D10" i="8"/>
  <c r="E10" i="8" s="1"/>
  <c r="E13" i="8" l="1"/>
  <c r="E6" i="8"/>
  <c r="D19" i="8"/>
  <c r="E8" i="8"/>
  <c r="D20" i="8"/>
  <c r="E20" i="8" s="1"/>
  <c r="B21" i="8"/>
  <c r="D16" i="8"/>
  <c r="D14" i="8"/>
  <c r="E14" i="8" s="1"/>
  <c r="D17" i="8"/>
  <c r="E5" i="8"/>
  <c r="E11" i="8"/>
  <c r="E9" i="8"/>
  <c r="D15" i="8"/>
  <c r="D18" i="8"/>
  <c r="E19" i="8" s="1"/>
  <c r="E7" i="8"/>
  <c r="L16" i="8"/>
  <c r="G16" i="8"/>
  <c r="B22" i="8" l="1"/>
  <c r="D21" i="8"/>
  <c r="E21" i="8" s="1"/>
  <c r="E17" i="8"/>
  <c r="E18" i="8"/>
  <c r="E15" i="8"/>
  <c r="E16" i="8"/>
  <c r="L17" i="8"/>
  <c r="G17" i="8"/>
  <c r="D22" i="8" l="1"/>
  <c r="E22" i="8" s="1"/>
  <c r="B23" i="8"/>
  <c r="L18" i="8"/>
  <c r="L19" i="8" s="1"/>
  <c r="G18" i="8"/>
  <c r="G19" i="8" s="1"/>
  <c r="L20" i="8" l="1"/>
  <c r="G20" i="8"/>
  <c r="D23" i="8"/>
  <c r="E23" i="8" s="1"/>
  <c r="B24" i="8"/>
  <c r="D24" i="8" s="1"/>
  <c r="L79" i="3"/>
  <c r="K79" i="3"/>
  <c r="J79" i="3"/>
  <c r="I79" i="3"/>
  <c r="H79" i="3"/>
  <c r="G79" i="3"/>
  <c r="F79" i="3"/>
  <c r="E79" i="3"/>
  <c r="D79" i="3"/>
  <c r="C79" i="3"/>
  <c r="L77" i="3"/>
  <c r="K77" i="3"/>
  <c r="J77" i="3"/>
  <c r="I77" i="3"/>
  <c r="H77" i="3"/>
  <c r="G77" i="3"/>
  <c r="F77" i="3"/>
  <c r="E77" i="3"/>
  <c r="D77" i="3"/>
  <c r="C77" i="3"/>
  <c r="L75" i="3"/>
  <c r="K75" i="3"/>
  <c r="J75" i="3"/>
  <c r="I75" i="3"/>
  <c r="H75" i="3"/>
  <c r="G75" i="3"/>
  <c r="F75" i="3"/>
  <c r="E75" i="3"/>
  <c r="D75" i="3"/>
  <c r="C75" i="3"/>
  <c r="L61" i="3"/>
  <c r="K61" i="3"/>
  <c r="J61" i="3"/>
  <c r="I61" i="3"/>
  <c r="H61" i="3"/>
  <c r="G61" i="3"/>
  <c r="F61" i="3"/>
  <c r="E61" i="3"/>
  <c r="D61" i="3"/>
  <c r="C61" i="3"/>
  <c r="L66" i="3"/>
  <c r="K66" i="3"/>
  <c r="J66" i="3"/>
  <c r="I66" i="3"/>
  <c r="H66" i="3"/>
  <c r="G66" i="3"/>
  <c r="F66" i="3"/>
  <c r="E66" i="3"/>
  <c r="D66" i="3"/>
  <c r="L65" i="3"/>
  <c r="K65" i="3"/>
  <c r="J65" i="3"/>
  <c r="I65" i="3"/>
  <c r="H65" i="3"/>
  <c r="G65" i="3"/>
  <c r="F65" i="3"/>
  <c r="E65" i="3"/>
  <c r="D65" i="3"/>
  <c r="L64" i="3"/>
  <c r="K64" i="3"/>
  <c r="J64" i="3"/>
  <c r="I64" i="3"/>
  <c r="H64" i="3"/>
  <c r="G64" i="3"/>
  <c r="F64" i="3"/>
  <c r="E64" i="3"/>
  <c r="D64" i="3"/>
  <c r="C66" i="3"/>
  <c r="C65" i="3"/>
  <c r="C64" i="3"/>
  <c r="L60" i="3"/>
  <c r="K60" i="3"/>
  <c r="J60" i="3"/>
  <c r="I60" i="3"/>
  <c r="H60" i="3"/>
  <c r="G60" i="3"/>
  <c r="F60" i="3"/>
  <c r="E60" i="3"/>
  <c r="D60" i="3"/>
  <c r="C60" i="3"/>
  <c r="L59" i="3"/>
  <c r="K59" i="3"/>
  <c r="J59" i="3"/>
  <c r="I59" i="3"/>
  <c r="H59" i="3"/>
  <c r="G59" i="3"/>
  <c r="F59" i="3"/>
  <c r="E59" i="3"/>
  <c r="D59" i="3"/>
  <c r="C59" i="3"/>
  <c r="L58" i="3"/>
  <c r="K58" i="3"/>
  <c r="J58" i="3"/>
  <c r="I58" i="3"/>
  <c r="H58" i="3"/>
  <c r="G58" i="3"/>
  <c r="F58" i="3"/>
  <c r="E58" i="3"/>
  <c r="D58" i="3"/>
  <c r="C58" i="3"/>
  <c r="L56" i="3"/>
  <c r="K56" i="3"/>
  <c r="J56" i="3"/>
  <c r="I56" i="3"/>
  <c r="H56" i="3"/>
  <c r="G56" i="3"/>
  <c r="F56" i="3"/>
  <c r="E56" i="3"/>
  <c r="D56" i="3"/>
  <c r="L55" i="3"/>
  <c r="K55" i="3"/>
  <c r="J55" i="3"/>
  <c r="I55" i="3"/>
  <c r="H55" i="3"/>
  <c r="G55" i="3"/>
  <c r="F55" i="3"/>
  <c r="E55" i="3"/>
  <c r="D55" i="3"/>
  <c r="L54" i="3"/>
  <c r="K54" i="3"/>
  <c r="J54" i="3"/>
  <c r="I54" i="3"/>
  <c r="H54" i="3"/>
  <c r="G54" i="3"/>
  <c r="F54" i="3"/>
  <c r="E54" i="3"/>
  <c r="D54" i="3"/>
  <c r="L53" i="3"/>
  <c r="K53" i="3"/>
  <c r="J53" i="3"/>
  <c r="I53" i="3"/>
  <c r="H53" i="3"/>
  <c r="G53" i="3"/>
  <c r="F53" i="3"/>
  <c r="E53" i="3"/>
  <c r="D53" i="3"/>
  <c r="L52" i="3"/>
  <c r="K52" i="3"/>
  <c r="J52" i="3"/>
  <c r="I52" i="3"/>
  <c r="H52" i="3"/>
  <c r="G52" i="3"/>
  <c r="F52" i="3"/>
  <c r="E52" i="3"/>
  <c r="D52" i="3"/>
  <c r="C56" i="3"/>
  <c r="C55" i="3"/>
  <c r="C54" i="3"/>
  <c r="C53" i="3"/>
  <c r="C52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I4" i="8" l="1" a="1"/>
  <c r="G21" i="8"/>
  <c r="E24" i="8"/>
  <c r="L21" i="8"/>
  <c r="M18" i="3"/>
  <c r="B15" i="2"/>
  <c r="G9" i="6"/>
  <c r="K9" i="6"/>
  <c r="D30" i="6"/>
  <c r="D28" i="6"/>
  <c r="D34" i="6" s="1"/>
  <c r="D29" i="6"/>
  <c r="D35" i="6" s="1"/>
  <c r="D31" i="6"/>
  <c r="D33" i="6"/>
  <c r="L30" i="6"/>
  <c r="L28" i="6"/>
  <c r="L34" i="6" s="1"/>
  <c r="L29" i="6"/>
  <c r="L35" i="6" s="1"/>
  <c r="L31" i="6"/>
  <c r="L33" i="6"/>
  <c r="E40" i="6"/>
  <c r="E38" i="6"/>
  <c r="E31" i="6"/>
  <c r="E29" i="6"/>
  <c r="E28" i="6"/>
  <c r="E30" i="6"/>
  <c r="I31" i="6"/>
  <c r="I29" i="6"/>
  <c r="I35" i="6" s="1"/>
  <c r="I33" i="6"/>
  <c r="I28" i="6"/>
  <c r="I34" i="6" s="1"/>
  <c r="I30" i="6"/>
  <c r="F38" i="6"/>
  <c r="F40" i="6"/>
  <c r="F31" i="6"/>
  <c r="F29" i="6"/>
  <c r="F35" i="6" s="1"/>
  <c r="F33" i="6"/>
  <c r="F28" i="6"/>
  <c r="F34" i="6" s="1"/>
  <c r="F30" i="6"/>
  <c r="J31" i="6"/>
  <c r="J29" i="6"/>
  <c r="J35" i="6" s="1"/>
  <c r="J33" i="6"/>
  <c r="J30" i="6"/>
  <c r="J28" i="6"/>
  <c r="J34" i="6" s="1"/>
  <c r="E9" i="6"/>
  <c r="I9" i="6"/>
  <c r="C40" i="6"/>
  <c r="C38" i="6"/>
  <c r="G40" i="6"/>
  <c r="G38" i="6"/>
  <c r="K38" i="6"/>
  <c r="K40" i="6"/>
  <c r="H30" i="6"/>
  <c r="H28" i="6"/>
  <c r="H34" i="6" s="1"/>
  <c r="H31" i="6"/>
  <c r="H33" i="6"/>
  <c r="H29" i="6"/>
  <c r="H35" i="6" s="1"/>
  <c r="I40" i="6"/>
  <c r="I38" i="6"/>
  <c r="D9" i="6"/>
  <c r="H9" i="6"/>
  <c r="J40" i="6"/>
  <c r="J38" i="6"/>
  <c r="C30" i="6"/>
  <c r="C28" i="6"/>
  <c r="C31" i="6"/>
  <c r="C29" i="6"/>
  <c r="G30" i="6"/>
  <c r="G28" i="6"/>
  <c r="G34" i="6" s="1"/>
  <c r="G31" i="6"/>
  <c r="G33" i="6"/>
  <c r="G29" i="6"/>
  <c r="G35" i="6" s="1"/>
  <c r="K30" i="6"/>
  <c r="K28" i="6"/>
  <c r="K34" i="6" s="1"/>
  <c r="K29" i="6"/>
  <c r="K35" i="6" s="1"/>
  <c r="K31" i="6"/>
  <c r="K33" i="6"/>
  <c r="F9" i="6"/>
  <c r="J9" i="6"/>
  <c r="D40" i="6"/>
  <c r="D38" i="6"/>
  <c r="H40" i="6"/>
  <c r="H38" i="6"/>
  <c r="L40" i="6"/>
  <c r="L38" i="6"/>
  <c r="H67" i="3"/>
  <c r="I62" i="3"/>
  <c r="G67" i="3"/>
  <c r="F67" i="3"/>
  <c r="E62" i="3"/>
  <c r="C67" i="3"/>
  <c r="I67" i="3"/>
  <c r="D67" i="3"/>
  <c r="J62" i="3"/>
  <c r="H62" i="3"/>
  <c r="J67" i="3"/>
  <c r="C62" i="3"/>
  <c r="K62" i="3"/>
  <c r="K67" i="3"/>
  <c r="F81" i="3"/>
  <c r="F62" i="3"/>
  <c r="D62" i="3"/>
  <c r="L62" i="3"/>
  <c r="E67" i="3"/>
  <c r="I81" i="3"/>
  <c r="L67" i="3"/>
  <c r="G62" i="3"/>
  <c r="J81" i="3"/>
  <c r="L41" i="3"/>
  <c r="L9" i="6" s="1"/>
  <c r="F10" i="3"/>
  <c r="K12" i="3"/>
  <c r="K13" i="3" s="1"/>
  <c r="K11" i="6" s="1"/>
  <c r="D10" i="3"/>
  <c r="M25" i="3"/>
  <c r="C12" i="3"/>
  <c r="C18" i="3" s="1"/>
  <c r="J12" i="3"/>
  <c r="J13" i="3" s="1"/>
  <c r="J11" i="6" s="1"/>
  <c r="C16" i="3"/>
  <c r="C17" i="6" s="1"/>
  <c r="C22" i="3"/>
  <c r="K22" i="3"/>
  <c r="M27" i="3"/>
  <c r="K7" i="3"/>
  <c r="K5" i="6" s="1"/>
  <c r="G16" i="3"/>
  <c r="G17" i="6" s="1"/>
  <c r="E22" i="3"/>
  <c r="M22" i="3"/>
  <c r="F25" i="3"/>
  <c r="F18" i="6" s="1"/>
  <c r="G7" i="3"/>
  <c r="G5" i="6" s="1"/>
  <c r="L10" i="3"/>
  <c r="H16" i="3"/>
  <c r="H17" i="6" s="1"/>
  <c r="G25" i="3"/>
  <c r="G18" i="6" s="1"/>
  <c r="I7" i="3"/>
  <c r="I5" i="6" s="1"/>
  <c r="G12" i="3"/>
  <c r="G22" i="3"/>
  <c r="H22" i="3"/>
  <c r="E16" i="3"/>
  <c r="E17" i="6" s="1"/>
  <c r="F22" i="3"/>
  <c r="F16" i="3"/>
  <c r="F17" i="6" s="1"/>
  <c r="L25" i="3"/>
  <c r="L18" i="6" s="1"/>
  <c r="I10" i="3"/>
  <c r="J16" i="3"/>
  <c r="J17" i="6" s="1"/>
  <c r="E10" i="3"/>
  <c r="I16" i="3"/>
  <c r="I17" i="6" s="1"/>
  <c r="I22" i="3"/>
  <c r="F12" i="3"/>
  <c r="H10" i="3"/>
  <c r="J10" i="3"/>
  <c r="K16" i="3"/>
  <c r="K17" i="6" s="1"/>
  <c r="J22" i="3"/>
  <c r="J7" i="3"/>
  <c r="J5" i="6" s="1"/>
  <c r="J25" i="3"/>
  <c r="J18" i="6" s="1"/>
  <c r="D25" i="3"/>
  <c r="D18" i="6" s="1"/>
  <c r="H25" i="3"/>
  <c r="H18" i="6" s="1"/>
  <c r="D16" i="3"/>
  <c r="D17" i="6" s="1"/>
  <c r="L16" i="3"/>
  <c r="L17" i="6" s="1"/>
  <c r="C25" i="3"/>
  <c r="C18" i="6" s="1"/>
  <c r="K25" i="3"/>
  <c r="K18" i="6" s="1"/>
  <c r="L12" i="3"/>
  <c r="E12" i="3"/>
  <c r="D22" i="3"/>
  <c r="L22" i="3"/>
  <c r="D12" i="3"/>
  <c r="E25" i="3"/>
  <c r="E18" i="6" s="1"/>
  <c r="D7" i="3"/>
  <c r="D5" i="6" s="1"/>
  <c r="L7" i="3"/>
  <c r="L5" i="6" s="1"/>
  <c r="G10" i="3"/>
  <c r="M10" i="3"/>
  <c r="E7" i="3"/>
  <c r="E5" i="6" s="1"/>
  <c r="M7" i="3"/>
  <c r="F7" i="3"/>
  <c r="F5" i="6" s="1"/>
  <c r="H12" i="3"/>
  <c r="I25" i="3"/>
  <c r="I18" i="6" s="1"/>
  <c r="H7" i="3"/>
  <c r="H5" i="6" s="1"/>
  <c r="C10" i="3"/>
  <c r="K10" i="3"/>
  <c r="I12" i="3"/>
  <c r="M12" i="3"/>
  <c r="M13" i="3" s="1"/>
  <c r="I6" i="8" l="1"/>
  <c r="I9" i="8"/>
  <c r="I13" i="8"/>
  <c r="I8" i="8"/>
  <c r="J8" i="8" s="1"/>
  <c r="I7" i="8"/>
  <c r="J7" i="8" s="1"/>
  <c r="I5" i="8"/>
  <c r="J5" i="8" s="1"/>
  <c r="I12" i="8"/>
  <c r="I11" i="8"/>
  <c r="J11" i="8" s="1"/>
  <c r="I10" i="8"/>
  <c r="I4" i="8"/>
  <c r="M19" i="3"/>
  <c r="L22" i="8"/>
  <c r="G22" i="8"/>
  <c r="O5" i="6"/>
  <c r="N5" i="6"/>
  <c r="O18" i="6"/>
  <c r="C19" i="3"/>
  <c r="C12" i="6" s="1"/>
  <c r="C25" i="6"/>
  <c r="C21" i="6"/>
  <c r="C13" i="6"/>
  <c r="O27" i="6"/>
  <c r="C33" i="6"/>
  <c r="O38" i="6"/>
  <c r="N38" i="6"/>
  <c r="N18" i="6"/>
  <c r="N17" i="6"/>
  <c r="K36" i="6"/>
  <c r="O31" i="6"/>
  <c r="N31" i="6"/>
  <c r="H36" i="6"/>
  <c r="O40" i="6"/>
  <c r="N40" i="6"/>
  <c r="N29" i="6"/>
  <c r="E35" i="6"/>
  <c r="O17" i="6"/>
  <c r="I69" i="3"/>
  <c r="O28" i="6"/>
  <c r="C34" i="6"/>
  <c r="J36" i="6"/>
  <c r="N30" i="6"/>
  <c r="L36" i="6"/>
  <c r="N9" i="6"/>
  <c r="N27" i="6"/>
  <c r="E33" i="6"/>
  <c r="G36" i="6"/>
  <c r="O29" i="6"/>
  <c r="C35" i="6"/>
  <c r="O30" i="6"/>
  <c r="O9" i="6"/>
  <c r="F36" i="6"/>
  <c r="I36" i="6"/>
  <c r="N28" i="6"/>
  <c r="E34" i="6"/>
  <c r="D36" i="6"/>
  <c r="K69" i="3"/>
  <c r="G81" i="3"/>
  <c r="J69" i="3"/>
  <c r="H69" i="3"/>
  <c r="E81" i="3"/>
  <c r="C69" i="3"/>
  <c r="K81" i="3"/>
  <c r="H81" i="3"/>
  <c r="C81" i="3"/>
  <c r="L81" i="3"/>
  <c r="G69" i="3"/>
  <c r="F69" i="3"/>
  <c r="D81" i="3"/>
  <c r="L69" i="3"/>
  <c r="D69" i="3"/>
  <c r="E69" i="3"/>
  <c r="J18" i="3"/>
  <c r="C13" i="3"/>
  <c r="C11" i="6" s="1"/>
  <c r="C27" i="3"/>
  <c r="C28" i="3" s="1"/>
  <c r="C14" i="6" s="1"/>
  <c r="K18" i="3"/>
  <c r="E18" i="3"/>
  <c r="E13" i="3"/>
  <c r="E11" i="6" s="1"/>
  <c r="G18" i="3"/>
  <c r="G13" i="3"/>
  <c r="G11" i="6" s="1"/>
  <c r="F18" i="3"/>
  <c r="F13" i="3"/>
  <c r="F11" i="6" s="1"/>
  <c r="L18" i="3"/>
  <c r="L13" i="3"/>
  <c r="L11" i="6" s="1"/>
  <c r="H18" i="3"/>
  <c r="H13" i="3"/>
  <c r="H11" i="6" s="1"/>
  <c r="M31" i="3"/>
  <c r="M33" i="3"/>
  <c r="M28" i="3"/>
  <c r="I18" i="3"/>
  <c r="I13" i="3"/>
  <c r="I11" i="6" s="1"/>
  <c r="D18" i="3"/>
  <c r="D13" i="3"/>
  <c r="D11" i="6" s="1"/>
  <c r="I21" i="8" l="1"/>
  <c r="J12" i="8"/>
  <c r="J13" i="8"/>
  <c r="I18" i="8"/>
  <c r="J18" i="8" s="1"/>
  <c r="I16" i="8"/>
  <c r="J16" i="8" s="1"/>
  <c r="I15" i="8"/>
  <c r="J15" i="8" s="1"/>
  <c r="I17" i="8"/>
  <c r="I20" i="8"/>
  <c r="J20" i="8" s="1"/>
  <c r="I19" i="8"/>
  <c r="I14" i="8"/>
  <c r="J14" i="8" s="1"/>
  <c r="J9" i="8"/>
  <c r="J10" i="8"/>
  <c r="J6" i="8"/>
  <c r="I22" i="8"/>
  <c r="J22" i="8" s="1"/>
  <c r="G23" i="8"/>
  <c r="L23" i="8"/>
  <c r="H25" i="6"/>
  <c r="H13" i="6"/>
  <c r="H19" i="6" s="1"/>
  <c r="H21" i="6"/>
  <c r="H6" i="6"/>
  <c r="F21" i="6"/>
  <c r="F6" i="6"/>
  <c r="F13" i="6"/>
  <c r="F19" i="6" s="1"/>
  <c r="F25" i="6"/>
  <c r="E21" i="6"/>
  <c r="E6" i="6"/>
  <c r="E13" i="6"/>
  <c r="E19" i="6" s="1"/>
  <c r="E25" i="6"/>
  <c r="J19" i="3"/>
  <c r="J12" i="6" s="1"/>
  <c r="J21" i="6"/>
  <c r="J6" i="6"/>
  <c r="J25" i="6"/>
  <c r="J13" i="6"/>
  <c r="J19" i="6" s="1"/>
  <c r="O33" i="6"/>
  <c r="N33" i="6"/>
  <c r="C36" i="6"/>
  <c r="D25" i="6"/>
  <c r="D13" i="6"/>
  <c r="D19" i="6" s="1"/>
  <c r="D21" i="6"/>
  <c r="D6" i="6"/>
  <c r="K19" i="3"/>
  <c r="K12" i="6" s="1"/>
  <c r="K25" i="6"/>
  <c r="K21" i="6"/>
  <c r="K13" i="6"/>
  <c r="K19" i="6" s="1"/>
  <c r="K6" i="6"/>
  <c r="E71" i="3"/>
  <c r="E39" i="6"/>
  <c r="F71" i="3"/>
  <c r="F39" i="6"/>
  <c r="H71" i="3"/>
  <c r="H39" i="6"/>
  <c r="E36" i="6"/>
  <c r="L25" i="6"/>
  <c r="L13" i="6"/>
  <c r="L19" i="6" s="1"/>
  <c r="L6" i="6"/>
  <c r="L21" i="6"/>
  <c r="G25" i="6"/>
  <c r="G13" i="6"/>
  <c r="G19" i="6" s="1"/>
  <c r="G6" i="6"/>
  <c r="G21" i="6"/>
  <c r="D71" i="3"/>
  <c r="D39" i="6"/>
  <c r="G71" i="3"/>
  <c r="G39" i="6"/>
  <c r="J71" i="3"/>
  <c r="J39" i="6"/>
  <c r="K71" i="3"/>
  <c r="K39" i="6"/>
  <c r="O35" i="6"/>
  <c r="N35" i="6"/>
  <c r="I71" i="3"/>
  <c r="I39" i="6"/>
  <c r="C19" i="6"/>
  <c r="I6" i="6"/>
  <c r="I13" i="6"/>
  <c r="I19" i="6" s="1"/>
  <c r="I25" i="6"/>
  <c r="I21" i="6"/>
  <c r="O11" i="6"/>
  <c r="N11" i="6"/>
  <c r="L71" i="3"/>
  <c r="L39" i="6"/>
  <c r="C71" i="3"/>
  <c r="C39" i="6"/>
  <c r="O34" i="6"/>
  <c r="N34" i="6"/>
  <c r="J27" i="3"/>
  <c r="C33" i="3"/>
  <c r="C38" i="3" s="1"/>
  <c r="C31" i="3"/>
  <c r="K27" i="3"/>
  <c r="G19" i="3"/>
  <c r="G12" i="6" s="1"/>
  <c r="G27" i="3"/>
  <c r="F19" i="3"/>
  <c r="F12" i="6" s="1"/>
  <c r="F27" i="3"/>
  <c r="I19" i="3"/>
  <c r="I12" i="6" s="1"/>
  <c r="I27" i="3"/>
  <c r="D19" i="3"/>
  <c r="D12" i="6" s="1"/>
  <c r="D27" i="3"/>
  <c r="D7" i="6" s="1"/>
  <c r="H19" i="3"/>
  <c r="H12" i="6" s="1"/>
  <c r="H27" i="3"/>
  <c r="E19" i="3"/>
  <c r="E12" i="6" s="1"/>
  <c r="E27" i="3"/>
  <c r="E7" i="6" s="1"/>
  <c r="L19" i="3"/>
  <c r="L12" i="6" s="1"/>
  <c r="L27" i="3"/>
  <c r="M34" i="3"/>
  <c r="M38" i="3"/>
  <c r="J17" i="8" l="1"/>
  <c r="J19" i="8"/>
  <c r="J21" i="8"/>
  <c r="L24" i="8"/>
  <c r="I23" i="8"/>
  <c r="J23" i="8" s="1"/>
  <c r="G24" i="8"/>
  <c r="I24" i="8" s="1"/>
  <c r="I7" i="6"/>
  <c r="G7" i="6"/>
  <c r="O21" i="6"/>
  <c r="O12" i="6"/>
  <c r="N13" i="6"/>
  <c r="O25" i="6"/>
  <c r="J28" i="3"/>
  <c r="J14" i="6" s="1"/>
  <c r="J7" i="6"/>
  <c r="O39" i="6"/>
  <c r="N39" i="6"/>
  <c r="O19" i="6"/>
  <c r="N19" i="6"/>
  <c r="N6" i="6"/>
  <c r="O36" i="6"/>
  <c r="N36" i="6"/>
  <c r="N25" i="6"/>
  <c r="N12" i="6"/>
  <c r="F7" i="6"/>
  <c r="K28" i="3"/>
  <c r="K14" i="6" s="1"/>
  <c r="K7" i="6"/>
  <c r="O13" i="6"/>
  <c r="O6" i="6"/>
  <c r="L7" i="6"/>
  <c r="H7" i="6"/>
  <c r="C34" i="3"/>
  <c r="C15" i="6" s="1"/>
  <c r="C23" i="6"/>
  <c r="N21" i="6"/>
  <c r="J33" i="3"/>
  <c r="J31" i="3"/>
  <c r="K33" i="3"/>
  <c r="K38" i="3" s="1"/>
  <c r="K31" i="3"/>
  <c r="M42" i="3"/>
  <c r="M44" i="3" s="1"/>
  <c r="C42" i="3"/>
  <c r="C44" i="3" s="1"/>
  <c r="C22" i="6" s="1"/>
  <c r="L31" i="3"/>
  <c r="L33" i="3"/>
  <c r="L28" i="3"/>
  <c r="L14" i="6" s="1"/>
  <c r="E31" i="3"/>
  <c r="E33" i="3"/>
  <c r="E28" i="3"/>
  <c r="E14" i="6" s="1"/>
  <c r="D31" i="3"/>
  <c r="D33" i="3"/>
  <c r="D28" i="3"/>
  <c r="D14" i="6" s="1"/>
  <c r="F28" i="3"/>
  <c r="F14" i="6" s="1"/>
  <c r="F33" i="3"/>
  <c r="F31" i="3"/>
  <c r="H28" i="3"/>
  <c r="H14" i="6" s="1"/>
  <c r="H31" i="3"/>
  <c r="H33" i="3"/>
  <c r="G33" i="3"/>
  <c r="G28" i="3"/>
  <c r="G14" i="6" s="1"/>
  <c r="G31" i="3"/>
  <c r="I33" i="3"/>
  <c r="I28" i="3"/>
  <c r="I14" i="6" s="1"/>
  <c r="I31" i="3"/>
  <c r="J24" i="8" l="1"/>
  <c r="O14" i="6"/>
  <c r="O7" i="6"/>
  <c r="J38" i="3"/>
  <c r="J42" i="3" s="1"/>
  <c r="J23" i="6"/>
  <c r="J8" i="6"/>
  <c r="G8" i="6"/>
  <c r="G23" i="6"/>
  <c r="N7" i="6"/>
  <c r="E23" i="6"/>
  <c r="E8" i="6"/>
  <c r="L8" i="6"/>
  <c r="L23" i="6"/>
  <c r="D8" i="6"/>
  <c r="D23" i="6"/>
  <c r="H8" i="6"/>
  <c r="H23" i="6"/>
  <c r="F23" i="6"/>
  <c r="F8" i="6"/>
  <c r="C24" i="6"/>
  <c r="K34" i="3"/>
  <c r="K15" i="6" s="1"/>
  <c r="K23" i="6"/>
  <c r="K8" i="6"/>
  <c r="I23" i="6"/>
  <c r="I8" i="6"/>
  <c r="N14" i="6"/>
  <c r="J34" i="3"/>
  <c r="J15" i="6" s="1"/>
  <c r="J44" i="3"/>
  <c r="J22" i="6" s="1"/>
  <c r="K42" i="3"/>
  <c r="K44" i="3" s="1"/>
  <c r="K22" i="6" s="1"/>
  <c r="F34" i="3"/>
  <c r="F15" i="6" s="1"/>
  <c r="F38" i="3"/>
  <c r="I38" i="3"/>
  <c r="I34" i="3"/>
  <c r="I15" i="6" s="1"/>
  <c r="D38" i="3"/>
  <c r="D34" i="3"/>
  <c r="D15" i="6" s="1"/>
  <c r="H34" i="3"/>
  <c r="H15" i="6" s="1"/>
  <c r="H38" i="3"/>
  <c r="E34" i="3"/>
  <c r="E15" i="6" s="1"/>
  <c r="E38" i="3"/>
  <c r="G34" i="3"/>
  <c r="G15" i="6" s="1"/>
  <c r="G38" i="3"/>
  <c r="L38" i="3"/>
  <c r="L34" i="3"/>
  <c r="L15" i="6" s="1"/>
  <c r="K39" i="3" l="1"/>
  <c r="J24" i="6"/>
  <c r="J39" i="3"/>
  <c r="O23" i="6"/>
  <c r="O15" i="6"/>
  <c r="K24" i="6"/>
  <c r="N15" i="6"/>
  <c r="N23" i="6"/>
  <c r="N4" i="8" a="1"/>
  <c r="N8" i="6"/>
  <c r="O8" i="6"/>
  <c r="E39" i="3"/>
  <c r="E42" i="3"/>
  <c r="E44" i="3" s="1"/>
  <c r="E22" i="6" s="1"/>
  <c r="E24" i="6" s="1"/>
  <c r="H39" i="3"/>
  <c r="H42" i="3"/>
  <c r="H44" i="3" s="1"/>
  <c r="H22" i="6" s="1"/>
  <c r="H24" i="6" s="1"/>
  <c r="G39" i="3"/>
  <c r="G42" i="3"/>
  <c r="G44" i="3" s="1"/>
  <c r="G22" i="6" s="1"/>
  <c r="G24" i="6" s="1"/>
  <c r="I39" i="3"/>
  <c r="I42" i="3"/>
  <c r="I44" i="3" s="1"/>
  <c r="I22" i="6" s="1"/>
  <c r="I24" i="6" s="1"/>
  <c r="F39" i="3"/>
  <c r="F42" i="3"/>
  <c r="F44" i="3" s="1"/>
  <c r="F22" i="6" s="1"/>
  <c r="F24" i="6" s="1"/>
  <c r="L39" i="3"/>
  <c r="L42" i="3"/>
  <c r="L44" i="3" s="1"/>
  <c r="L22" i="6" s="1"/>
  <c r="L24" i="6" s="1"/>
  <c r="M39" i="3"/>
  <c r="D39" i="3"/>
  <c r="D42" i="3"/>
  <c r="D44" i="3" s="1"/>
  <c r="D22" i="6" s="1"/>
  <c r="D24" i="6" l="1"/>
  <c r="N22" i="6"/>
  <c r="O22" i="6"/>
  <c r="N9" i="8"/>
  <c r="N6" i="8"/>
  <c r="N11" i="8"/>
  <c r="N8" i="8"/>
  <c r="N5" i="8"/>
  <c r="N13" i="8"/>
  <c r="N10" i="8"/>
  <c r="N7" i="8"/>
  <c r="N12" i="8"/>
  <c r="N4" i="8"/>
  <c r="O7" i="8" l="1"/>
  <c r="N19" i="8"/>
  <c r="N20" i="8"/>
  <c r="N21" i="8"/>
  <c r="N22" i="8"/>
  <c r="N23" i="8"/>
  <c r="N24" i="8"/>
  <c r="O8" i="8"/>
  <c r="O5" i="8"/>
  <c r="O9" i="8"/>
  <c r="O13" i="8"/>
  <c r="O12" i="8"/>
  <c r="O10" i="8"/>
  <c r="O11" i="8"/>
  <c r="N16" i="8"/>
  <c r="N15" i="8"/>
  <c r="N18" i="8"/>
  <c r="N14" i="8"/>
  <c r="O14" i="8" s="1"/>
  <c r="N17" i="8"/>
  <c r="O6" i="8"/>
  <c r="O24" i="6"/>
  <c r="N24" i="6"/>
  <c r="O21" i="8" l="1"/>
  <c r="O23" i="8"/>
  <c r="O19" i="8"/>
  <c r="O22" i="8"/>
  <c r="O24" i="8"/>
  <c r="O20" i="8"/>
  <c r="O17" i="8"/>
  <c r="O16" i="8"/>
  <c r="O18" i="8"/>
  <c r="O15" i="8"/>
</calcChain>
</file>

<file path=xl/sharedStrings.xml><?xml version="1.0" encoding="utf-8"?>
<sst xmlns="http://schemas.openxmlformats.org/spreadsheetml/2006/main" count="237" uniqueCount="180">
  <si>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</si>
  <si>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</si>
  <si>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</si>
  <si>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</si>
  <si>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</si>
  <si>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</si>
  <si>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</si>
  <si>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</si>
  <si>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</si>
  <si>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</si>
  <si>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</si>
  <si>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</si>
  <si>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</si>
  <si>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</si>
  <si>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</si>
  <si>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</si>
  <si>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</si>
  <si>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</si>
  <si>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</si>
  <si>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</si>
  <si>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</si>
  <si>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</si>
  <si>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</si>
  <si>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</si>
  <si>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</si>
  <si>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</si>
  <si>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</si>
  <si>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</si>
  <si>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</si>
  <si>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</si>
  <si>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</si>
  <si>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</si>
  <si>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</si>
  <si>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</si>
  <si>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</si>
  <si>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</si>
  <si>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</si>
  <si>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</si>
  <si>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</si>
  <si>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</si>
  <si>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</si>
  <si>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</si>
  <si>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</si>
  <si>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</si>
  <si>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</si>
  <si>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</si>
  <si>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</si>
  <si>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</si>
  <si>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</si>
  <si>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</si>
  <si>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</si>
  <si>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</si>
  <si>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</si>
  <si>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</si>
  <si>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</si>
  <si>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</si>
  <si>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</si>
  <si>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</si>
  <si>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</si>
  <si>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</si>
  <si>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</si>
  <si>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</si>
  <si>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</si>
  <si>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</si>
  <si>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</si>
  <si>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</si>
  <si>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</si>
  <si>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</si>
  <si>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</si>
  <si>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</si>
  <si>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</si>
  <si>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</si>
  <si>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</si>
  <si>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</si>
  <si>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</si>
  <si>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</si>
  <si>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</si>
  <si>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</si>
  <si>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</si>
  <si>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</si>
  <si>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</si>
  <si>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</si>
  <si>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</si>
  <si>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</si>
  <si>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</si>
  <si>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</si>
  <si>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</si>
  <si>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</si>
  <si>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</si>
  <si>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</si>
  <si>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</si>
  <si>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</si>
  <si>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</si>
  <si>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</si>
  <si>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</si>
  <si>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</si>
  <si>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</si>
  <si>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</si>
  <si>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</si>
  <si>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</si>
  <si>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</si>
  <si>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</si>
  <si>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</si>
  <si>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</si>
  <si>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</si>
  <si>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</si>
  <si>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</si>
  <si>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</si>
  <si>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</si>
  <si>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</si>
  <si>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</si>
  <si>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</si>
  <si>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</si>
  <si>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</si>
  <si>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Return on Equity%</t>
  </si>
  <si>
    <t>Return on Capital Employed</t>
  </si>
  <si>
    <t>CFO/Sales</t>
  </si>
  <si>
    <t>CFO/Total Assets</t>
  </si>
  <si>
    <t>CFO/Total Debt</t>
  </si>
  <si>
    <t>Year Weight</t>
  </si>
  <si>
    <t>Year</t>
  </si>
  <si>
    <t>Trend</t>
  </si>
  <si>
    <t>Mean</t>
  </si>
  <si>
    <t>Median</t>
  </si>
  <si>
    <t>Cash Conversion Cycle (in days)</t>
  </si>
  <si>
    <t>ECO RECYCLING LTD</t>
  </si>
  <si>
    <t>Average</t>
  </si>
  <si>
    <t>Net debt</t>
  </si>
  <si>
    <t>S.No.</t>
  </si>
  <si>
    <t>Name</t>
  </si>
  <si>
    <t>Amount In crore</t>
  </si>
  <si>
    <t xml:space="preserve">Comparable Company Analysis </t>
  </si>
  <si>
    <t>MARKET DATA</t>
  </si>
  <si>
    <t>FINANCIALS</t>
  </si>
  <si>
    <t>Valuation</t>
  </si>
  <si>
    <t>Company</t>
  </si>
  <si>
    <t>Share Price</t>
  </si>
  <si>
    <t>Share O/S</t>
  </si>
  <si>
    <t>Equity Value</t>
  </si>
  <si>
    <t>Enterprise Value</t>
  </si>
  <si>
    <t>Revenue</t>
  </si>
  <si>
    <t>Net Income</t>
  </si>
  <si>
    <t>EV/Revenue</t>
  </si>
  <si>
    <t>EV/EBITDA</t>
  </si>
  <si>
    <t>P/E</t>
  </si>
  <si>
    <t>High</t>
  </si>
  <si>
    <t>75th Percentile</t>
  </si>
  <si>
    <t>25th Percentile</t>
  </si>
  <si>
    <t>Low</t>
  </si>
  <si>
    <t>EV*Revenue</t>
  </si>
  <si>
    <t>EV*EBITDA</t>
  </si>
  <si>
    <t>Implied Enterprise Value</t>
  </si>
  <si>
    <t>Net Debt</t>
  </si>
  <si>
    <t>Implied Market Value(Median &amp; Net Income)</t>
  </si>
  <si>
    <t>Share Outstanding</t>
  </si>
  <si>
    <t>Implied Value Per Share</t>
  </si>
  <si>
    <t>Under or Over VALUED</t>
  </si>
  <si>
    <t>EV(Enterprise Value)</t>
  </si>
  <si>
    <t>CMP Rs.</t>
  </si>
  <si>
    <t>No. Eq. Shares Cr.</t>
  </si>
  <si>
    <t>Debt Rs.Cr.</t>
  </si>
  <si>
    <t>Cash End Rs.Cr.</t>
  </si>
  <si>
    <t>EV Rs.Cr.</t>
  </si>
  <si>
    <t>Sales Rs.Cr.</t>
  </si>
  <si>
    <t>EV / EBITDA</t>
  </si>
  <si>
    <t>NP Ann Rs.Cr.</t>
  </si>
  <si>
    <t>M.Cap / Sales</t>
  </si>
  <si>
    <t>Cupid</t>
  </si>
  <si>
    <t>Antony Waste han</t>
  </si>
  <si>
    <t>Bombay Super Hyb</t>
  </si>
  <si>
    <t>Eco Recyc.</t>
  </si>
  <si>
    <t>Oriental Rail</t>
  </si>
  <si>
    <t>Matrimony.com</t>
  </si>
  <si>
    <t>Gulshan Polyols</t>
  </si>
  <si>
    <t>Signpost India</t>
  </si>
  <si>
    <t>R K Swamy</t>
  </si>
  <si>
    <t>Jaykay Enter.</t>
  </si>
  <si>
    <t>Market Captilization</t>
  </si>
  <si>
    <t>ECO RECYCLING LTD CCA</t>
  </si>
  <si>
    <t>ECO RECYCLING LTD Comparable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</si>
</sst>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yyyy&quot;A&quot;"/>
    <numFmt numFmtId="169" formatCode="yyyy&quot;E&quot;"/>
    <numFmt numFmtId="170" formatCode="#,##0.0"/>
    <numFmt numFmtId="171" formatCode="0.00&quot;x&quot;"/>
    <numFmt numFmtId="176" formatCode="0.0\x"/>
  </numFmts>
  <fonts count="2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Impact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Impact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rgb="FFFF0000"/>
      <name val="calibri"/>
      <family val="2"/>
    </font>
    <font>
      <b/>
      <sz val="11"/>
      <color theme="1"/>
      <name val="Impact"/>
      <family val="2"/>
      <scheme val="minor"/>
    </font>
    <font>
      <sz val="11"/>
      <color rgb="FF22222F"/>
      <name val="Arial"/>
      <family val="2"/>
    </font>
    <font>
      <i/>
      <sz val="14"/>
      <color theme="1"/>
      <name val="Impact"/>
      <family val="2"/>
      <scheme val="minor"/>
    </font>
    <font>
      <sz val="17"/>
      <color theme="0"/>
      <name val="Impact"/>
      <family val="2"/>
      <scheme val="minor"/>
    </font>
    <font>
      <sz val="11"/>
      <color theme="0"/>
      <name val="Calibri"/>
      <family val="2"/>
    </font>
    <font>
      <u/>
      <sz val="11"/>
      <color theme="0"/>
      <name val="calibri"/>
      <family val="2"/>
    </font>
    <font>
      <u/>
      <sz val="11"/>
      <color rgb="FF0070C0"/>
      <name val="calibri"/>
      <family val="2"/>
    </font>
    <font>
      <b/>
      <sz val="15"/>
      <color theme="0"/>
      <name val="Times New Roman"/>
      <family val="1"/>
    </font>
    <font>
      <b/>
      <sz val="11"/>
      <color theme="1"/>
      <name val="Arial Black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 style="thin">
        <color theme="1"/>
      </top>
      <bottom/>
      <diagonal/>
    </border>
    <border>
      <left/>
      <right/>
      <top style="hair">
        <color theme="2"/>
      </top>
      <bottom style="hair">
        <color theme="2"/>
      </bottom>
      <diagonal/>
    </border>
    <border>
      <left/>
      <right/>
      <top style="hair">
        <color theme="1"/>
      </top>
      <bottom style="hair">
        <color theme="0" tint="-4.9989318521683403E-2"/>
      </bottom>
      <diagonal/>
    </border>
    <border>
      <left/>
      <right/>
      <top/>
      <bottom style="hair">
        <color theme="0" tint="-4.9989318521683403E-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  <xf numFmtId="0" fontId="4" fillId="0" borderId="0" applyNumberFormat="0" applyFill="0" applyBorder="0" applyAlignment="0" applyProtection="0"/>
  </cellStyleXfs>
  <cellXfs count="129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3" borderId="0" xfId="0" applyFont="1" applyFill="1"/>
    <xf numFmtId="0" fontId="0" fillId="3" borderId="0" xfId="0" applyFill="1"/>
    <xf numFmtId="166" fontId="3" fillId="0" borderId="0" xfId="0" applyNumberFormat="1" applyFont="1"/>
    <xf numFmtId="0" fontId="0" fillId="0" borderId="0" xfId="0" applyAlignment="1">
      <alignment horizontal="left"/>
    </xf>
    <xf numFmtId="168" fontId="0" fillId="0" borderId="0" xfId="0" applyNumberFormat="1" applyAlignment="1">
      <alignment horizontal="right"/>
    </xf>
    <xf numFmtId="17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10" fontId="0" fillId="0" borderId="2" xfId="0" applyNumberFormat="1" applyBorder="1"/>
    <xf numFmtId="171" fontId="0" fillId="0" borderId="2" xfId="0" applyNumberFormat="1" applyBorder="1"/>
    <xf numFmtId="171" fontId="0" fillId="0" borderId="1" xfId="0" applyNumberFormat="1" applyBorder="1"/>
    <xf numFmtId="171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Border="1"/>
    <xf numFmtId="0" fontId="15" fillId="4" borderId="1" xfId="0" applyFont="1" applyFill="1" applyBorder="1"/>
    <xf numFmtId="0" fontId="15" fillId="5" borderId="0" xfId="0" applyFont="1" applyFill="1"/>
    <xf numFmtId="0" fontId="15" fillId="4" borderId="2" xfId="0" applyFont="1" applyFill="1" applyBorder="1"/>
    <xf numFmtId="0" fontId="0" fillId="6" borderId="1" xfId="0" applyFill="1" applyBorder="1"/>
    <xf numFmtId="0" fontId="0" fillId="6" borderId="0" xfId="0" applyFill="1"/>
    <xf numFmtId="0" fontId="0" fillId="5" borderId="2" xfId="0" applyFill="1" applyBorder="1"/>
    <xf numFmtId="0" fontId="0" fillId="6" borderId="2" xfId="0" applyFill="1" applyBorder="1"/>
    <xf numFmtId="0" fontId="0" fillId="5" borderId="0" xfId="0" applyFill="1"/>
    <xf numFmtId="0" fontId="0" fillId="5" borderId="1" xfId="0" applyFill="1" applyBorder="1"/>
    <xf numFmtId="171" fontId="0" fillId="0" borderId="1" xfId="0" applyNumberFormat="1" applyBorder="1" applyAlignment="1">
      <alignment horizontal="right"/>
    </xf>
    <xf numFmtId="3" fontId="0" fillId="0" borderId="0" xfId="0" applyNumberFormat="1"/>
    <xf numFmtId="0" fontId="16" fillId="0" borderId="0" xfId="0" applyFont="1"/>
    <xf numFmtId="0" fontId="0" fillId="0" borderId="9" xfId="0" applyBorder="1"/>
    <xf numFmtId="0" fontId="0" fillId="0" borderId="0" xfId="0" applyAlignment="1">
      <alignment vertical="center" wrapText="1"/>
    </xf>
    <xf numFmtId="0" fontId="4" fillId="0" borderId="0" xfId="8" applyAlignment="1">
      <alignment vertical="center" wrapText="1"/>
    </xf>
    <xf numFmtId="0" fontId="18" fillId="0" borderId="9" xfId="0" applyFont="1" applyBorder="1"/>
    <xf numFmtId="0" fontId="0" fillId="9" borderId="0" xfId="0" applyFill="1"/>
    <xf numFmtId="3" fontId="0" fillId="0" borderId="9" xfId="0" applyNumberFormat="1" applyBorder="1"/>
    <xf numFmtId="0" fontId="0" fillId="0" borderId="9" xfId="0" applyBorder="1" applyAlignment="1">
      <alignment wrapText="1"/>
    </xf>
    <xf numFmtId="176" fontId="0" fillId="0" borderId="9" xfId="0" applyNumberFormat="1" applyBorder="1"/>
    <xf numFmtId="0" fontId="9" fillId="8" borderId="17" xfId="0" applyFont="1" applyFill="1" applyBorder="1"/>
    <xf numFmtId="0" fontId="9" fillId="10" borderId="17" xfId="0" applyFont="1" applyFill="1" applyBorder="1" applyAlignment="1">
      <alignment horizontal="right"/>
    </xf>
    <xf numFmtId="0" fontId="0" fillId="0" borderId="19" xfId="0" applyBorder="1"/>
    <xf numFmtId="10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7" fillId="11" borderId="0" xfId="0" applyFont="1" applyFill="1" applyBorder="1" applyAlignment="1">
      <alignment horizontal="right" vertical="center" wrapText="1"/>
    </xf>
    <xf numFmtId="0" fontId="0" fillId="7" borderId="9" xfId="0" applyFill="1" applyBorder="1"/>
    <xf numFmtId="3" fontId="0" fillId="7" borderId="9" xfId="0" applyNumberFormat="1" applyFill="1" applyBorder="1"/>
    <xf numFmtId="3" fontId="0" fillId="12" borderId="9" xfId="0" applyNumberFormat="1" applyFill="1" applyBorder="1"/>
    <xf numFmtId="0" fontId="0" fillId="7" borderId="9" xfId="0" applyFill="1" applyBorder="1" applyAlignment="1">
      <alignment wrapText="1"/>
    </xf>
    <xf numFmtId="176" fontId="0" fillId="7" borderId="9" xfId="0" applyNumberFormat="1" applyFill="1" applyBorder="1"/>
    <xf numFmtId="0" fontId="0" fillId="7" borderId="11" xfId="0" applyFill="1" applyBorder="1"/>
    <xf numFmtId="176" fontId="0" fillId="7" borderId="11" xfId="0" applyNumberFormat="1" applyFill="1" applyBorder="1"/>
    <xf numFmtId="0" fontId="0" fillId="7" borderId="18" xfId="0" applyFill="1" applyBorder="1"/>
    <xf numFmtId="3" fontId="0" fillId="7" borderId="18" xfId="0" applyNumberFormat="1" applyFill="1" applyBorder="1"/>
    <xf numFmtId="0" fontId="3" fillId="0" borderId="9" xfId="0" applyFont="1" applyBorder="1"/>
    <xf numFmtId="3" fontId="3" fillId="12" borderId="9" xfId="0" applyNumberFormat="1" applyFont="1" applyFill="1" applyBorder="1"/>
    <xf numFmtId="3" fontId="3" fillId="0" borderId="9" xfId="0" applyNumberFormat="1" applyFont="1" applyBorder="1"/>
    <xf numFmtId="0" fontId="3" fillId="0" borderId="9" xfId="0" applyFont="1" applyBorder="1" applyAlignment="1">
      <alignment wrapText="1"/>
    </xf>
    <xf numFmtId="176" fontId="3" fillId="0" borderId="9" xfId="0" applyNumberFormat="1" applyFont="1" applyBorder="1"/>
    <xf numFmtId="9" fontId="17" fillId="11" borderId="0" xfId="1" applyFont="1" applyFill="1" applyBorder="1" applyAlignment="1">
      <alignment horizontal="right" vertical="center" wrapText="1"/>
    </xf>
    <xf numFmtId="0" fontId="2" fillId="8" borderId="0" xfId="0" applyFont="1" applyFill="1" applyAlignment="1">
      <alignment horizontal="center"/>
    </xf>
    <xf numFmtId="0" fontId="2" fillId="8" borderId="0" xfId="0" applyFont="1" applyFill="1"/>
    <xf numFmtId="17" fontId="2" fillId="8" borderId="0" xfId="0" applyNumberFormat="1" applyFont="1" applyFill="1"/>
    <xf numFmtId="17" fontId="2" fillId="8" borderId="0" xfId="0" applyNumberFormat="1" applyFont="1" applyFill="1" applyAlignment="1">
      <alignment horizontal="right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/>
    <xf numFmtId="17" fontId="2" fillId="8" borderId="7" xfId="0" applyNumberFormat="1" applyFont="1" applyFill="1" applyBorder="1"/>
    <xf numFmtId="17" fontId="2" fillId="8" borderId="7" xfId="0" applyNumberFormat="1" applyFont="1" applyFill="1" applyBorder="1" applyAlignment="1">
      <alignment horizontal="center"/>
    </xf>
    <xf numFmtId="17" fontId="2" fillId="8" borderId="7" xfId="0" applyNumberFormat="1" applyFont="1" applyFill="1" applyBorder="1" applyAlignment="1">
      <alignment horizontal="right"/>
    </xf>
    <xf numFmtId="17" fontId="2" fillId="8" borderId="8" xfId="0" applyNumberFormat="1" applyFont="1" applyFill="1" applyBorder="1" applyAlignment="1">
      <alignment horizontal="right"/>
    </xf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right"/>
    </xf>
    <xf numFmtId="0" fontId="20" fillId="0" borderId="0" xfId="0" applyFont="1"/>
    <xf numFmtId="0" fontId="0" fillId="7" borderId="0" xfId="0" applyFill="1" applyAlignment="1">
      <alignment horizontal="left"/>
    </xf>
    <xf numFmtId="169" fontId="0" fillId="7" borderId="0" xfId="0" applyNumberFormat="1" applyFill="1" applyAlignment="1">
      <alignment horizontal="right"/>
    </xf>
    <xf numFmtId="170" fontId="0" fillId="7" borderId="0" xfId="0" applyNumberFormat="1" applyFill="1"/>
    <xf numFmtId="10" fontId="0" fillId="7" borderId="0" xfId="1" applyNumberFormat="1" applyFont="1" applyFill="1"/>
    <xf numFmtId="43" fontId="10" fillId="8" borderId="0" xfId="4" applyNumberFormat="1" applyFont="1" applyFill="1" applyBorder="1" applyAlignment="1">
      <alignment horizontal="center"/>
    </xf>
    <xf numFmtId="164" fontId="10" fillId="8" borderId="0" xfId="2" applyNumberFormat="1" applyFont="1" applyFill="1" applyBorder="1"/>
    <xf numFmtId="164" fontId="10" fillId="8" borderId="0" xfId="5" applyNumberFormat="1" applyFont="1" applyFill="1" applyAlignment="1">
      <alignment horizontal="center"/>
    </xf>
    <xf numFmtId="0" fontId="21" fillId="8" borderId="0" xfId="8" applyFont="1" applyFill="1" applyBorder="1" applyAlignment="1">
      <alignment horizontal="left" vertical="center"/>
    </xf>
    <xf numFmtId="0" fontId="21" fillId="8" borderId="0" xfId="8" applyFont="1" applyFill="1" applyBorder="1" applyAlignment="1">
      <alignment horizontal="right" vertical="center" wrapText="1"/>
    </xf>
    <xf numFmtId="0" fontId="20" fillId="8" borderId="0" xfId="0" applyFont="1" applyFill="1" applyBorder="1"/>
    <xf numFmtId="0" fontId="21" fillId="8" borderId="0" xfId="8" applyFont="1" applyFill="1" applyBorder="1" applyAlignment="1">
      <alignment horizontal="center" vertical="center" wrapText="1"/>
    </xf>
    <xf numFmtId="0" fontId="22" fillId="11" borderId="0" xfId="8" applyFont="1" applyFill="1" applyBorder="1" applyAlignment="1">
      <alignment horizontal="left" vertical="center"/>
    </xf>
    <xf numFmtId="0" fontId="0" fillId="7" borderId="0" xfId="0" applyFill="1" applyBorder="1" applyAlignment="1">
      <alignment vertical="center" wrapText="1"/>
    </xf>
    <xf numFmtId="0" fontId="0" fillId="7" borderId="0" xfId="0" applyFill="1" applyBorder="1"/>
    <xf numFmtId="0" fontId="9" fillId="8" borderId="7" xfId="0" applyFont="1" applyFill="1" applyBorder="1"/>
    <xf numFmtId="0" fontId="9" fillId="8" borderId="10" xfId="0" applyFont="1" applyFill="1" applyBorder="1"/>
    <xf numFmtId="0" fontId="19" fillId="8" borderId="10" xfId="0" applyFont="1" applyFill="1" applyBorder="1"/>
    <xf numFmtId="0" fontId="0" fillId="8" borderId="12" xfId="0" applyFill="1" applyBorder="1"/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8" borderId="15" xfId="0" applyFont="1" applyFill="1" applyBorder="1" applyAlignment="1">
      <alignment horizontal="center"/>
    </xf>
    <xf numFmtId="0" fontId="9" fillId="8" borderId="12" xfId="0" applyFont="1" applyFill="1" applyBorder="1"/>
    <xf numFmtId="0" fontId="9" fillId="8" borderId="16" xfId="0" applyFont="1" applyFill="1" applyBorder="1"/>
    <xf numFmtId="0" fontId="0" fillId="8" borderId="0" xfId="0" applyFill="1"/>
    <xf numFmtId="0" fontId="0" fillId="8" borderId="16" xfId="0" applyFill="1" applyBorder="1"/>
    <xf numFmtId="0" fontId="9" fillId="8" borderId="16" xfId="0" applyFont="1" applyFill="1" applyBorder="1" applyAlignment="1">
      <alignment horizontal="right"/>
    </xf>
    <xf numFmtId="0" fontId="23" fillId="8" borderId="0" xfId="0" applyFont="1" applyFill="1" applyAlignment="1">
      <alignment horizontal="center" wrapText="1"/>
    </xf>
    <xf numFmtId="0" fontId="24" fillId="7" borderId="0" xfId="0" applyFont="1" applyFill="1"/>
    <xf numFmtId="0" fontId="24" fillId="0" borderId="19" xfId="0" applyFont="1" applyBorder="1"/>
    <xf numFmtId="0" fontId="3" fillId="0" borderId="19" xfId="0" applyFont="1" applyBorder="1"/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>
      <alignment horizontal="center"/>
    </xf>
  </cellXfs>
  <cellStyles count="9">
    <cellStyle name="Accent6 2" xfId="4" xr:uid="{00000000-0005-0000-0000-000000000000}"/>
    <cellStyle name="Comma 2" xfId="2" xr:uid="{00000000-0005-0000-0000-000001000000}"/>
    <cellStyle name="Hyperlink" xfId="8" builtinId="8"/>
    <cellStyle name="Hyperlink 2" xfId="3" xr:uid="{00000000-0005-0000-0000-000003000000}"/>
    <cellStyle name="Normal" xfId="0" builtinId="0"/>
    <cellStyle name="Normal 2" xfId="7" xr:uid="{00000000-0005-0000-0000-000005000000}"/>
    <cellStyle name="Normal 3" xfId="5" xr:uid="{00000000-0005-0000-0000-000006000000}"/>
    <cellStyle name="Percent" xfId="1" builtinId="5"/>
    <cellStyle name="Percent 3" xfId="6" xr:uid="{00000000-0005-0000-0000-000008000000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288552</xdr:colOff>
      <xdr:row>0</xdr:row>
      <xdr:rowOff>114300</xdr:rowOff>
    </xdr:from>
    <xdr:to>
      <xdr:col>9</xdr:col>
      <xdr:colOff>717178</xdr:colOff>
      <xdr:row>18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01140" y="114300"/>
          <a:ext cx="8922685" cy="339986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                                      </a:t>
          </a:r>
          <a:endParaRPr lang="en-US" sz="1100" baseline="0"/>
        </a:p>
        <a:p>
          <a:pPr algn="ctr"/>
          <a:endParaRPr lang="en-US" sz="1100" baseline="0"/>
        </a:p>
        <a:p>
          <a:pPr algn="ctr"/>
          <a:endParaRPr lang="en-US" sz="1100" baseline="0"/>
        </a:p>
        <a:p>
          <a:pPr algn="ctr"/>
          <a:endParaRPr lang="en-US" sz="1100" baseline="0"/>
        </a:p>
      </xdr:txBody>
    </xdr:sp>
    <xdr:clientData/>
  </xdr:twoCellAnchor>
  <xdr:twoCellAnchor>
    <xdr:from>
      <xdr:col>1</xdr:col>
      <xdr:colOff>542925</xdr:colOff>
      <xdr:row>6</xdr:row>
      <xdr:rowOff>38100</xdr:rowOff>
    </xdr:from>
    <xdr:to>
      <xdr:col>2</xdr:col>
      <xdr:colOff>1504950</xdr:colOff>
      <xdr:row>8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52525" y="1181100"/>
          <a:ext cx="1571625" cy="409575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SUBMITTED BY                                                                                        </a:t>
          </a:r>
          <a:endParaRPr lang="en-US" sz="1100"/>
        </a:p>
      </xdr:txBody>
    </xdr:sp>
    <xdr:clientData/>
  </xdr:twoCellAnchor>
  <xdr:twoCellAnchor editAs="oneCell">
    <xdr:from>
      <xdr:col>4</xdr:col>
      <xdr:colOff>19051</xdr:colOff>
      <xdr:row>6</xdr:row>
      <xdr:rowOff>133350</xdr:rowOff>
    </xdr:from>
    <xdr:to>
      <xdr:col>6</xdr:col>
      <xdr:colOff>752476</xdr:colOff>
      <xdr:row>14</xdr:row>
      <xdr:rowOff>17311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6" y="1276350"/>
          <a:ext cx="2438400" cy="1407961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</xdr:pic>
    <xdr:clientData/>
  </xdr:twoCellAnchor>
  <xdr:twoCellAnchor>
    <xdr:from>
      <xdr:col>7</xdr:col>
      <xdr:colOff>581025</xdr:colOff>
      <xdr:row>6</xdr:row>
      <xdr:rowOff>28575</xdr:rowOff>
    </xdr:from>
    <xdr:to>
      <xdr:col>9</xdr:col>
      <xdr:colOff>419100</xdr:colOff>
      <xdr:row>8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620000" y="1171575"/>
          <a:ext cx="1543050" cy="428625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SUBMITRTED TO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619125</xdr:colOff>
      <xdr:row>1</xdr:row>
      <xdr:rowOff>47625</xdr:rowOff>
    </xdr:from>
    <xdr:to>
      <xdr:col>8</xdr:col>
      <xdr:colOff>352425</xdr:colOff>
      <xdr:row>4</xdr:row>
      <xdr:rowOff>57150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838325" y="238125"/>
          <a:ext cx="6734175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rgbClr val="C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ASSIGNMENT</a:t>
          </a:r>
          <a:r>
            <a:rPr lang="en-US" sz="1600" b="1" baseline="0">
              <a:solidFill>
                <a:srgbClr val="C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OF CORPORATE VALUATION</a:t>
          </a:r>
          <a:endParaRPr lang="en-US" sz="1600" b="1">
            <a:solidFill>
              <a:srgbClr val="C0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600"/>
        </a:p>
      </xdr:txBody>
    </xdr:sp>
    <xdr:clientData/>
  </xdr:twoCellAnchor>
  <xdr:twoCellAnchor>
    <xdr:from>
      <xdr:col>7</xdr:col>
      <xdr:colOff>590551</xdr:colOff>
      <xdr:row>10</xdr:row>
      <xdr:rowOff>161926</xdr:rowOff>
    </xdr:from>
    <xdr:to>
      <xdr:col>9</xdr:col>
      <xdr:colOff>438150</xdr:colOff>
      <xdr:row>12</xdr:row>
      <xdr:rowOff>133350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629526" y="2066926"/>
          <a:ext cx="1552574" cy="352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DR.RV.Naveenan</a:t>
          </a:r>
        </a:p>
      </xdr:txBody>
    </xdr:sp>
    <xdr:clientData/>
  </xdr:twoCellAnchor>
  <xdr:twoCellAnchor>
    <xdr:from>
      <xdr:col>1</xdr:col>
      <xdr:colOff>533400</xdr:colOff>
      <xdr:row>10</xdr:row>
      <xdr:rowOff>161925</xdr:rowOff>
    </xdr:from>
    <xdr:to>
      <xdr:col>2</xdr:col>
      <xdr:colOff>1533525</xdr:colOff>
      <xdr:row>12</xdr:row>
      <xdr:rowOff>123824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43000" y="2066925"/>
          <a:ext cx="1609725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Priyanka</a:t>
          </a:r>
          <a:r>
            <a:rPr lang="en-US" sz="1100" baseline="0"/>
            <a:t> kurmi</a:t>
          </a:r>
          <a:endParaRPr lang="en-US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ain Event">
  <a:themeElements>
    <a:clrScheme name="Main Event">
      <a:dk1>
        <a:sysClr val="windowText" lastClr="000000"/>
      </a:dk1>
      <a:lt1>
        <a:sysClr val="window" lastClr="FFFFFF"/>
      </a:lt1>
      <a:dk2>
        <a:srgbClr val="424242"/>
      </a:dk2>
      <a:lt2>
        <a:srgbClr val="C8C8C8"/>
      </a:lt2>
      <a:accent1>
        <a:srgbClr val="B80E0F"/>
      </a:accent1>
      <a:accent2>
        <a:srgbClr val="A6987D"/>
      </a:accent2>
      <a:accent3>
        <a:srgbClr val="7F9A71"/>
      </a:accent3>
      <a:accent4>
        <a:srgbClr val="64969F"/>
      </a:accent4>
      <a:accent5>
        <a:srgbClr val="9B75B2"/>
      </a:accent5>
      <a:accent6>
        <a:srgbClr val="80737A"/>
      </a:accent6>
      <a:hlink>
        <a:srgbClr val="F21213"/>
      </a:hlink>
      <a:folHlink>
        <a:srgbClr val="B6A394"/>
      </a:folHlink>
    </a:clrScheme>
    <a:fontScheme name="Main Event">
      <a:maj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8000"/>
                <a:satMod val="110000"/>
                <a:lumMod val="40000"/>
              </a:schemeClr>
              <a:schemeClr val="phClr">
                <a:tint val="90000"/>
                <a:lumMod val="10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in Event" id="{AC372BB4-D83D-411E-B849-B641926BA760}" vid="{F1EFBDE3-1A95-4E3D-81AD-1F53D65BEA0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compare/00000039/00000106/?sort=sales&amp;order=desc" TargetMode="External"/><Relationship Id="rId13" Type="http://schemas.openxmlformats.org/officeDocument/2006/relationships/hyperlink" Target="https://www.screener.in/company/AWHCL/consolidated/" TargetMode="External"/><Relationship Id="rId18" Type="http://schemas.openxmlformats.org/officeDocument/2006/relationships/hyperlink" Target="https://www.screener.in/company/GULPOLY/" TargetMode="External"/><Relationship Id="rId3" Type="http://schemas.openxmlformats.org/officeDocument/2006/relationships/hyperlink" Target="https://www.screener.in/company/compare/00000039/00000106/?sort=current+price&amp;order=desc" TargetMode="External"/><Relationship Id="rId21" Type="http://schemas.openxmlformats.org/officeDocument/2006/relationships/hyperlink" Target="https://www.screener.in/company/500306/consolidated/" TargetMode="External"/><Relationship Id="rId7" Type="http://schemas.openxmlformats.org/officeDocument/2006/relationships/hyperlink" Target="https://www.screener.in/company/compare/00000039/00000106/?sort=enterprise+value&amp;order=desc" TargetMode="External"/><Relationship Id="rId12" Type="http://schemas.openxmlformats.org/officeDocument/2006/relationships/hyperlink" Target="https://www.screener.in/company/CUPID/" TargetMode="External"/><Relationship Id="rId17" Type="http://schemas.openxmlformats.org/officeDocument/2006/relationships/hyperlink" Target="https://www.screener.in/company/MATRIMONY/consolidated/" TargetMode="External"/><Relationship Id="rId2" Type="http://schemas.openxmlformats.org/officeDocument/2006/relationships/hyperlink" Target="https://www.screener.in/company/compare/00000039/00000106/?sort=name&amp;order=desc" TargetMode="External"/><Relationship Id="rId16" Type="http://schemas.openxmlformats.org/officeDocument/2006/relationships/hyperlink" Target="https://www.screener.in/company/531859/consolidated/" TargetMode="External"/><Relationship Id="rId20" Type="http://schemas.openxmlformats.org/officeDocument/2006/relationships/hyperlink" Target="https://www.screener.in/company/RKSWAMY/consolidated/" TargetMode="External"/><Relationship Id="rId1" Type="http://schemas.openxmlformats.org/officeDocument/2006/relationships/hyperlink" Target="https://www.screener.in/company/compare/00000039/00000106/?order=asc" TargetMode="External"/><Relationship Id="rId6" Type="http://schemas.openxmlformats.org/officeDocument/2006/relationships/hyperlink" Target="https://www.screener.in/company/compare/00000039/00000106/?sort=cash+end+of+last+year&amp;order=desc" TargetMode="External"/><Relationship Id="rId11" Type="http://schemas.openxmlformats.org/officeDocument/2006/relationships/hyperlink" Target="https://www.screener.in/company/compare/00000039/00000106/?sort=market+cap+to+sales&amp;order=desc" TargetMode="External"/><Relationship Id="rId5" Type="http://schemas.openxmlformats.org/officeDocument/2006/relationships/hyperlink" Target="https://www.screener.in/company/compare/00000039/00000106/?sort=debt&amp;order=desc" TargetMode="External"/><Relationship Id="rId15" Type="http://schemas.openxmlformats.org/officeDocument/2006/relationships/hyperlink" Target="https://www.screener.in/company/530643/" TargetMode="External"/><Relationship Id="rId10" Type="http://schemas.openxmlformats.org/officeDocument/2006/relationships/hyperlink" Target="https://www.screener.in/company/compare/00000039/00000106/?sort=net+profit+last+year&amp;order=desc" TargetMode="External"/><Relationship Id="rId19" Type="http://schemas.openxmlformats.org/officeDocument/2006/relationships/hyperlink" Target="https://www.screener.in/company/SIGNPOST/consolidated/" TargetMode="External"/><Relationship Id="rId4" Type="http://schemas.openxmlformats.org/officeDocument/2006/relationships/hyperlink" Target="https://www.screener.in/company/compare/00000039/00000106/?sort=number+of+equity+shares&amp;order=desc" TargetMode="External"/><Relationship Id="rId9" Type="http://schemas.openxmlformats.org/officeDocument/2006/relationships/hyperlink" Target="https://www.screener.in/company/compare/00000039/00000106/?sort=evebitda&amp;order=desc" TargetMode="External"/><Relationship Id="rId14" Type="http://schemas.openxmlformats.org/officeDocument/2006/relationships/hyperlink" Target="https://www.screener.in/company/BSHS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K3"/>
  <sheetViews>
    <sheetView showGridLines="0" zoomScale="85" zoomScaleNormal="85" workbookViewId="0">
      <selection activeCell="L19" sqref="L19"/>
    </sheetView>
  </sheetViews>
  <sheetFormatPr defaultRowHeight="14.5" x14ac:dyDescent="0.35"/>
  <cols>
    <col min="3" max="3" width="26.7265625" bestFit="1" customWidth="1"/>
    <col min="4" max="4" width="12" bestFit="1" customWidth="1"/>
    <col min="5" max="5" width="17.7265625" bestFit="1" customWidth="1"/>
    <col min="6" max="6" width="7.81640625" customWidth="1"/>
    <col min="7" max="7" width="23" customWidth="1"/>
    <col min="8" max="8" width="17.7265625" customWidth="1"/>
    <col min="9" max="9" width="7.81640625" customWidth="1"/>
    <col min="10" max="10" width="11.7265625" customWidth="1"/>
    <col min="11" max="11" width="11" customWidth="1"/>
    <col min="12" max="12" width="11.7265625" customWidth="1"/>
  </cols>
  <sheetData>
    <row r="2" spans="7:11" x14ac:dyDescent="0.35">
      <c r="G2" s="62"/>
      <c r="H2" s="62"/>
      <c r="I2" s="62"/>
      <c r="J2" s="62"/>
      <c r="K2" s="62"/>
    </row>
    <row r="3" spans="7:11" x14ac:dyDescent="0.35">
      <c r="G3" s="62"/>
      <c r="H3" s="62"/>
      <c r="I3" s="62"/>
      <c r="J3" s="62"/>
      <c r="K3" s="62"/>
    </row>
  </sheetData>
  <mergeCells count="1">
    <mergeCell ref="G2:K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M81"/>
  <sheetViews>
    <sheetView showGridLines="0" topLeftCell="B1" zoomScale="85" zoomScaleNormal="85" workbookViewId="0">
      <pane ySplit="3" topLeftCell="A48" activePane="bottomLeft" state="frozen"/>
      <selection pane="bottomLeft" activeCell="N37" sqref="N37"/>
    </sheetView>
  </sheetViews>
  <sheetFormatPr defaultRowHeight="14.5" x14ac:dyDescent="0.35"/>
  <cols>
    <col min="1" max="1" width="1.81640625" customWidth="1"/>
    <col min="2" max="2" width="28.453125" bestFit="1" customWidth="1"/>
    <col min="3" max="13" width="13" customWidth="1"/>
  </cols>
  <sheetData>
    <row r="2" spans="1:13" x14ac:dyDescent="0.35">
      <c r="B2" s="82" t="str">
        <f>"Historical Financial Statement - "&amp;'Data Sheet'!B1</f>
        <v>Historical Financial Statement - ECO RECYCLING LTD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13" x14ac:dyDescent="0.35">
      <c r="B3" s="83" t="s">
        <v>55</v>
      </c>
      <c r="C3" s="84">
        <f>'Data Sheet'!B16</f>
        <v>42094</v>
      </c>
      <c r="D3" s="84">
        <f>'Data Sheet'!C16</f>
        <v>42460</v>
      </c>
      <c r="E3" s="84">
        <f>'Data Sheet'!D16</f>
        <v>42825</v>
      </c>
      <c r="F3" s="84">
        <f>'Data Sheet'!E16</f>
        <v>43190</v>
      </c>
      <c r="G3" s="84">
        <f>'Data Sheet'!F16</f>
        <v>43555</v>
      </c>
      <c r="H3" s="84">
        <f>'Data Sheet'!G16</f>
        <v>43921</v>
      </c>
      <c r="I3" s="84">
        <f>'Data Sheet'!H16</f>
        <v>44286</v>
      </c>
      <c r="J3" s="84">
        <f>'Data Sheet'!I16</f>
        <v>44651</v>
      </c>
      <c r="K3" s="84">
        <f>'Data Sheet'!J16</f>
        <v>45016</v>
      </c>
      <c r="L3" s="84">
        <f>'Data Sheet'!K16</f>
        <v>45382</v>
      </c>
      <c r="M3" s="85" t="s">
        <v>56</v>
      </c>
    </row>
    <row r="4" spans="1:13" x14ac:dyDescent="0.35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1:13" x14ac:dyDescent="0.35">
      <c r="A5" t="s">
        <v>58</v>
      </c>
      <c r="B5" s="20" t="s">
        <v>57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x14ac:dyDescent="0.35">
      <c r="B6" t="s">
        <v>11</v>
      </c>
      <c r="C6" s="10">
        <f>IFERROR('Data Sheet'!B17,0)</f>
        <v>30.96</v>
      </c>
      <c r="D6" s="10">
        <f>IFERROR('Data Sheet'!C17,0)</f>
        <v>36.71</v>
      </c>
      <c r="E6" s="10">
        <f>IFERROR('Data Sheet'!D17,0)</f>
        <v>19.45</v>
      </c>
      <c r="F6" s="10">
        <f>IFERROR('Data Sheet'!E17,0)</f>
        <v>11.52</v>
      </c>
      <c r="G6" s="10">
        <f>IFERROR('Data Sheet'!F17,0)</f>
        <v>12.44</v>
      </c>
      <c r="H6" s="10">
        <f>IFERROR('Data Sheet'!G17,0)</f>
        <v>12.19</v>
      </c>
      <c r="I6" s="10">
        <f>IFERROR('Data Sheet'!H17,0)</f>
        <v>12.67</v>
      </c>
      <c r="J6" s="10">
        <f>IFERROR('Data Sheet'!I17,0)</f>
        <v>15.1</v>
      </c>
      <c r="K6" s="10">
        <f>IFERROR('Data Sheet'!J17,0)</f>
        <v>17.73</v>
      </c>
      <c r="L6" s="10">
        <f>IFERROR('Data Sheet'!K17,0)</f>
        <v>28.01</v>
      </c>
      <c r="M6" s="10">
        <f>IFERROR(SUM('Data Sheet'!H42:K42),0)</f>
        <v>34.03</v>
      </c>
    </row>
    <row r="7" spans="1:13" x14ac:dyDescent="0.35">
      <c r="B7" s="13" t="s">
        <v>59</v>
      </c>
      <c r="C7" s="14" t="s">
        <v>60</v>
      </c>
      <c r="D7" s="15">
        <f>D6/C6-1</f>
        <v>0.18572351421188626</v>
      </c>
      <c r="E7" s="15">
        <f t="shared" ref="E7:M7" si="0">E6/D6-1</f>
        <v>-0.47017161536366114</v>
      </c>
      <c r="F7" s="15">
        <f t="shared" si="0"/>
        <v>-0.40771208226221078</v>
      </c>
      <c r="G7" s="15">
        <f t="shared" si="0"/>
        <v>7.986111111111116E-2</v>
      </c>
      <c r="H7" s="15">
        <f t="shared" si="0"/>
        <v>-2.0096463022508004E-2</v>
      </c>
      <c r="I7" s="15">
        <f t="shared" si="0"/>
        <v>3.9376538146021378E-2</v>
      </c>
      <c r="J7" s="15">
        <f t="shared" si="0"/>
        <v>0.19179163378058406</v>
      </c>
      <c r="K7" s="15">
        <f t="shared" si="0"/>
        <v>0.17417218543046364</v>
      </c>
      <c r="L7" s="15">
        <f t="shared" si="0"/>
        <v>0.57980823463056974</v>
      </c>
      <c r="M7" s="15">
        <f t="shared" si="0"/>
        <v>0.21492324169939314</v>
      </c>
    </row>
    <row r="9" spans="1:13" x14ac:dyDescent="0.35">
      <c r="B9" t="s">
        <v>61</v>
      </c>
      <c r="C9" s="10">
        <f>IFERROR(SUM('Data Sheet'!B18,'Data Sheet'!B20:B22)-1*'Data Sheet'!B19,0)</f>
        <v>26.45</v>
      </c>
      <c r="D9" s="10">
        <f>IFERROR(SUM('Data Sheet'!C18,'Data Sheet'!C20:C22)-1*'Data Sheet'!C19,0)</f>
        <v>32.809999999999995</v>
      </c>
      <c r="E9" s="10">
        <f>IFERROR(SUM('Data Sheet'!D18,'Data Sheet'!D20:D22)-1*'Data Sheet'!D19,0)</f>
        <v>13.229999999999999</v>
      </c>
      <c r="F9" s="10">
        <f>IFERROR(SUM('Data Sheet'!E18,'Data Sheet'!E20:E22)-1*'Data Sheet'!E19,0)</f>
        <v>8.7099999999999991</v>
      </c>
      <c r="G9" s="10">
        <f>IFERROR(SUM('Data Sheet'!F18,'Data Sheet'!F20:F22)-1*'Data Sheet'!F19,0)</f>
        <v>7.42</v>
      </c>
      <c r="H9" s="10">
        <f>IFERROR(SUM('Data Sheet'!G18,'Data Sheet'!G20:G22)-1*'Data Sheet'!G19,0)</f>
        <v>5.75</v>
      </c>
      <c r="I9" s="10">
        <f>IFERROR(SUM('Data Sheet'!H18,'Data Sheet'!H20:H22)-1*'Data Sheet'!H19,0)</f>
        <v>6.56</v>
      </c>
      <c r="J9" s="10">
        <f>IFERROR(SUM('Data Sheet'!I18,'Data Sheet'!I20:I22)-1*'Data Sheet'!I19,0)</f>
        <v>8.7800000000000011</v>
      </c>
      <c r="K9" s="10">
        <f>IFERROR(SUM('Data Sheet'!J18,'Data Sheet'!J20:J22)-1*'Data Sheet'!J19,0)</f>
        <v>8.9699999999999989</v>
      </c>
      <c r="L9" s="10">
        <f>IFERROR(SUM('Data Sheet'!K18,'Data Sheet'!K20:K22)-1*'Data Sheet'!K19,0)</f>
        <v>9.1199999999999992</v>
      </c>
      <c r="M9" s="10">
        <f>IFERROR(SUM('Data Sheet'!H43:K43),0)</f>
        <v>12.6</v>
      </c>
    </row>
    <row r="10" spans="1:13" x14ac:dyDescent="0.35">
      <c r="B10" s="13" t="s">
        <v>62</v>
      </c>
      <c r="C10" s="15">
        <f>C9/C6</f>
        <v>0.85432816537467693</v>
      </c>
      <c r="D10" s="15">
        <f t="shared" ref="D10:M10" si="1">D9/D6</f>
        <v>0.89376191773358737</v>
      </c>
      <c r="E10" s="15">
        <f t="shared" si="1"/>
        <v>0.68020565552699219</v>
      </c>
      <c r="F10" s="15">
        <f t="shared" si="1"/>
        <v>0.75607638888888884</v>
      </c>
      <c r="G10" s="15">
        <f t="shared" si="1"/>
        <v>0.59646302250803862</v>
      </c>
      <c r="H10" s="15">
        <f t="shared" si="1"/>
        <v>0.47169811320754718</v>
      </c>
      <c r="I10" s="15">
        <f t="shared" si="1"/>
        <v>0.51775848460931329</v>
      </c>
      <c r="J10" s="15">
        <f t="shared" si="1"/>
        <v>0.58145695364238414</v>
      </c>
      <c r="K10" s="15">
        <f t="shared" si="1"/>
        <v>0.50592216582064287</v>
      </c>
      <c r="L10" s="15">
        <f t="shared" si="1"/>
        <v>0.32559800071403067</v>
      </c>
      <c r="M10" s="15">
        <f t="shared" si="1"/>
        <v>0.3702615339406406</v>
      </c>
    </row>
    <row r="12" spans="1:13" x14ac:dyDescent="0.35">
      <c r="B12" t="s">
        <v>63</v>
      </c>
      <c r="C12" s="16">
        <f>C6-C9</f>
        <v>4.5100000000000016</v>
      </c>
      <c r="D12" s="16">
        <f t="shared" ref="D12:M12" si="2">D6-D9</f>
        <v>3.9000000000000057</v>
      </c>
      <c r="E12" s="16">
        <f t="shared" si="2"/>
        <v>6.2200000000000006</v>
      </c>
      <c r="F12" s="16">
        <f t="shared" si="2"/>
        <v>2.8100000000000005</v>
      </c>
      <c r="G12" s="16">
        <f t="shared" si="2"/>
        <v>5.0199999999999996</v>
      </c>
      <c r="H12" s="16">
        <f t="shared" si="2"/>
        <v>6.4399999999999995</v>
      </c>
      <c r="I12" s="16">
        <f t="shared" si="2"/>
        <v>6.11</v>
      </c>
      <c r="J12" s="16">
        <f t="shared" si="2"/>
        <v>6.3199999999999985</v>
      </c>
      <c r="K12" s="16">
        <f t="shared" si="2"/>
        <v>8.7600000000000016</v>
      </c>
      <c r="L12" s="16">
        <f t="shared" si="2"/>
        <v>18.89</v>
      </c>
      <c r="M12" s="16">
        <f t="shared" si="2"/>
        <v>21.43</v>
      </c>
    </row>
    <row r="13" spans="1:13" x14ac:dyDescent="0.35">
      <c r="B13" s="13" t="s">
        <v>69</v>
      </c>
      <c r="C13" s="15">
        <f>C12/C6</f>
        <v>0.14567183462532304</v>
      </c>
      <c r="D13" s="15">
        <f t="shared" ref="D13:M13" si="3">D12/D6</f>
        <v>0.10623808226641257</v>
      </c>
      <c r="E13" s="15">
        <f t="shared" si="3"/>
        <v>0.31979434447300775</v>
      </c>
      <c r="F13" s="15">
        <f t="shared" si="3"/>
        <v>0.24392361111111116</v>
      </c>
      <c r="G13" s="15">
        <f t="shared" si="3"/>
        <v>0.40353697749196138</v>
      </c>
      <c r="H13" s="15">
        <f t="shared" si="3"/>
        <v>0.52830188679245282</v>
      </c>
      <c r="I13" s="15">
        <f t="shared" si="3"/>
        <v>0.48224151539068671</v>
      </c>
      <c r="J13" s="15">
        <f t="shared" si="3"/>
        <v>0.4185430463576158</v>
      </c>
      <c r="K13" s="15">
        <f t="shared" si="3"/>
        <v>0.49407783417935708</v>
      </c>
      <c r="L13" s="15">
        <f t="shared" si="3"/>
        <v>0.67440199928596933</v>
      </c>
      <c r="M13" s="15">
        <f t="shared" si="3"/>
        <v>0.62973846605935935</v>
      </c>
    </row>
    <row r="15" spans="1:13" x14ac:dyDescent="0.35">
      <c r="B15" t="s">
        <v>64</v>
      </c>
      <c r="C15" s="16">
        <f>IFERROR(SUM('Data Sheet'!B23:B24),0)</f>
        <v>2.25</v>
      </c>
      <c r="D15" s="16">
        <f>IFERROR(SUM('Data Sheet'!C23:C24),0)</f>
        <v>2.96</v>
      </c>
      <c r="E15" s="16">
        <f>IFERROR(SUM('Data Sheet'!D23:D24),0)</f>
        <v>4.76</v>
      </c>
      <c r="F15" s="16">
        <f>IFERROR(SUM('Data Sheet'!E23:E24),0)</f>
        <v>3.34</v>
      </c>
      <c r="G15" s="16">
        <f>IFERROR(SUM('Data Sheet'!F23:F24),0)</f>
        <v>2.99</v>
      </c>
      <c r="H15" s="16">
        <f>IFERROR(SUM('Data Sheet'!G23:G24),0)</f>
        <v>3.8899999999999997</v>
      </c>
      <c r="I15" s="16">
        <f>IFERROR(SUM('Data Sheet'!H23:H24),0)</f>
        <v>5.1400000000000006</v>
      </c>
      <c r="J15" s="16">
        <f>IFERROR(SUM('Data Sheet'!I23:I24),0)</f>
        <v>2.86</v>
      </c>
      <c r="K15" s="16">
        <f>IFERROR(SUM('Data Sheet'!J23:J24),0)</f>
        <v>4.8100000000000005</v>
      </c>
      <c r="L15" s="16">
        <f>IFERROR(SUM('Data Sheet'!K23:K24),0)</f>
        <v>2.4</v>
      </c>
      <c r="M15" s="16"/>
    </row>
    <row r="16" spans="1:13" x14ac:dyDescent="0.35">
      <c r="B16" s="13" t="s">
        <v>65</v>
      </c>
      <c r="C16" s="15">
        <f>C15/C6</f>
        <v>7.2674418604651167E-2</v>
      </c>
      <c r="D16" s="15">
        <f t="shared" ref="D16:M16" si="4">D15/D6</f>
        <v>8.0631980386815585E-2</v>
      </c>
      <c r="E16" s="15">
        <f t="shared" si="4"/>
        <v>0.24473007712082262</v>
      </c>
      <c r="F16" s="15">
        <f t="shared" si="4"/>
        <v>0.28993055555555558</v>
      </c>
      <c r="G16" s="15">
        <f t="shared" si="4"/>
        <v>0.24035369774919615</v>
      </c>
      <c r="H16" s="15">
        <f t="shared" si="4"/>
        <v>0.3191140278917145</v>
      </c>
      <c r="I16" s="15">
        <f t="shared" si="4"/>
        <v>0.40568271507498033</v>
      </c>
      <c r="J16" s="15">
        <f t="shared" si="4"/>
        <v>0.18940397350993377</v>
      </c>
      <c r="K16" s="15">
        <f t="shared" si="4"/>
        <v>0.27129159616469262</v>
      </c>
      <c r="L16" s="15">
        <f t="shared" si="4"/>
        <v>8.5683684398429119E-2</v>
      </c>
      <c r="M16" s="15">
        <f t="shared" si="4"/>
        <v>0</v>
      </c>
    </row>
    <row r="18" spans="2:13" x14ac:dyDescent="0.35">
      <c r="B18" t="s">
        <v>27</v>
      </c>
      <c r="C18" s="16">
        <f t="shared" ref="C18:L18" si="5">C12-C15</f>
        <v>2.2600000000000016</v>
      </c>
      <c r="D18" s="16">
        <f t="shared" si="5"/>
        <v>0.94000000000000572</v>
      </c>
      <c r="E18" s="16">
        <f t="shared" si="5"/>
        <v>1.4600000000000009</v>
      </c>
      <c r="F18" s="16">
        <f t="shared" si="5"/>
        <v>-0.52999999999999936</v>
      </c>
      <c r="G18" s="16">
        <f t="shared" si="5"/>
        <v>2.0299999999999994</v>
      </c>
      <c r="H18" s="16">
        <f t="shared" si="5"/>
        <v>2.5499999999999998</v>
      </c>
      <c r="I18" s="16">
        <f t="shared" si="5"/>
        <v>0.96999999999999975</v>
      </c>
      <c r="J18" s="16">
        <f t="shared" si="5"/>
        <v>3.4599999999999986</v>
      </c>
      <c r="K18" s="16">
        <f t="shared" si="5"/>
        <v>3.9500000000000011</v>
      </c>
      <c r="L18" s="16">
        <f t="shared" si="5"/>
        <v>16.490000000000002</v>
      </c>
      <c r="M18" s="16">
        <f>IFERROR(SUM('Data Sheet'!H51:K51),0)</f>
        <v>25.84</v>
      </c>
    </row>
    <row r="19" spans="2:13" x14ac:dyDescent="0.35">
      <c r="B19" s="13" t="s">
        <v>66</v>
      </c>
      <c r="C19" s="15">
        <f>C18/C6</f>
        <v>7.2997416020671876E-2</v>
      </c>
      <c r="D19" s="15">
        <f t="shared" ref="D19:M19" si="6">D18/D6</f>
        <v>2.5606101879596995E-2</v>
      </c>
      <c r="E19" s="15">
        <f t="shared" si="6"/>
        <v>7.5064267352185132E-2</v>
      </c>
      <c r="F19" s="15">
        <f t="shared" si="6"/>
        <v>-4.6006944444444392E-2</v>
      </c>
      <c r="G19" s="15">
        <f t="shared" si="6"/>
        <v>0.16318327974276522</v>
      </c>
      <c r="H19" s="15">
        <f t="shared" si="6"/>
        <v>0.20918785890073829</v>
      </c>
      <c r="I19" s="15">
        <f t="shared" si="6"/>
        <v>7.6558800315706374E-2</v>
      </c>
      <c r="J19" s="15">
        <f t="shared" si="6"/>
        <v>0.22913907284768203</v>
      </c>
      <c r="K19" s="15">
        <f t="shared" si="6"/>
        <v>0.22278623801466446</v>
      </c>
      <c r="L19" s="15">
        <f t="shared" si="6"/>
        <v>0.58871831488754023</v>
      </c>
      <c r="M19" s="15">
        <f t="shared" si="6"/>
        <v>0.75933000293858355</v>
      </c>
    </row>
    <row r="21" spans="2:13" x14ac:dyDescent="0.35">
      <c r="B21" t="s">
        <v>21</v>
      </c>
      <c r="C21" s="16">
        <f>IFERROR('Data Sheet'!B27,0)</f>
        <v>0.86</v>
      </c>
      <c r="D21" s="16">
        <f>IFERROR('Data Sheet'!C27,0)</f>
        <v>0.97</v>
      </c>
      <c r="E21" s="16">
        <f>IFERROR('Data Sheet'!D27,0)</f>
        <v>1.25</v>
      </c>
      <c r="F21" s="16">
        <f>IFERROR('Data Sheet'!E27,0)</f>
        <v>1.19</v>
      </c>
      <c r="G21" s="16">
        <f>IFERROR('Data Sheet'!F27,0)</f>
        <v>1.01</v>
      </c>
      <c r="H21" s="16">
        <f>IFERROR('Data Sheet'!G27,0)</f>
        <v>0.8</v>
      </c>
      <c r="I21" s="16">
        <f>IFERROR('Data Sheet'!H27,0)</f>
        <v>0.44</v>
      </c>
      <c r="J21" s="16">
        <f>IFERROR('Data Sheet'!I27,0)</f>
        <v>0.04</v>
      </c>
      <c r="K21" s="16">
        <f>IFERROR('Data Sheet'!J27,0)</f>
        <v>0.18</v>
      </c>
      <c r="L21" s="16">
        <f>IFERROR('Data Sheet'!K27,0)</f>
        <v>0.71</v>
      </c>
      <c r="M21" s="16">
        <f>IFERROR(SUM('Data Sheet'!H46:K46),0)</f>
        <v>0.75</v>
      </c>
    </row>
    <row r="22" spans="2:13" x14ac:dyDescent="0.35">
      <c r="B22" s="13" t="s">
        <v>67</v>
      </c>
      <c r="C22" s="15">
        <f>C21/C6</f>
        <v>2.7777777777777776E-2</v>
      </c>
      <c r="D22" s="15">
        <f t="shared" ref="D22:M22" si="7">D21/D6</f>
        <v>2.6423317897030781E-2</v>
      </c>
      <c r="E22" s="15">
        <f t="shared" si="7"/>
        <v>6.4267352185089971E-2</v>
      </c>
      <c r="F22" s="15">
        <f t="shared" si="7"/>
        <v>0.1032986111111111</v>
      </c>
      <c r="G22" s="15">
        <f t="shared" si="7"/>
        <v>8.1189710610932483E-2</v>
      </c>
      <c r="H22" s="15">
        <f t="shared" si="7"/>
        <v>6.5627563576702228E-2</v>
      </c>
      <c r="I22" s="15">
        <f t="shared" si="7"/>
        <v>3.4727703235990531E-2</v>
      </c>
      <c r="J22" s="15">
        <f t="shared" si="7"/>
        <v>2.6490066225165563E-3</v>
      </c>
      <c r="K22" s="15">
        <f t="shared" si="7"/>
        <v>1.015228426395939E-2</v>
      </c>
      <c r="L22" s="15">
        <f t="shared" si="7"/>
        <v>2.5348089967868616E-2</v>
      </c>
      <c r="M22" s="15">
        <f t="shared" si="7"/>
        <v>2.2039377020276227E-2</v>
      </c>
    </row>
    <row r="24" spans="2:13" x14ac:dyDescent="0.35">
      <c r="B24" t="s">
        <v>20</v>
      </c>
      <c r="C24" s="16">
        <f>IFERROR('Data Sheet'!B26,0)</f>
        <v>0.28999999999999998</v>
      </c>
      <c r="D24" s="16">
        <f>IFERROR('Data Sheet'!C26,0)</f>
        <v>0.3</v>
      </c>
      <c r="E24" s="16">
        <f>IFERROR('Data Sheet'!D26,0)</f>
        <v>0.33</v>
      </c>
      <c r="F24" s="16">
        <f>IFERROR('Data Sheet'!E26,0)</f>
        <v>0.37</v>
      </c>
      <c r="G24" s="16">
        <f>IFERROR('Data Sheet'!F26,0)</f>
        <v>0.46</v>
      </c>
      <c r="H24" s="16">
        <f>IFERROR('Data Sheet'!G26,0)</f>
        <v>0.47</v>
      </c>
      <c r="I24" s="16">
        <f>IFERROR('Data Sheet'!H26,0)</f>
        <v>0.47</v>
      </c>
      <c r="J24" s="16">
        <f>IFERROR('Data Sheet'!I26,0)</f>
        <v>0.47</v>
      </c>
      <c r="K24" s="16">
        <f>IFERROR('Data Sheet'!J26,0)</f>
        <v>0.93</v>
      </c>
      <c r="L24" s="16">
        <f>IFERROR('Data Sheet'!K26,0)</f>
        <v>0.8</v>
      </c>
      <c r="M24" s="16">
        <f>IFERROR(SUM('Data Sheet'!H45:K45),0)</f>
        <v>0.57000000000000006</v>
      </c>
    </row>
    <row r="25" spans="2:13" x14ac:dyDescent="0.35">
      <c r="B25" s="13" t="s">
        <v>68</v>
      </c>
      <c r="C25" s="15">
        <f t="shared" ref="C25:M25" si="8">C24/C6</f>
        <v>9.3669250645994819E-3</v>
      </c>
      <c r="D25" s="15">
        <f t="shared" si="8"/>
        <v>8.1721601743394174E-3</v>
      </c>
      <c r="E25" s="15">
        <f t="shared" si="8"/>
        <v>1.6966580976863755E-2</v>
      </c>
      <c r="F25" s="15">
        <f t="shared" si="8"/>
        <v>3.2118055555555559E-2</v>
      </c>
      <c r="G25" s="15">
        <f t="shared" si="8"/>
        <v>3.6977491961414796E-2</v>
      </c>
      <c r="H25" s="15">
        <f t="shared" si="8"/>
        <v>3.8556193601312551E-2</v>
      </c>
      <c r="I25" s="15">
        <f t="shared" si="8"/>
        <v>3.7095501183898975E-2</v>
      </c>
      <c r="J25" s="15">
        <f t="shared" si="8"/>
        <v>3.1125827814569535E-2</v>
      </c>
      <c r="K25" s="15">
        <f t="shared" si="8"/>
        <v>5.2453468697123522E-2</v>
      </c>
      <c r="L25" s="15">
        <f t="shared" si="8"/>
        <v>2.8561228132809712E-2</v>
      </c>
      <c r="M25" s="15">
        <f t="shared" si="8"/>
        <v>1.6749926535409933E-2</v>
      </c>
    </row>
    <row r="27" spans="2:13" x14ac:dyDescent="0.35">
      <c r="B27" t="s">
        <v>70</v>
      </c>
      <c r="C27" s="16">
        <f t="shared" ref="C27:M27" si="9">IFERROR(C18-SUM(C24,C21),0)</f>
        <v>1.1100000000000017</v>
      </c>
      <c r="D27" s="16">
        <f t="shared" si="9"/>
        <v>-0.3299999999999943</v>
      </c>
      <c r="E27" s="16">
        <f t="shared" si="9"/>
        <v>-0.11999999999999922</v>
      </c>
      <c r="F27" s="16">
        <f t="shared" si="9"/>
        <v>-2.0899999999999994</v>
      </c>
      <c r="G27" s="16">
        <f t="shared" si="9"/>
        <v>0.55999999999999939</v>
      </c>
      <c r="H27" s="16">
        <f t="shared" si="9"/>
        <v>1.2799999999999998</v>
      </c>
      <c r="I27" s="10">
        <f t="shared" si="9"/>
        <v>5.9999999999999831E-2</v>
      </c>
      <c r="J27" s="10">
        <f t="shared" si="9"/>
        <v>2.9499999999999984</v>
      </c>
      <c r="K27" s="10">
        <f t="shared" si="9"/>
        <v>2.8400000000000007</v>
      </c>
      <c r="L27" s="10">
        <f t="shared" si="9"/>
        <v>14.980000000000002</v>
      </c>
      <c r="M27" s="10">
        <f t="shared" si="9"/>
        <v>24.52</v>
      </c>
    </row>
    <row r="28" spans="2:13" x14ac:dyDescent="0.35">
      <c r="B28" s="13" t="s">
        <v>71</v>
      </c>
      <c r="C28" s="15">
        <f t="shared" ref="C28:M28" si="10">C27/C6</f>
        <v>3.5852713178294623E-2</v>
      </c>
      <c r="D28" s="15">
        <f t="shared" si="10"/>
        <v>-8.9893761917732035E-3</v>
      </c>
      <c r="E28" s="15">
        <f t="shared" si="10"/>
        <v>-6.1696658097685972E-3</v>
      </c>
      <c r="F28" s="15">
        <f t="shared" si="10"/>
        <v>-0.18142361111111108</v>
      </c>
      <c r="G28" s="15">
        <f t="shared" si="10"/>
        <v>4.5016077170417959E-2</v>
      </c>
      <c r="H28" s="15">
        <f t="shared" si="10"/>
        <v>0.10500410172272354</v>
      </c>
      <c r="I28" s="15">
        <f t="shared" si="10"/>
        <v>4.7355958958168768E-3</v>
      </c>
      <c r="J28" s="15">
        <f t="shared" si="10"/>
        <v>0.19536423841059591</v>
      </c>
      <c r="K28" s="15">
        <f t="shared" si="10"/>
        <v>0.16018048505358154</v>
      </c>
      <c r="L28" s="15">
        <f t="shared" si="10"/>
        <v>0.53480899678686189</v>
      </c>
      <c r="M28" s="15">
        <f t="shared" si="10"/>
        <v>0.72054069938289744</v>
      </c>
    </row>
    <row r="30" spans="2:13" x14ac:dyDescent="0.35">
      <c r="B30" t="s">
        <v>23</v>
      </c>
      <c r="C30" s="10">
        <f>IFERROR('Data Sheet'!B29,0)</f>
        <v>0.31</v>
      </c>
      <c r="D30" s="10">
        <f>IFERROR('Data Sheet'!C29,0)</f>
        <v>0.09</v>
      </c>
      <c r="E30" s="10">
        <f>IFERROR('Data Sheet'!D29,0)</f>
        <v>-0.05</v>
      </c>
      <c r="F30" s="10">
        <f>IFERROR('Data Sheet'!E29,0)</f>
        <v>0</v>
      </c>
      <c r="G30" s="10">
        <f>IFERROR('Data Sheet'!F29,0)</f>
        <v>-0.31</v>
      </c>
      <c r="H30" s="10">
        <f>IFERROR('Data Sheet'!G29,0)</f>
        <v>0.11</v>
      </c>
      <c r="I30" s="10">
        <f>IFERROR('Data Sheet'!H29,0)</f>
        <v>1.1000000000000001</v>
      </c>
      <c r="J30" s="10">
        <f>IFERROR('Data Sheet'!I29,0)</f>
        <v>1.51</v>
      </c>
      <c r="K30" s="10">
        <f>IFERROR('Data Sheet'!J29,0)</f>
        <v>0.37</v>
      </c>
      <c r="L30" s="10">
        <f>IFERROR('Data Sheet'!K29,0)</f>
        <v>3.4</v>
      </c>
      <c r="M30" s="10">
        <f>IFERROR(SUM('Data Sheet'!H48:K48),0)</f>
        <v>4.63</v>
      </c>
    </row>
    <row r="31" spans="2:13" x14ac:dyDescent="0.35">
      <c r="B31" s="13" t="s">
        <v>26</v>
      </c>
      <c r="C31" s="15">
        <f>C30/C27</f>
        <v>0.27927927927927887</v>
      </c>
      <c r="D31" s="15">
        <f t="shared" ref="D31:M31" si="11">D30/D27</f>
        <v>-0.27272727272727743</v>
      </c>
      <c r="E31" s="15">
        <f t="shared" si="11"/>
        <v>0.41666666666666941</v>
      </c>
      <c r="F31" s="15">
        <f t="shared" si="11"/>
        <v>0</v>
      </c>
      <c r="G31" s="15">
        <f t="shared" si="11"/>
        <v>-0.55357142857142916</v>
      </c>
      <c r="H31" s="15">
        <f t="shared" si="11"/>
        <v>8.5937500000000014E-2</v>
      </c>
      <c r="I31" s="15">
        <f t="shared" si="11"/>
        <v>18.333333333333385</v>
      </c>
      <c r="J31" s="15">
        <f t="shared" si="11"/>
        <v>0.51186440677966127</v>
      </c>
      <c r="K31" s="15">
        <f t="shared" si="11"/>
        <v>0.13028169014084504</v>
      </c>
      <c r="L31" s="15">
        <f t="shared" si="11"/>
        <v>0.22696929238985311</v>
      </c>
      <c r="M31" s="15">
        <f t="shared" si="11"/>
        <v>0.18882544861337683</v>
      </c>
    </row>
    <row r="33" spans="2:13" x14ac:dyDescent="0.35">
      <c r="B33" t="s">
        <v>72</v>
      </c>
      <c r="C33" s="10">
        <f>IFERROR(C27-C30,0)</f>
        <v>0.8000000000000016</v>
      </c>
      <c r="D33" s="10">
        <f t="shared" ref="D33:M33" si="12">IFERROR(D27-D30,0)</f>
        <v>-0.41999999999999427</v>
      </c>
      <c r="E33" s="10">
        <f t="shared" si="12"/>
        <v>-6.9999999999999216E-2</v>
      </c>
      <c r="F33" s="10">
        <f t="shared" si="12"/>
        <v>-2.0899999999999994</v>
      </c>
      <c r="G33" s="10">
        <f t="shared" si="12"/>
        <v>0.86999999999999944</v>
      </c>
      <c r="H33" s="10">
        <f t="shared" si="12"/>
        <v>1.1699999999999997</v>
      </c>
      <c r="I33" s="10">
        <f t="shared" si="12"/>
        <v>-1.0400000000000003</v>
      </c>
      <c r="J33" s="10">
        <f t="shared" si="12"/>
        <v>1.4399999999999984</v>
      </c>
      <c r="K33" s="10">
        <f t="shared" si="12"/>
        <v>2.4700000000000006</v>
      </c>
      <c r="L33" s="10">
        <f t="shared" si="12"/>
        <v>11.580000000000002</v>
      </c>
      <c r="M33" s="10">
        <f t="shared" si="12"/>
        <v>19.89</v>
      </c>
    </row>
    <row r="34" spans="2:13" x14ac:dyDescent="0.35">
      <c r="B34" s="13" t="s">
        <v>73</v>
      </c>
      <c r="C34" s="15">
        <f t="shared" ref="C34:M34" si="13">C33/C6</f>
        <v>2.5839793281653797E-2</v>
      </c>
      <c r="D34" s="15">
        <f t="shared" si="13"/>
        <v>-1.1441024244075027E-2</v>
      </c>
      <c r="E34" s="15">
        <f t="shared" si="13"/>
        <v>-3.5989717223649984E-3</v>
      </c>
      <c r="F34" s="15">
        <f t="shared" si="13"/>
        <v>-0.18142361111111108</v>
      </c>
      <c r="G34" s="15">
        <f t="shared" si="13"/>
        <v>6.9935691318327928E-2</v>
      </c>
      <c r="H34" s="15">
        <f t="shared" si="13"/>
        <v>9.598031173092697E-2</v>
      </c>
      <c r="I34" s="15">
        <f t="shared" si="13"/>
        <v>-8.2083662194159454E-2</v>
      </c>
      <c r="J34" s="15">
        <f t="shared" si="13"/>
        <v>9.5364238410595922E-2</v>
      </c>
      <c r="K34" s="15">
        <f t="shared" si="13"/>
        <v>0.13931190073322056</v>
      </c>
      <c r="L34" s="15">
        <f t="shared" si="13"/>
        <v>0.41342377722242063</v>
      </c>
      <c r="M34" s="15">
        <f t="shared" si="13"/>
        <v>0.58448427857772556</v>
      </c>
    </row>
    <row r="36" spans="2:13" x14ac:dyDescent="0.35">
      <c r="B36" t="s">
        <v>74</v>
      </c>
      <c r="C36">
        <f>IFERROR('Data Sheet'!B93,0)</f>
        <v>1.93</v>
      </c>
      <c r="D36">
        <f>IFERROR('Data Sheet'!C93,0)</f>
        <v>1.93</v>
      </c>
      <c r="E36">
        <f>IFERROR('Data Sheet'!D93,0)</f>
        <v>1.93</v>
      </c>
      <c r="F36">
        <f>IFERROR('Data Sheet'!E93,0)</f>
        <v>1.93</v>
      </c>
      <c r="G36">
        <f>IFERROR('Data Sheet'!F93,0)</f>
        <v>1.93</v>
      </c>
      <c r="H36">
        <f>IFERROR('Data Sheet'!G93,0)</f>
        <v>1.93</v>
      </c>
      <c r="I36">
        <f>IFERROR('Data Sheet'!H93,0)</f>
        <v>1.93</v>
      </c>
      <c r="J36">
        <f>IFERROR('Data Sheet'!I93,0)</f>
        <v>1.93</v>
      </c>
      <c r="K36">
        <f>IFERROR('Data Sheet'!J93,0)</f>
        <v>1.93</v>
      </c>
      <c r="L36">
        <f>IFERROR('Data Sheet'!K93,0)</f>
        <v>1.93</v>
      </c>
      <c r="M36">
        <f>L36</f>
        <v>1.93</v>
      </c>
    </row>
    <row r="37" spans="2:13" x14ac:dyDescent="0.35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3" x14ac:dyDescent="0.35">
      <c r="B38" t="s">
        <v>76</v>
      </c>
      <c r="C38" s="16">
        <f>IFERROR(C33/C36,0)</f>
        <v>0.41450777202072625</v>
      </c>
      <c r="D38" s="16">
        <f t="shared" ref="D38:M38" si="14">IFERROR(D33/D36,0)</f>
        <v>-0.21761658031087786</v>
      </c>
      <c r="E38" s="16">
        <f t="shared" si="14"/>
        <v>-3.6269430051813066E-2</v>
      </c>
      <c r="F38" s="16">
        <f t="shared" si="14"/>
        <v>-1.0829015544041447</v>
      </c>
      <c r="G38" s="16">
        <f t="shared" si="14"/>
        <v>0.45077720207253857</v>
      </c>
      <c r="H38" s="16">
        <f t="shared" si="14"/>
        <v>0.6062176165803107</v>
      </c>
      <c r="I38" s="16">
        <f t="shared" si="14"/>
        <v>-0.53886010362694314</v>
      </c>
      <c r="J38" s="16">
        <f t="shared" si="14"/>
        <v>0.74611398963730491</v>
      </c>
      <c r="K38" s="16">
        <f t="shared" si="14"/>
        <v>1.27979274611399</v>
      </c>
      <c r="L38" s="16">
        <f t="shared" si="14"/>
        <v>6.0000000000000009</v>
      </c>
      <c r="M38" s="16">
        <f t="shared" si="14"/>
        <v>10.305699481865286</v>
      </c>
    </row>
    <row r="39" spans="2:13" x14ac:dyDescent="0.35">
      <c r="B39" s="13" t="s">
        <v>77</v>
      </c>
      <c r="C39" s="15"/>
      <c r="D39" s="15">
        <f>IFERROR(D38/C38-1,0)</f>
        <v>-1.5249999999999917</v>
      </c>
      <c r="E39" s="15">
        <f t="shared" ref="E39:M39" si="15">IFERROR(E38/D38-1,0)</f>
        <v>-0.83333333333333293</v>
      </c>
      <c r="F39" s="15">
        <f t="shared" si="15"/>
        <v>28.857142857143181</v>
      </c>
      <c r="G39" s="15">
        <f t="shared" si="15"/>
        <v>-1.4162679425837319</v>
      </c>
      <c r="H39" s="15">
        <f t="shared" si="15"/>
        <v>0.34482758620689702</v>
      </c>
      <c r="I39" s="15">
        <f t="shared" si="15"/>
        <v>-1.8888888888888893</v>
      </c>
      <c r="J39" s="15">
        <f t="shared" si="15"/>
        <v>-2.3846153846153828</v>
      </c>
      <c r="K39" s="15">
        <f t="shared" si="15"/>
        <v>0.71527777777778012</v>
      </c>
      <c r="L39" s="15">
        <f t="shared" si="15"/>
        <v>3.6882591093117405</v>
      </c>
      <c r="M39" s="15">
        <f t="shared" si="15"/>
        <v>0.71761658031088071</v>
      </c>
    </row>
    <row r="41" spans="2:13" x14ac:dyDescent="0.35">
      <c r="B41" t="s">
        <v>75</v>
      </c>
      <c r="C41" s="10">
        <f>IFERROR('Data Sheet'!B31/HistoricalFS!C36,0)</f>
        <v>0</v>
      </c>
      <c r="D41" s="10">
        <f>IFERROR('Data Sheet'!C31/HistoricalFS!D36,0)</f>
        <v>0</v>
      </c>
      <c r="E41" s="10">
        <f>IFERROR('Data Sheet'!D31/HistoricalFS!E36,0)</f>
        <v>0</v>
      </c>
      <c r="F41" s="10">
        <f>IFERROR('Data Sheet'!E31/HistoricalFS!F36,0)</f>
        <v>0</v>
      </c>
      <c r="G41" s="10">
        <f>IFERROR('Data Sheet'!F31/HistoricalFS!G36,0)</f>
        <v>0</v>
      </c>
      <c r="H41" s="10">
        <f>IFERROR('Data Sheet'!G31/HistoricalFS!H36,0)</f>
        <v>0</v>
      </c>
      <c r="I41" s="10">
        <f>IFERROR('Data Sheet'!H31/HistoricalFS!I36,0)</f>
        <v>0</v>
      </c>
      <c r="J41" s="10">
        <f>IFERROR('Data Sheet'!I31/HistoricalFS!J36,0)</f>
        <v>1</v>
      </c>
      <c r="K41" s="10">
        <f>IFERROR('Data Sheet'!J31/HistoricalFS!K36,0)</f>
        <v>0</v>
      </c>
      <c r="L41" s="10">
        <f>IFERROR('Data Sheet'!K31/HistoricalFS!L36,0)</f>
        <v>0</v>
      </c>
      <c r="M41" s="10">
        <f>IFERROR('Data Sheet'!L31/HistoricalFS!M36,0)</f>
        <v>0</v>
      </c>
    </row>
    <row r="42" spans="2:13" x14ac:dyDescent="0.35">
      <c r="B42" s="13" t="s">
        <v>78</v>
      </c>
      <c r="C42" s="15">
        <f>IFERROR(C41/C38,0)</f>
        <v>0</v>
      </c>
      <c r="D42" s="15">
        <f t="shared" ref="D42:M42" si="16">IFERROR(D41/D38,0)</f>
        <v>0</v>
      </c>
      <c r="E42" s="15">
        <f t="shared" si="16"/>
        <v>0</v>
      </c>
      <c r="F42" s="15">
        <f t="shared" si="16"/>
        <v>0</v>
      </c>
      <c r="G42" s="15">
        <f t="shared" si="16"/>
        <v>0</v>
      </c>
      <c r="H42" s="15">
        <f t="shared" si="16"/>
        <v>0</v>
      </c>
      <c r="I42" s="15">
        <f t="shared" si="16"/>
        <v>0</v>
      </c>
      <c r="J42" s="15">
        <f t="shared" si="16"/>
        <v>1.3402777777777792</v>
      </c>
      <c r="K42" s="15">
        <f t="shared" si="16"/>
        <v>0</v>
      </c>
      <c r="L42" s="15">
        <f t="shared" si="16"/>
        <v>0</v>
      </c>
      <c r="M42" s="15">
        <f t="shared" si="16"/>
        <v>0</v>
      </c>
    </row>
    <row r="44" spans="2:13" x14ac:dyDescent="0.35">
      <c r="B44" t="s">
        <v>79</v>
      </c>
      <c r="C44" s="11">
        <f>IFERROR(IF(C38&gt;C41,1-C42,0),0)</f>
        <v>1</v>
      </c>
      <c r="D44" s="11">
        <f t="shared" ref="D44:M44" si="17">IFERROR(IF(D38&gt;D41,1-D42,0),0)</f>
        <v>0</v>
      </c>
      <c r="E44" s="11">
        <f t="shared" si="17"/>
        <v>0</v>
      </c>
      <c r="F44" s="11">
        <f t="shared" si="17"/>
        <v>0</v>
      </c>
      <c r="G44" s="11">
        <f t="shared" si="17"/>
        <v>1</v>
      </c>
      <c r="H44" s="11">
        <f t="shared" si="17"/>
        <v>1</v>
      </c>
      <c r="I44" s="11">
        <f t="shared" si="17"/>
        <v>0</v>
      </c>
      <c r="J44" s="11">
        <f t="shared" si="17"/>
        <v>0</v>
      </c>
      <c r="K44" s="11">
        <f t="shared" si="17"/>
        <v>1</v>
      </c>
      <c r="L44" s="11">
        <f t="shared" si="17"/>
        <v>1</v>
      </c>
      <c r="M44" s="11">
        <f t="shared" si="17"/>
        <v>1</v>
      </c>
    </row>
    <row r="45" spans="2:13" x14ac:dyDescent="0.35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2:13" x14ac:dyDescent="0.35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2:13" x14ac:dyDescent="0.35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2:13" x14ac:dyDescent="0.35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35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1" spans="1:13" x14ac:dyDescent="0.35">
      <c r="A51" t="s">
        <v>58</v>
      </c>
      <c r="B51" s="20" t="s">
        <v>80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 spans="1:13" x14ac:dyDescent="0.35">
      <c r="B52" t="s">
        <v>32</v>
      </c>
      <c r="C52" s="10">
        <f>IFERROR('Data Sheet'!B57,0)</f>
        <v>17.54</v>
      </c>
      <c r="D52" s="10">
        <f>IFERROR('Data Sheet'!C57,0)</f>
        <v>17.54</v>
      </c>
      <c r="E52" s="10">
        <f>IFERROR('Data Sheet'!D57,0)</f>
        <v>17.54</v>
      </c>
      <c r="F52" s="10">
        <f>IFERROR('Data Sheet'!E57,0)</f>
        <v>17.54</v>
      </c>
      <c r="G52" s="10">
        <f>IFERROR('Data Sheet'!F57,0)</f>
        <v>17.54</v>
      </c>
      <c r="H52" s="10">
        <f>IFERROR('Data Sheet'!G57,0)</f>
        <v>19.3</v>
      </c>
      <c r="I52" s="10">
        <f>IFERROR('Data Sheet'!H57,0)</f>
        <v>19.3</v>
      </c>
      <c r="J52" s="10">
        <f>IFERROR('Data Sheet'!I57,0)</f>
        <v>19.3</v>
      </c>
      <c r="K52" s="10">
        <f>IFERROR('Data Sheet'!J57,0)</f>
        <v>19.3</v>
      </c>
      <c r="L52" s="10">
        <f>IFERROR('Data Sheet'!K57,0)</f>
        <v>19.3</v>
      </c>
    </row>
    <row r="53" spans="1:13" x14ac:dyDescent="0.35">
      <c r="B53" t="s">
        <v>33</v>
      </c>
      <c r="C53" s="10">
        <f>IFERROR('Data Sheet'!B58,0)</f>
        <v>13.38</v>
      </c>
      <c r="D53" s="10">
        <f>IFERROR('Data Sheet'!C58,0)</f>
        <v>13.54</v>
      </c>
      <c r="E53" s="10">
        <f>IFERROR('Data Sheet'!D58,0)</f>
        <v>11.31</v>
      </c>
      <c r="F53" s="10">
        <f>IFERROR('Data Sheet'!E58,0)</f>
        <v>7.46</v>
      </c>
      <c r="G53" s="10">
        <f>IFERROR('Data Sheet'!F58,0)</f>
        <v>7.94</v>
      </c>
      <c r="H53" s="10">
        <f>IFERROR('Data Sheet'!G58,0)</f>
        <v>6.04</v>
      </c>
      <c r="I53" s="10">
        <f>IFERROR('Data Sheet'!H58,0)</f>
        <v>13.98</v>
      </c>
      <c r="J53" s="10">
        <f>IFERROR('Data Sheet'!I58,0)</f>
        <v>31.63</v>
      </c>
      <c r="K53" s="10">
        <f>IFERROR('Data Sheet'!J58,0)</f>
        <v>28.6</v>
      </c>
      <c r="L53" s="10">
        <f>IFERROR('Data Sheet'!K58,0)</f>
        <v>46.07</v>
      </c>
    </row>
    <row r="54" spans="1:13" x14ac:dyDescent="0.35">
      <c r="B54" t="s">
        <v>34</v>
      </c>
      <c r="C54" s="10">
        <f>IFERROR('Data Sheet'!B59,0)</f>
        <v>17.28</v>
      </c>
      <c r="D54" s="10">
        <f>IFERROR('Data Sheet'!C59,0)</f>
        <v>19.05</v>
      </c>
      <c r="E54" s="10">
        <f>IFERROR('Data Sheet'!D59,0)</f>
        <v>19.809999999999999</v>
      </c>
      <c r="F54" s="10">
        <f>IFERROR('Data Sheet'!E59,0)</f>
        <v>20.39</v>
      </c>
      <c r="G54" s="10">
        <f>IFERROR('Data Sheet'!F59,0)</f>
        <v>17.739999999999998</v>
      </c>
      <c r="H54" s="10">
        <f>IFERROR('Data Sheet'!G59,0)</f>
        <v>16.329999999999998</v>
      </c>
      <c r="I54" s="10">
        <f>IFERROR('Data Sheet'!H59,0)</f>
        <v>9.4</v>
      </c>
      <c r="J54" s="10">
        <f>IFERROR('Data Sheet'!I59,0)</f>
        <v>9.65</v>
      </c>
      <c r="K54" s="10">
        <f>IFERROR('Data Sheet'!J59,0)</f>
        <v>0.9</v>
      </c>
      <c r="L54" s="10">
        <f>IFERROR('Data Sheet'!K59,0)</f>
        <v>4.93</v>
      </c>
    </row>
    <row r="55" spans="1:13" x14ac:dyDescent="0.35">
      <c r="B55" t="s">
        <v>35</v>
      </c>
      <c r="C55" s="10">
        <f>IFERROR('Data Sheet'!B60,0)</f>
        <v>14.93</v>
      </c>
      <c r="D55" s="10">
        <f>IFERROR('Data Sheet'!C60,0)</f>
        <v>23.7</v>
      </c>
      <c r="E55" s="10">
        <f>IFERROR('Data Sheet'!D60,0)</f>
        <v>6.42</v>
      </c>
      <c r="F55" s="10">
        <f>IFERROR('Data Sheet'!E60,0)</f>
        <v>2.8</v>
      </c>
      <c r="G55" s="10">
        <f>IFERROR('Data Sheet'!F60,0)</f>
        <v>2.34</v>
      </c>
      <c r="H55" s="10">
        <f>IFERROR('Data Sheet'!G60,0)</f>
        <v>3.21</v>
      </c>
      <c r="I55" s="10">
        <f>IFERROR('Data Sheet'!H60,0)</f>
        <v>2.36</v>
      </c>
      <c r="J55" s="10">
        <f>IFERROR('Data Sheet'!I60,0)</f>
        <v>6.21</v>
      </c>
      <c r="K55" s="10">
        <f>IFERROR('Data Sheet'!J60,0)</f>
        <v>13.49</v>
      </c>
      <c r="L55" s="10">
        <f>IFERROR('Data Sheet'!K60,0)</f>
        <v>7.4</v>
      </c>
    </row>
    <row r="56" spans="1:13" x14ac:dyDescent="0.35">
      <c r="B56" s="9" t="s">
        <v>81</v>
      </c>
      <c r="C56" s="22">
        <f>IFERROR('Data Sheet'!B61,0)</f>
        <v>63.13</v>
      </c>
      <c r="D56" s="22">
        <f>IFERROR('Data Sheet'!C61,0)</f>
        <v>73.83</v>
      </c>
      <c r="E56" s="22">
        <f>IFERROR('Data Sheet'!D61,0)</f>
        <v>55.08</v>
      </c>
      <c r="F56" s="22">
        <f>IFERROR('Data Sheet'!E61,0)</f>
        <v>48.19</v>
      </c>
      <c r="G56" s="22">
        <f>IFERROR('Data Sheet'!F61,0)</f>
        <v>45.56</v>
      </c>
      <c r="H56" s="22">
        <f>IFERROR('Data Sheet'!G61,0)</f>
        <v>44.88</v>
      </c>
      <c r="I56" s="22">
        <f>IFERROR('Data Sheet'!H61,0)</f>
        <v>45.04</v>
      </c>
      <c r="J56" s="22">
        <f>IFERROR('Data Sheet'!I61,0)</f>
        <v>66.790000000000006</v>
      </c>
      <c r="K56" s="22">
        <f>IFERROR('Data Sheet'!J61,0)</f>
        <v>62.29</v>
      </c>
      <c r="L56" s="22">
        <f>IFERROR('Data Sheet'!K61,0)</f>
        <v>77.7</v>
      </c>
      <c r="M56" s="9"/>
    </row>
    <row r="58" spans="1:13" x14ac:dyDescent="0.35">
      <c r="B58" t="s">
        <v>82</v>
      </c>
      <c r="C58" s="10">
        <f>IFERROR('Data Sheet'!B62,0)</f>
        <v>13.4</v>
      </c>
      <c r="D58" s="10">
        <f>IFERROR('Data Sheet'!C62,0)</f>
        <v>14.32</v>
      </c>
      <c r="E58" s="10">
        <f>IFERROR('Data Sheet'!D62,0)</f>
        <v>14.41</v>
      </c>
      <c r="F58" s="10">
        <f>IFERROR('Data Sheet'!E62,0)</f>
        <v>22.18</v>
      </c>
      <c r="G58" s="10">
        <f>IFERROR('Data Sheet'!F62,0)</f>
        <v>21.81</v>
      </c>
      <c r="H58" s="10">
        <f>IFERROR('Data Sheet'!G62,0)</f>
        <v>21.86</v>
      </c>
      <c r="I58" s="10">
        <f>IFERROR('Data Sheet'!H62,0)</f>
        <v>21.65</v>
      </c>
      <c r="J58" s="10">
        <f>IFERROR('Data Sheet'!I62,0)</f>
        <v>20.41</v>
      </c>
      <c r="K58" s="10">
        <f>IFERROR('Data Sheet'!J62,0)</f>
        <v>33.71</v>
      </c>
      <c r="L58" s="10">
        <f>IFERROR('Data Sheet'!K62,0)</f>
        <v>39.340000000000003</v>
      </c>
    </row>
    <row r="59" spans="1:13" x14ac:dyDescent="0.35">
      <c r="B59" t="s">
        <v>38</v>
      </c>
      <c r="C59" s="10">
        <f>IFERROR('Data Sheet'!B63,0)</f>
        <v>7.52</v>
      </c>
      <c r="D59" s="10">
        <f>IFERROR('Data Sheet'!C63,0)</f>
        <v>7.52</v>
      </c>
      <c r="E59" s="10">
        <f>IFERROR('Data Sheet'!D63,0)</f>
        <v>8.6199999999999992</v>
      </c>
      <c r="F59" s="10">
        <f>IFERROR('Data Sheet'!E63,0)</f>
        <v>0</v>
      </c>
      <c r="G59" s="10">
        <f>IFERROR('Data Sheet'!F63,0)</f>
        <v>0</v>
      </c>
      <c r="H59" s="10">
        <f>IFERROR('Data Sheet'!G63,0)</f>
        <v>0</v>
      </c>
      <c r="I59" s="10">
        <f>IFERROR('Data Sheet'!H63,0)</f>
        <v>0</v>
      </c>
      <c r="J59" s="10">
        <f>IFERROR('Data Sheet'!I63,0)</f>
        <v>0</v>
      </c>
      <c r="K59" s="10">
        <f>IFERROR('Data Sheet'!J63,0)</f>
        <v>0</v>
      </c>
      <c r="L59" s="10">
        <f>IFERROR('Data Sheet'!K63,0)</f>
        <v>0</v>
      </c>
    </row>
    <row r="60" spans="1:13" x14ac:dyDescent="0.35">
      <c r="B60" t="s">
        <v>39</v>
      </c>
      <c r="C60" s="10">
        <f>IFERROR('Data Sheet'!B64,0)</f>
        <v>6.63</v>
      </c>
      <c r="D60" s="10">
        <f>IFERROR('Data Sheet'!C64,0)</f>
        <v>8.14</v>
      </c>
      <c r="E60" s="10">
        <f>IFERROR('Data Sheet'!D64,0)</f>
        <v>3.28</v>
      </c>
      <c r="F60" s="10">
        <f>IFERROR('Data Sheet'!E64,0)</f>
        <v>4.3099999999999996</v>
      </c>
      <c r="G60" s="10">
        <f>IFERROR('Data Sheet'!F64,0)</f>
        <v>3.88</v>
      </c>
      <c r="H60" s="10">
        <f>IFERROR('Data Sheet'!G64,0)</f>
        <v>3.89</v>
      </c>
      <c r="I60" s="10">
        <f>IFERROR('Data Sheet'!H64,0)</f>
        <v>8.31</v>
      </c>
      <c r="J60" s="10">
        <f>IFERROR('Data Sheet'!I64,0)</f>
        <v>21</v>
      </c>
      <c r="K60" s="10">
        <f>IFERROR('Data Sheet'!J64,0)</f>
        <v>15.65</v>
      </c>
      <c r="L60" s="10">
        <f>IFERROR('Data Sheet'!K64,0)</f>
        <v>16.399999999999999</v>
      </c>
    </row>
    <row r="61" spans="1:13" x14ac:dyDescent="0.35">
      <c r="B61" t="s">
        <v>40</v>
      </c>
      <c r="C61" s="10">
        <f>IFERROR('Data Sheet'!B65-SUM('Data Sheet'!B67:B69),0)</f>
        <v>10.469999999999999</v>
      </c>
      <c r="D61" s="10">
        <f>IFERROR('Data Sheet'!C65-SUM('Data Sheet'!C67:C69),0)</f>
        <v>10.900000000000006</v>
      </c>
      <c r="E61" s="10">
        <f>IFERROR('Data Sheet'!D65-SUM('Data Sheet'!D67:D69),0)</f>
        <v>9.3699999999999974</v>
      </c>
      <c r="F61" s="10">
        <f>IFERROR('Data Sheet'!E65-SUM('Data Sheet'!E67:E69),0)</f>
        <v>10.639999999999999</v>
      </c>
      <c r="G61" s="10">
        <f>IFERROR('Data Sheet'!F65-SUM('Data Sheet'!F67:F69),0)</f>
        <v>12.73</v>
      </c>
      <c r="H61" s="10">
        <f>IFERROR('Data Sheet'!G65-SUM('Data Sheet'!G67:G69),0)</f>
        <v>14</v>
      </c>
      <c r="I61" s="10">
        <f>IFERROR('Data Sheet'!H65-SUM('Data Sheet'!H67:H69),0)</f>
        <v>11.42</v>
      </c>
      <c r="J61" s="10">
        <f>IFERROR('Data Sheet'!I65-SUM('Data Sheet'!I67:I69),0)</f>
        <v>10.189999999999998</v>
      </c>
      <c r="K61" s="10">
        <f>IFERROR('Data Sheet'!J65-SUM('Data Sheet'!J67:J69),0)</f>
        <v>6.839999999999999</v>
      </c>
      <c r="L61" s="10">
        <f>IFERROR('Data Sheet'!K65-SUM('Data Sheet'!K67:K69),0)</f>
        <v>10.540000000000001</v>
      </c>
    </row>
    <row r="62" spans="1:13" x14ac:dyDescent="0.35">
      <c r="B62" s="9" t="s">
        <v>83</v>
      </c>
      <c r="C62" s="22">
        <f>SUM(C58:C61)</f>
        <v>38.019999999999996</v>
      </c>
      <c r="D62" s="22">
        <f t="shared" ref="D62:L62" si="18">SUM(D58:D61)</f>
        <v>40.88000000000001</v>
      </c>
      <c r="E62" s="22">
        <f t="shared" si="18"/>
        <v>35.68</v>
      </c>
      <c r="F62" s="22">
        <f t="shared" si="18"/>
        <v>37.129999999999995</v>
      </c>
      <c r="G62" s="22">
        <f t="shared" si="18"/>
        <v>38.42</v>
      </c>
      <c r="H62" s="22">
        <f t="shared" si="18"/>
        <v>39.75</v>
      </c>
      <c r="I62" s="22">
        <f t="shared" si="18"/>
        <v>41.38</v>
      </c>
      <c r="J62" s="22">
        <f t="shared" si="18"/>
        <v>51.599999999999994</v>
      </c>
      <c r="K62" s="22">
        <f t="shared" si="18"/>
        <v>56.199999999999996</v>
      </c>
      <c r="L62" s="22">
        <f t="shared" si="18"/>
        <v>66.28</v>
      </c>
    </row>
    <row r="63" spans="1:13" x14ac:dyDescent="0.35">
      <c r="B63" s="9"/>
    </row>
    <row r="64" spans="1:13" x14ac:dyDescent="0.35">
      <c r="B64" t="s">
        <v>41</v>
      </c>
      <c r="C64" s="10">
        <f>IFERROR('Data Sheet'!B67,0)</f>
        <v>16.46</v>
      </c>
      <c r="D64" s="10">
        <f>IFERROR('Data Sheet'!C67,0)</f>
        <v>23.8</v>
      </c>
      <c r="E64" s="10">
        <f>IFERROR('Data Sheet'!D67,0)</f>
        <v>10.34</v>
      </c>
      <c r="F64" s="10">
        <f>IFERROR('Data Sheet'!E67,0)</f>
        <v>4.46</v>
      </c>
      <c r="G64" s="10">
        <f>IFERROR('Data Sheet'!F67,0)</f>
        <v>4.25</v>
      </c>
      <c r="H64" s="10">
        <f>IFERROR('Data Sheet'!G67,0)</f>
        <v>2.42</v>
      </c>
      <c r="I64" s="10">
        <f>IFERROR('Data Sheet'!H67,0)</f>
        <v>1.1000000000000001</v>
      </c>
      <c r="J64" s="10">
        <f>IFERROR('Data Sheet'!I67,0)</f>
        <v>1.01</v>
      </c>
      <c r="K64" s="10">
        <f>IFERROR('Data Sheet'!J67,0)</f>
        <v>1.74</v>
      </c>
      <c r="L64" s="10">
        <f>IFERROR('Data Sheet'!K67,0)</f>
        <v>4.45</v>
      </c>
    </row>
    <row r="65" spans="1:13" x14ac:dyDescent="0.35">
      <c r="B65" t="s">
        <v>42</v>
      </c>
      <c r="C65" s="10">
        <f>IFERROR('Data Sheet'!B68,0)</f>
        <v>8.51</v>
      </c>
      <c r="D65" s="10">
        <f>IFERROR('Data Sheet'!C68,0)</f>
        <v>8.86</v>
      </c>
      <c r="E65" s="10">
        <f>IFERROR('Data Sheet'!D68,0)</f>
        <v>8.9600000000000009</v>
      </c>
      <c r="F65" s="10">
        <f>IFERROR('Data Sheet'!E68,0)</f>
        <v>6.47</v>
      </c>
      <c r="G65" s="10">
        <f>IFERROR('Data Sheet'!F68,0)</f>
        <v>2.87</v>
      </c>
      <c r="H65" s="10">
        <f>IFERROR('Data Sheet'!G68,0)</f>
        <v>2.69</v>
      </c>
      <c r="I65" s="10">
        <f>IFERROR('Data Sheet'!H68,0)</f>
        <v>2.2000000000000002</v>
      </c>
      <c r="J65" s="10">
        <f>IFERROR('Data Sheet'!I68,0)</f>
        <v>4.38</v>
      </c>
      <c r="K65" s="10">
        <f>IFERROR('Data Sheet'!J68,0)</f>
        <v>4.1100000000000003</v>
      </c>
      <c r="L65" s="10">
        <f>IFERROR('Data Sheet'!K68,0)</f>
        <v>6.28</v>
      </c>
    </row>
    <row r="66" spans="1:13" x14ac:dyDescent="0.35">
      <c r="B66" t="s">
        <v>43</v>
      </c>
      <c r="C66" s="10">
        <f>IFERROR('Data Sheet'!B69,0)</f>
        <v>0.14000000000000001</v>
      </c>
      <c r="D66" s="10">
        <f>IFERROR('Data Sheet'!C69,0)</f>
        <v>0.28999999999999998</v>
      </c>
      <c r="E66" s="10">
        <f>IFERROR('Data Sheet'!D69,0)</f>
        <v>0.1</v>
      </c>
      <c r="F66" s="10">
        <f>IFERROR('Data Sheet'!E69,0)</f>
        <v>0.13</v>
      </c>
      <c r="G66" s="10">
        <f>IFERROR('Data Sheet'!F69,0)</f>
        <v>0.02</v>
      </c>
      <c r="H66" s="10">
        <f>IFERROR('Data Sheet'!G69,0)</f>
        <v>0.02</v>
      </c>
      <c r="I66" s="10">
        <f>IFERROR('Data Sheet'!H69,0)</f>
        <v>0.36</v>
      </c>
      <c r="J66" s="10">
        <f>IFERROR('Data Sheet'!I69,0)</f>
        <v>9.8000000000000007</v>
      </c>
      <c r="K66" s="10">
        <f>IFERROR('Data Sheet'!J69,0)</f>
        <v>0.24</v>
      </c>
      <c r="L66" s="10">
        <f>IFERROR('Data Sheet'!K69,0)</f>
        <v>0.69</v>
      </c>
    </row>
    <row r="67" spans="1:13" x14ac:dyDescent="0.35">
      <c r="B67" s="9" t="s">
        <v>84</v>
      </c>
      <c r="C67" s="22">
        <f>IFERROR(SUM(C64:C66),0)</f>
        <v>25.11</v>
      </c>
      <c r="D67" s="22">
        <f t="shared" ref="D67:L67" si="19">IFERROR(SUM(D64:D66),0)</f>
        <v>32.949999999999996</v>
      </c>
      <c r="E67" s="22">
        <f t="shared" si="19"/>
        <v>19.400000000000002</v>
      </c>
      <c r="F67" s="22">
        <f t="shared" si="19"/>
        <v>11.06</v>
      </c>
      <c r="G67" s="22">
        <f t="shared" si="19"/>
        <v>7.14</v>
      </c>
      <c r="H67" s="22">
        <f t="shared" si="19"/>
        <v>5.129999999999999</v>
      </c>
      <c r="I67" s="22">
        <f t="shared" si="19"/>
        <v>3.66</v>
      </c>
      <c r="J67" s="22">
        <f t="shared" si="19"/>
        <v>15.190000000000001</v>
      </c>
      <c r="K67" s="22">
        <f t="shared" si="19"/>
        <v>6.0900000000000007</v>
      </c>
      <c r="L67" s="22">
        <f t="shared" si="19"/>
        <v>11.42</v>
      </c>
    </row>
    <row r="69" spans="1:13" x14ac:dyDescent="0.35">
      <c r="B69" s="9" t="s">
        <v>85</v>
      </c>
      <c r="C69" s="22">
        <f>IFERROR(C67+C62,0)</f>
        <v>63.129999999999995</v>
      </c>
      <c r="D69" s="22">
        <f t="shared" ref="D69:L69" si="20">IFERROR(D67+D62,0)</f>
        <v>73.830000000000013</v>
      </c>
      <c r="E69" s="22">
        <f t="shared" si="20"/>
        <v>55.08</v>
      </c>
      <c r="F69" s="22">
        <f t="shared" si="20"/>
        <v>48.19</v>
      </c>
      <c r="G69" s="22">
        <f t="shared" si="20"/>
        <v>45.56</v>
      </c>
      <c r="H69" s="22">
        <f t="shared" si="20"/>
        <v>44.879999999999995</v>
      </c>
      <c r="I69" s="22">
        <f t="shared" si="20"/>
        <v>45.040000000000006</v>
      </c>
      <c r="J69" s="22">
        <f t="shared" si="20"/>
        <v>66.789999999999992</v>
      </c>
      <c r="K69" s="22">
        <f t="shared" si="20"/>
        <v>62.29</v>
      </c>
      <c r="L69" s="22">
        <f t="shared" si="20"/>
        <v>77.7</v>
      </c>
    </row>
    <row r="71" spans="1:13" x14ac:dyDescent="0.35">
      <c r="B71" s="12" t="s">
        <v>86</v>
      </c>
      <c r="C71" s="12" t="b">
        <f>C69=C56</f>
        <v>1</v>
      </c>
      <c r="D71" s="12" t="b">
        <f t="shared" ref="D71:L71" si="21">D69=D56</f>
        <v>1</v>
      </c>
      <c r="E71" s="12" t="b">
        <f t="shared" si="21"/>
        <v>1</v>
      </c>
      <c r="F71" s="12" t="b">
        <f t="shared" si="21"/>
        <v>1</v>
      </c>
      <c r="G71" s="12" t="b">
        <f t="shared" si="21"/>
        <v>1</v>
      </c>
      <c r="H71" s="12" t="b">
        <f t="shared" si="21"/>
        <v>1</v>
      </c>
      <c r="I71" s="12" t="b">
        <f t="shared" si="21"/>
        <v>1</v>
      </c>
      <c r="J71" s="12" t="b">
        <f t="shared" si="21"/>
        <v>1</v>
      </c>
      <c r="K71" s="12" t="b">
        <f t="shared" si="21"/>
        <v>1</v>
      </c>
      <c r="L71" s="12" t="b">
        <f t="shared" si="21"/>
        <v>1</v>
      </c>
    </row>
    <row r="73" spans="1:13" x14ac:dyDescent="0.35">
      <c r="A73" t="s">
        <v>58</v>
      </c>
      <c r="B73" s="20" t="s">
        <v>87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</row>
    <row r="74" spans="1:13" x14ac:dyDescent="0.35">
      <c r="B74" s="9"/>
    </row>
    <row r="75" spans="1:13" x14ac:dyDescent="0.35">
      <c r="B75" t="s">
        <v>88</v>
      </c>
      <c r="C75" s="10">
        <f>'Data Sheet'!B82</f>
        <v>1</v>
      </c>
      <c r="D75" s="10">
        <f>'Data Sheet'!C82</f>
        <v>2.27</v>
      </c>
      <c r="E75" s="10">
        <f>'Data Sheet'!D82</f>
        <v>-0.56999999999999995</v>
      </c>
      <c r="F75" s="10">
        <f>'Data Sheet'!E82</f>
        <v>0.75</v>
      </c>
      <c r="G75" s="10">
        <f>'Data Sheet'!F82</f>
        <v>6.67</v>
      </c>
      <c r="H75" s="10">
        <f>'Data Sheet'!G82</f>
        <v>5.5</v>
      </c>
      <c r="I75" s="10">
        <f>'Data Sheet'!H82</f>
        <v>7.2</v>
      </c>
      <c r="J75" s="10">
        <f>'Data Sheet'!I82</f>
        <v>0.55000000000000004</v>
      </c>
      <c r="K75" s="10">
        <f>'Data Sheet'!J82</f>
        <v>16.559999999999999</v>
      </c>
      <c r="L75" s="10">
        <f>'Data Sheet'!K82</f>
        <v>-2.09</v>
      </c>
    </row>
    <row r="77" spans="1:13" x14ac:dyDescent="0.35">
      <c r="B77" t="s">
        <v>89</v>
      </c>
      <c r="C77" s="10">
        <f>'Data Sheet'!B83</f>
        <v>-1.1000000000000001</v>
      </c>
      <c r="D77" s="10">
        <f>'Data Sheet'!C83</f>
        <v>-2.81</v>
      </c>
      <c r="E77" s="10">
        <f>'Data Sheet'!D83</f>
        <v>0.85</v>
      </c>
      <c r="F77" s="10">
        <f>'Data Sheet'!E83</f>
        <v>0.08</v>
      </c>
      <c r="G77" s="10">
        <f>'Data Sheet'!F83</f>
        <v>-3.12</v>
      </c>
      <c r="H77" s="10">
        <f>'Data Sheet'!G83</f>
        <v>-3.54</v>
      </c>
      <c r="I77" s="10">
        <f>'Data Sheet'!H83</f>
        <v>-0.27</v>
      </c>
      <c r="J77" s="10">
        <f>'Data Sheet'!I83</f>
        <v>7.64</v>
      </c>
      <c r="K77" s="10">
        <f>'Data Sheet'!J83</f>
        <v>-24.62</v>
      </c>
      <c r="L77" s="10">
        <f>'Data Sheet'!K83</f>
        <v>2.54</v>
      </c>
    </row>
    <row r="79" spans="1:13" x14ac:dyDescent="0.35">
      <c r="B79" t="s">
        <v>90</v>
      </c>
      <c r="C79" s="10">
        <f>'Data Sheet'!B84</f>
        <v>0.19</v>
      </c>
      <c r="D79" s="10">
        <f>'Data Sheet'!C84</f>
        <v>0.69</v>
      </c>
      <c r="E79" s="10">
        <f>'Data Sheet'!D84</f>
        <v>-0.48</v>
      </c>
      <c r="F79" s="10">
        <f>'Data Sheet'!E84</f>
        <v>-0.6</v>
      </c>
      <c r="G79" s="10">
        <f>'Data Sheet'!F84</f>
        <v>-3.66</v>
      </c>
      <c r="H79" s="10">
        <f>'Data Sheet'!G84</f>
        <v>-1.96</v>
      </c>
      <c r="I79" s="10">
        <f>'Data Sheet'!H84</f>
        <v>-6.59</v>
      </c>
      <c r="J79" s="10">
        <f>'Data Sheet'!I84</f>
        <v>0.25</v>
      </c>
      <c r="K79" s="10">
        <f>'Data Sheet'!J84</f>
        <v>-0.5</v>
      </c>
      <c r="L79" s="10">
        <f>'Data Sheet'!K84</f>
        <v>0</v>
      </c>
    </row>
    <row r="81" spans="2:12" x14ac:dyDescent="0.35">
      <c r="B81" s="9" t="s">
        <v>51</v>
      </c>
      <c r="C81" s="22">
        <f t="shared" ref="C81:L81" si="22">IFERROR(C75+C77+C79,0)</f>
        <v>8.9999999999999913E-2</v>
      </c>
      <c r="D81" s="22">
        <f t="shared" si="22"/>
        <v>0.14999999999999991</v>
      </c>
      <c r="E81" s="22">
        <f t="shared" si="22"/>
        <v>-0.19999999999999996</v>
      </c>
      <c r="F81" s="22">
        <f t="shared" si="22"/>
        <v>0.22999999999999998</v>
      </c>
      <c r="G81" s="22">
        <f t="shared" si="22"/>
        <v>-0.11000000000000032</v>
      </c>
      <c r="H81" s="22">
        <f t="shared" si="22"/>
        <v>0</v>
      </c>
      <c r="I81" s="22">
        <f t="shared" si="22"/>
        <v>0.33999999999999986</v>
      </c>
      <c r="J81" s="22">
        <f t="shared" si="22"/>
        <v>8.44</v>
      </c>
      <c r="K81" s="22">
        <f t="shared" si="22"/>
        <v>-8.5600000000000023</v>
      </c>
      <c r="L81" s="22">
        <f t="shared" si="22"/>
        <v>0.45000000000000018</v>
      </c>
    </row>
  </sheetData>
  <mergeCells count="1">
    <mergeCell ref="B2:M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O40"/>
  <sheetViews>
    <sheetView showGridLines="0" zoomScale="85" zoomScaleNormal="85" workbookViewId="0">
      <selection activeCell="P9" sqref="P9"/>
    </sheetView>
  </sheetViews>
  <sheetFormatPr defaultRowHeight="14.5" x14ac:dyDescent="0.35"/>
  <cols>
    <col min="1" max="1" width="1.81640625" customWidth="1"/>
    <col min="2" max="2" width="29.26953125" bestFit="1" customWidth="1"/>
    <col min="3" max="3" width="12.7265625" bestFit="1" customWidth="1"/>
    <col min="6" max="6" width="11.08984375" customWidth="1"/>
    <col min="10" max="10" width="12" customWidth="1"/>
    <col min="11" max="12" width="10" bestFit="1" customWidth="1"/>
    <col min="13" max="13" width="25.26953125" customWidth="1"/>
    <col min="14" max="14" width="8.81640625" bestFit="1" customWidth="1"/>
    <col min="15" max="15" width="7.81640625" bestFit="1" customWidth="1"/>
  </cols>
  <sheetData>
    <row r="2" spans="2:15" x14ac:dyDescent="0.35">
      <c r="B2" s="86" t="str">
        <f>"Ratio Analysis of - "&amp;'Data Sheet'!B1</f>
        <v>Ratio Analysis of - ECO RECYCLING LTD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8"/>
    </row>
    <row r="3" spans="2:15" x14ac:dyDescent="0.35">
      <c r="B3" s="89" t="s">
        <v>55</v>
      </c>
      <c r="C3" s="90">
        <f>'Data Sheet'!B16</f>
        <v>42094</v>
      </c>
      <c r="D3" s="90">
        <f>'Data Sheet'!C16</f>
        <v>42460</v>
      </c>
      <c r="E3" s="90">
        <f>'Data Sheet'!D16</f>
        <v>42825</v>
      </c>
      <c r="F3" s="90">
        <f>'Data Sheet'!E16</f>
        <v>43190</v>
      </c>
      <c r="G3" s="90">
        <f>'Data Sheet'!F16</f>
        <v>43555</v>
      </c>
      <c r="H3" s="90">
        <f>'Data Sheet'!G16</f>
        <v>43921</v>
      </c>
      <c r="I3" s="90">
        <f>'Data Sheet'!H16</f>
        <v>44286</v>
      </c>
      <c r="J3" s="90">
        <f>'Data Sheet'!I16</f>
        <v>44651</v>
      </c>
      <c r="K3" s="90">
        <f>'Data Sheet'!J16</f>
        <v>45016</v>
      </c>
      <c r="L3" s="90">
        <f>'Data Sheet'!K16</f>
        <v>45382</v>
      </c>
      <c r="M3" s="91" t="s">
        <v>121</v>
      </c>
      <c r="N3" s="92" t="s">
        <v>122</v>
      </c>
      <c r="O3" s="93" t="s">
        <v>123</v>
      </c>
    </row>
    <row r="5" spans="2:15" x14ac:dyDescent="0.35">
      <c r="B5" s="26" t="s">
        <v>95</v>
      </c>
      <c r="C5" s="26"/>
      <c r="D5" s="27">
        <f>IFERROR(HistoricalFS!D7,0)</f>
        <v>0.18572351421188626</v>
      </c>
      <c r="E5" s="27">
        <f>IFERROR(HistoricalFS!E7,0)</f>
        <v>-0.47017161536366114</v>
      </c>
      <c r="F5" s="27">
        <f>IFERROR(HistoricalFS!F7,0)</f>
        <v>-0.40771208226221078</v>
      </c>
      <c r="G5" s="27">
        <f>IFERROR(HistoricalFS!G7,0)</f>
        <v>7.986111111111116E-2</v>
      </c>
      <c r="H5" s="27">
        <f>IFERROR(HistoricalFS!H7,0)</f>
        <v>-2.0096463022508004E-2</v>
      </c>
      <c r="I5" s="27">
        <f>IFERROR(HistoricalFS!I7,0)</f>
        <v>3.9376538146021378E-2</v>
      </c>
      <c r="J5" s="27">
        <f>IFERROR(HistoricalFS!J7,0)</f>
        <v>0.19179163378058406</v>
      </c>
      <c r="K5" s="27">
        <f>IFERROR(HistoricalFS!K7,0)</f>
        <v>0.17417218543046364</v>
      </c>
      <c r="L5" s="27">
        <f>IFERROR(HistoricalFS!L7,0)</f>
        <v>0.57980823463056974</v>
      </c>
      <c r="M5" s="38"/>
      <c r="N5" s="27">
        <f>IFERROR(AVERAGE(D5:L5),0)</f>
        <v>3.9194784073584038E-2</v>
      </c>
      <c r="O5" s="27">
        <f>IFERROR(MEDIAN(C5:L5),0)</f>
        <v>7.986111111111116E-2</v>
      </c>
    </row>
    <row r="6" spans="2:15" x14ac:dyDescent="0.35">
      <c r="B6" t="s">
        <v>101</v>
      </c>
      <c r="D6" s="28">
        <f>IFERROR(HistoricalFS!D18/HistoricalFS!C18-1,0)</f>
        <v>-0.58407079646017479</v>
      </c>
      <c r="E6" s="28">
        <f>IFERROR(HistoricalFS!E18/HistoricalFS!D18-1,0)</f>
        <v>0.5531914893616936</v>
      </c>
      <c r="F6" s="28">
        <f>IFERROR(HistoricalFS!F18/HistoricalFS!E18-1,0)</f>
        <v>-1.3630136986301364</v>
      </c>
      <c r="G6" s="28">
        <f>IFERROR(HistoricalFS!G18/HistoricalFS!F18-1,0)</f>
        <v>-4.8301886792452864</v>
      </c>
      <c r="H6" s="28">
        <f>IFERROR(HistoricalFS!H18/HistoricalFS!G18-1,0)</f>
        <v>0.25615763546798065</v>
      </c>
      <c r="I6" s="28">
        <f>IFERROR(HistoricalFS!I18/HistoricalFS!H18-1,0)</f>
        <v>-0.61960784313725492</v>
      </c>
      <c r="J6" s="28">
        <f>IFERROR(HistoricalFS!J18/HistoricalFS!I18-1,0)</f>
        <v>2.5670103092783498</v>
      </c>
      <c r="K6" s="28">
        <f>IFERROR(HistoricalFS!K18/HistoricalFS!J18-1,0)</f>
        <v>0.14161849710982732</v>
      </c>
      <c r="L6" s="28">
        <f>IFERROR(HistoricalFS!L18/HistoricalFS!K18-1,0)</f>
        <v>3.1746835443037966</v>
      </c>
      <c r="M6" s="39"/>
      <c r="N6" s="28">
        <f t="shared" ref="N6:N9" si="0">IFERROR(AVERAGE(D6:L6),0)</f>
        <v>-7.8246615772356101E-2</v>
      </c>
      <c r="O6" s="28">
        <f t="shared" ref="O6:O9" si="1">IFERROR(MEDIAN(C6:L6),0)</f>
        <v>0.14161849710982732</v>
      </c>
    </row>
    <row r="7" spans="2:15" x14ac:dyDescent="0.35">
      <c r="B7" t="s">
        <v>96</v>
      </c>
      <c r="D7" s="28">
        <f>IFERROR(HistoricalFS!D27/HistoricalFS!C27-1,0)</f>
        <v>-1.2972972972972916</v>
      </c>
      <c r="E7" s="28">
        <f>IFERROR(HistoricalFS!E27/HistoricalFS!D27-1,0)</f>
        <v>-0.63636363636363247</v>
      </c>
      <c r="F7" s="28">
        <f>IFERROR(HistoricalFS!F27/HistoricalFS!E27-1,0)</f>
        <v>16.416666666666774</v>
      </c>
      <c r="G7" s="28">
        <f>IFERROR(HistoricalFS!G27/HistoricalFS!F27-1,0)</f>
        <v>-1.2679425837320573</v>
      </c>
      <c r="H7" s="28">
        <f>IFERROR(HistoricalFS!H27/HistoricalFS!G27-1,0)</f>
        <v>1.2857142857142878</v>
      </c>
      <c r="I7" s="28">
        <f>IFERROR(HistoricalFS!I27/HistoricalFS!H27-1,0)</f>
        <v>-0.95312500000000011</v>
      </c>
      <c r="J7" s="28">
        <f>IFERROR(HistoricalFS!J27/HistoricalFS!I27-1,0)</f>
        <v>48.166666666666778</v>
      </c>
      <c r="K7" s="28">
        <f>IFERROR(HistoricalFS!K27/HistoricalFS!J27-1,0)</f>
        <v>-3.7288135593219529E-2</v>
      </c>
      <c r="L7" s="28">
        <f>IFERROR(HistoricalFS!L27/HistoricalFS!K27-1,0)</f>
        <v>4.2746478873239431</v>
      </c>
      <c r="M7" s="39"/>
      <c r="N7" s="28">
        <f t="shared" si="0"/>
        <v>7.3279643170428415</v>
      </c>
      <c r="O7" s="28">
        <f t="shared" si="1"/>
        <v>-3.7288135593219529E-2</v>
      </c>
    </row>
    <row r="8" spans="2:15" x14ac:dyDescent="0.35">
      <c r="B8" t="s">
        <v>100</v>
      </c>
      <c r="D8" s="28">
        <f>IFERROR(HistoricalFS!D33/HistoricalFS!C33-1,0)</f>
        <v>-1.5249999999999919</v>
      </c>
      <c r="E8" s="28">
        <f>IFERROR(HistoricalFS!E33/HistoricalFS!D33-1,0)</f>
        <v>-0.83333333333333293</v>
      </c>
      <c r="F8" s="28">
        <f>IFERROR(HistoricalFS!F33/HistoricalFS!E33-1,0)</f>
        <v>28.857142857143185</v>
      </c>
      <c r="G8" s="28">
        <f>IFERROR(HistoricalFS!G33/HistoricalFS!F33-1,0)</f>
        <v>-1.4162679425837319</v>
      </c>
      <c r="H8" s="28">
        <f>IFERROR(HistoricalFS!H33/HistoricalFS!G33-1,0)</f>
        <v>0.34482758620689702</v>
      </c>
      <c r="I8" s="28">
        <f>IFERROR(HistoricalFS!I33/HistoricalFS!H33-1,0)</f>
        <v>-1.8888888888888893</v>
      </c>
      <c r="J8" s="28">
        <f>IFERROR(HistoricalFS!J33/HistoricalFS!I33-1,0)</f>
        <v>-2.3846153846153828</v>
      </c>
      <c r="K8" s="28">
        <f>IFERROR(HistoricalFS!K33/HistoricalFS!J33-1,0)</f>
        <v>0.71527777777778012</v>
      </c>
      <c r="L8" s="28">
        <f>IFERROR(HistoricalFS!L33/HistoricalFS!K33-1,0)</f>
        <v>3.6882591093117405</v>
      </c>
      <c r="M8" s="39"/>
      <c r="N8" s="28">
        <f t="shared" si="0"/>
        <v>2.8397113090020301</v>
      </c>
      <c r="O8" s="28">
        <f t="shared" si="1"/>
        <v>-0.83333333333333293</v>
      </c>
    </row>
    <row r="9" spans="2:15" x14ac:dyDescent="0.35">
      <c r="B9" s="29" t="s">
        <v>99</v>
      </c>
      <c r="C9" s="29"/>
      <c r="D9" s="30">
        <f>IFERROR(HistoricalFS!D41/HistoricalFS!C41-1,0)</f>
        <v>0</v>
      </c>
      <c r="E9" s="30">
        <f>IFERROR(HistoricalFS!E41/HistoricalFS!D41-1,0)</f>
        <v>0</v>
      </c>
      <c r="F9" s="30">
        <f>IFERROR(HistoricalFS!F41/HistoricalFS!E41-1,0)</f>
        <v>0</v>
      </c>
      <c r="G9" s="30">
        <f>IFERROR(HistoricalFS!G41/HistoricalFS!F41-1,0)</f>
        <v>0</v>
      </c>
      <c r="H9" s="30">
        <f>IFERROR(HistoricalFS!H41/HistoricalFS!G41-1,0)</f>
        <v>0</v>
      </c>
      <c r="I9" s="30">
        <f>IFERROR(HistoricalFS!I41/HistoricalFS!H41-1,0)</f>
        <v>0</v>
      </c>
      <c r="J9" s="30">
        <f>IFERROR(HistoricalFS!J41/HistoricalFS!I41-1,0)</f>
        <v>0</v>
      </c>
      <c r="K9" s="30">
        <f>IFERROR(HistoricalFS!K41/HistoricalFS!J41-1,0)</f>
        <v>-1</v>
      </c>
      <c r="L9" s="30">
        <f>IFERROR(HistoricalFS!L41/HistoricalFS!K41-1,0)</f>
        <v>0</v>
      </c>
      <c r="M9" s="40"/>
      <c r="N9" s="30">
        <f t="shared" si="0"/>
        <v>-0.1111111111111111</v>
      </c>
      <c r="O9" s="30">
        <f t="shared" si="1"/>
        <v>0</v>
      </c>
    </row>
    <row r="11" spans="2:15" x14ac:dyDescent="0.35">
      <c r="B11" s="26" t="s">
        <v>91</v>
      </c>
      <c r="C11" s="27">
        <f>IFERROR(HistoricalFS!C13,0)</f>
        <v>0.14567183462532304</v>
      </c>
      <c r="D11" s="27">
        <f>IFERROR(HistoricalFS!D13,0)</f>
        <v>0.10623808226641257</v>
      </c>
      <c r="E11" s="27">
        <f>IFERROR(HistoricalFS!E13,0)</f>
        <v>0.31979434447300775</v>
      </c>
      <c r="F11" s="27">
        <f>IFERROR(HistoricalFS!F13,0)</f>
        <v>0.24392361111111116</v>
      </c>
      <c r="G11" s="27">
        <f>IFERROR(HistoricalFS!G13,0)</f>
        <v>0.40353697749196138</v>
      </c>
      <c r="H11" s="27">
        <f>IFERROR(HistoricalFS!H13,0)</f>
        <v>0.52830188679245282</v>
      </c>
      <c r="I11" s="27">
        <f>IFERROR(HistoricalFS!I13,0)</f>
        <v>0.48224151539068671</v>
      </c>
      <c r="J11" s="27">
        <f>IFERROR(HistoricalFS!J13,0)</f>
        <v>0.4185430463576158</v>
      </c>
      <c r="K11" s="27">
        <f>IFERROR(HistoricalFS!K13,0)</f>
        <v>0.49407783417935708</v>
      </c>
      <c r="L11" s="27">
        <f>IFERROR(HistoricalFS!L13,0)</f>
        <v>0.67440199928596933</v>
      </c>
      <c r="M11" s="41"/>
      <c r="N11" s="27">
        <f>IFERROR(AVERAGE(C11:L11),0)</f>
        <v>0.38167311319738972</v>
      </c>
      <c r="O11" s="27">
        <f t="shared" ref="O11:O15" si="2">IFERROR(MEDIAN(C11:L11),0)</f>
        <v>0.41104001192478856</v>
      </c>
    </row>
    <row r="12" spans="2:15" x14ac:dyDescent="0.35">
      <c r="B12" t="s">
        <v>92</v>
      </c>
      <c r="C12" s="28">
        <f>IFERROR(HistoricalFS!C19,0)</f>
        <v>7.2997416020671876E-2</v>
      </c>
      <c r="D12" s="28">
        <f>IFERROR(HistoricalFS!D19,0)</f>
        <v>2.5606101879596995E-2</v>
      </c>
      <c r="E12" s="28">
        <f>IFERROR(HistoricalFS!E19,0)</f>
        <v>7.5064267352185132E-2</v>
      </c>
      <c r="F12" s="28">
        <f>IFERROR(HistoricalFS!F19,0)</f>
        <v>-4.6006944444444392E-2</v>
      </c>
      <c r="G12" s="28">
        <f>IFERROR(HistoricalFS!G19,0)</f>
        <v>0.16318327974276522</v>
      </c>
      <c r="H12" s="28">
        <f>IFERROR(HistoricalFS!H19,0)</f>
        <v>0.20918785890073829</v>
      </c>
      <c r="I12" s="28">
        <f>IFERROR(HistoricalFS!I19,0)</f>
        <v>7.6558800315706374E-2</v>
      </c>
      <c r="J12" s="28">
        <f>IFERROR(HistoricalFS!J19,0)</f>
        <v>0.22913907284768203</v>
      </c>
      <c r="K12" s="28">
        <f>IFERROR(HistoricalFS!K19,0)</f>
        <v>0.22278623801466446</v>
      </c>
      <c r="L12" s="28">
        <f>IFERROR(HistoricalFS!L19,0)</f>
        <v>0.58871831488754023</v>
      </c>
      <c r="M12" s="42"/>
      <c r="N12" s="28">
        <f t="shared" ref="N12:N40" si="3">IFERROR(AVERAGE(C12:L12),0)</f>
        <v>0.16172344055171059</v>
      </c>
      <c r="O12" s="28">
        <f t="shared" si="2"/>
        <v>0.11987104002923579</v>
      </c>
    </row>
    <row r="13" spans="2:15" x14ac:dyDescent="0.35">
      <c r="B13" t="s">
        <v>102</v>
      </c>
      <c r="C13" s="28">
        <f>IFERROR((HistoricalFS!C18-HistoricalFS!C24)/HistoricalFS!C6,0)</f>
        <v>6.36304909560724E-2</v>
      </c>
      <c r="D13" s="28">
        <f>IFERROR((HistoricalFS!D18-HistoricalFS!D24)/HistoricalFS!D6,0)</f>
        <v>1.7433941705257576E-2</v>
      </c>
      <c r="E13" s="28">
        <f>IFERROR((HistoricalFS!E18-HistoricalFS!E24)/HistoricalFS!E6,0)</f>
        <v>5.8097686375321381E-2</v>
      </c>
      <c r="F13" s="28">
        <f>IFERROR((HistoricalFS!F18-HistoricalFS!F24)/HistoricalFS!F6,0)</f>
        <v>-7.8124999999999944E-2</v>
      </c>
      <c r="G13" s="28">
        <f>IFERROR((HistoricalFS!G18-HistoricalFS!G24)/HistoricalFS!G6,0)</f>
        <v>0.12620578778135044</v>
      </c>
      <c r="H13" s="28">
        <f>IFERROR((HistoricalFS!H18-HistoricalFS!H24)/HistoricalFS!H6,0)</f>
        <v>0.17063166529942578</v>
      </c>
      <c r="I13" s="28">
        <f>IFERROR((HistoricalFS!I18-HistoricalFS!I24)/HistoricalFS!I6,0)</f>
        <v>3.9463299131807399E-2</v>
      </c>
      <c r="J13" s="28">
        <f>IFERROR((HistoricalFS!J18-HistoricalFS!J24)/HistoricalFS!J6,0)</f>
        <v>0.19801324503311249</v>
      </c>
      <c r="K13" s="28">
        <f>IFERROR((HistoricalFS!K18-HistoricalFS!K24)/HistoricalFS!K6,0)</f>
        <v>0.17033276931754093</v>
      </c>
      <c r="L13" s="28">
        <f>IFERROR((HistoricalFS!L18-HistoricalFS!L24)/HistoricalFS!L6,0)</f>
        <v>0.56015708675473042</v>
      </c>
      <c r="M13" s="42"/>
      <c r="N13" s="28">
        <f t="shared" si="3"/>
        <v>0.13258409723546188</v>
      </c>
      <c r="O13" s="28">
        <f t="shared" si="2"/>
        <v>9.4918139368711421E-2</v>
      </c>
    </row>
    <row r="14" spans="2:15" x14ac:dyDescent="0.35">
      <c r="B14" t="s">
        <v>103</v>
      </c>
      <c r="C14" s="28">
        <f>IFERROR(HistoricalFS!C28,0)</f>
        <v>3.5852713178294623E-2</v>
      </c>
      <c r="D14" s="28">
        <f>IFERROR(HistoricalFS!D28,0)</f>
        <v>-8.9893761917732035E-3</v>
      </c>
      <c r="E14" s="28">
        <f>IFERROR(HistoricalFS!E28,0)</f>
        <v>-6.1696658097685972E-3</v>
      </c>
      <c r="F14" s="28">
        <f>IFERROR(HistoricalFS!F28,0)</f>
        <v>-0.18142361111111108</v>
      </c>
      <c r="G14" s="28">
        <f>IFERROR(HistoricalFS!G28,0)</f>
        <v>4.5016077170417959E-2</v>
      </c>
      <c r="H14" s="28">
        <f>IFERROR(HistoricalFS!H28,0)</f>
        <v>0.10500410172272354</v>
      </c>
      <c r="I14" s="28">
        <f>IFERROR(HistoricalFS!I28,0)</f>
        <v>4.7355958958168768E-3</v>
      </c>
      <c r="J14" s="28">
        <f>IFERROR(HistoricalFS!J28,0)</f>
        <v>0.19536423841059591</v>
      </c>
      <c r="K14" s="28">
        <f>IFERROR(HistoricalFS!K28,0)</f>
        <v>0.16018048505358154</v>
      </c>
      <c r="L14" s="28">
        <f>IFERROR(HistoricalFS!L28,0)</f>
        <v>0.53480899678686189</v>
      </c>
      <c r="M14" s="42"/>
      <c r="N14" s="28">
        <f t="shared" si="3"/>
        <v>8.8437955510563951E-2</v>
      </c>
      <c r="O14" s="28">
        <f t="shared" si="2"/>
        <v>4.0434395174356291E-2</v>
      </c>
    </row>
    <row r="15" spans="2:15" x14ac:dyDescent="0.35">
      <c r="B15" s="29" t="s">
        <v>104</v>
      </c>
      <c r="C15" s="30">
        <f>IFERROR(HistoricalFS!C34,0)</f>
        <v>2.5839793281653797E-2</v>
      </c>
      <c r="D15" s="30">
        <f>IFERROR(HistoricalFS!D34,0)</f>
        <v>-1.1441024244075027E-2</v>
      </c>
      <c r="E15" s="30">
        <f>IFERROR(HistoricalFS!E34,0)</f>
        <v>-3.5989717223649984E-3</v>
      </c>
      <c r="F15" s="30">
        <f>IFERROR(HistoricalFS!F34,0)</f>
        <v>-0.18142361111111108</v>
      </c>
      <c r="G15" s="30">
        <f>IFERROR(HistoricalFS!G34,0)</f>
        <v>6.9935691318327928E-2</v>
      </c>
      <c r="H15" s="30">
        <f>IFERROR(HistoricalFS!H34,0)</f>
        <v>9.598031173092697E-2</v>
      </c>
      <c r="I15" s="30">
        <f>IFERROR(HistoricalFS!I34,0)</f>
        <v>-8.2083662194159454E-2</v>
      </c>
      <c r="J15" s="30">
        <f>IFERROR(HistoricalFS!J34,0)</f>
        <v>9.5364238410595922E-2</v>
      </c>
      <c r="K15" s="30">
        <f>IFERROR(HistoricalFS!K34,0)</f>
        <v>0.13931190073322056</v>
      </c>
      <c r="L15" s="30">
        <f>IFERROR(HistoricalFS!L34,0)</f>
        <v>0.41342377722242063</v>
      </c>
      <c r="M15" s="43"/>
      <c r="N15" s="30">
        <f t="shared" si="3"/>
        <v>5.6130844342543521E-2</v>
      </c>
      <c r="O15" s="30">
        <f t="shared" si="2"/>
        <v>4.7887742299990863E-2</v>
      </c>
    </row>
    <row r="17" spans="2:15" x14ac:dyDescent="0.35">
      <c r="B17" s="26" t="s">
        <v>94</v>
      </c>
      <c r="C17" s="27">
        <f>IFERROR(HistoricalFS!C16,0)</f>
        <v>7.2674418604651167E-2</v>
      </c>
      <c r="D17" s="27">
        <f>IFERROR(HistoricalFS!D16,0)</f>
        <v>8.0631980386815585E-2</v>
      </c>
      <c r="E17" s="27">
        <f>IFERROR(HistoricalFS!E16,0)</f>
        <v>0.24473007712082262</v>
      </c>
      <c r="F17" s="27">
        <f>IFERROR(HistoricalFS!F16,0)</f>
        <v>0.28993055555555558</v>
      </c>
      <c r="G17" s="27">
        <f>IFERROR(HistoricalFS!G16,0)</f>
        <v>0.24035369774919615</v>
      </c>
      <c r="H17" s="27">
        <f>IFERROR(HistoricalFS!H16,0)</f>
        <v>0.3191140278917145</v>
      </c>
      <c r="I17" s="27">
        <f>IFERROR(HistoricalFS!I16,0)</f>
        <v>0.40568271507498033</v>
      </c>
      <c r="J17" s="27">
        <f>IFERROR(HistoricalFS!J16,0)</f>
        <v>0.18940397350993377</v>
      </c>
      <c r="K17" s="27">
        <f>IFERROR(HistoricalFS!K16,0)</f>
        <v>0.27129159616469262</v>
      </c>
      <c r="L17" s="27">
        <f>IFERROR(HistoricalFS!L16,0)</f>
        <v>8.5683684398429119E-2</v>
      </c>
      <c r="M17" s="41"/>
      <c r="N17" s="27">
        <f t="shared" si="3"/>
        <v>0.21994967264567916</v>
      </c>
      <c r="O17" s="27">
        <f t="shared" ref="O17:O19" si="4">IFERROR(MEDIAN(C17:L17),0)</f>
        <v>0.24254188743500937</v>
      </c>
    </row>
    <row r="18" spans="2:15" x14ac:dyDescent="0.35">
      <c r="B18" t="s">
        <v>68</v>
      </c>
      <c r="C18" s="28">
        <f>IFERROR(HistoricalFS!C25,0)</f>
        <v>9.3669250645994819E-3</v>
      </c>
      <c r="D18" s="28">
        <f>IFERROR(HistoricalFS!D25,0)</f>
        <v>8.1721601743394174E-3</v>
      </c>
      <c r="E18" s="28">
        <f>IFERROR(HistoricalFS!E25,0)</f>
        <v>1.6966580976863755E-2</v>
      </c>
      <c r="F18" s="28">
        <f>IFERROR(HistoricalFS!F25,0)</f>
        <v>3.2118055555555559E-2</v>
      </c>
      <c r="G18" s="28">
        <f>IFERROR(HistoricalFS!G25,0)</f>
        <v>3.6977491961414796E-2</v>
      </c>
      <c r="H18" s="28">
        <f>IFERROR(HistoricalFS!H25,0)</f>
        <v>3.8556193601312551E-2</v>
      </c>
      <c r="I18" s="28">
        <f>IFERROR(HistoricalFS!I25,0)</f>
        <v>3.7095501183898975E-2</v>
      </c>
      <c r="J18" s="28">
        <f>IFERROR(HistoricalFS!J25,0)</f>
        <v>3.1125827814569535E-2</v>
      </c>
      <c r="K18" s="28">
        <f>IFERROR(HistoricalFS!K25,0)</f>
        <v>5.2453468697123522E-2</v>
      </c>
      <c r="L18" s="28">
        <f>IFERROR(HistoricalFS!L25,0)</f>
        <v>2.8561228132809712E-2</v>
      </c>
      <c r="M18" s="42"/>
      <c r="N18" s="28">
        <f t="shared" si="3"/>
        <v>2.9139343316248734E-2</v>
      </c>
      <c r="O18" s="28">
        <f t="shared" si="4"/>
        <v>3.1621941685062549E-2</v>
      </c>
    </row>
    <row r="19" spans="2:15" x14ac:dyDescent="0.35">
      <c r="B19" s="29" t="s">
        <v>93</v>
      </c>
      <c r="C19" s="31">
        <f>C13</f>
        <v>6.36304909560724E-2</v>
      </c>
      <c r="D19" s="31">
        <f t="shared" ref="D19:L19" si="5">D13</f>
        <v>1.7433941705257576E-2</v>
      </c>
      <c r="E19" s="31">
        <f t="shared" si="5"/>
        <v>5.8097686375321381E-2</v>
      </c>
      <c r="F19" s="31">
        <f t="shared" si="5"/>
        <v>-7.8124999999999944E-2</v>
      </c>
      <c r="G19" s="31">
        <f t="shared" si="5"/>
        <v>0.12620578778135044</v>
      </c>
      <c r="H19" s="31">
        <f t="shared" si="5"/>
        <v>0.17063166529942578</v>
      </c>
      <c r="I19" s="31">
        <f t="shared" si="5"/>
        <v>3.9463299131807399E-2</v>
      </c>
      <c r="J19" s="31">
        <f t="shared" si="5"/>
        <v>0.19801324503311249</v>
      </c>
      <c r="K19" s="31">
        <f t="shared" si="5"/>
        <v>0.17033276931754093</v>
      </c>
      <c r="L19" s="31">
        <f t="shared" si="5"/>
        <v>0.56015708675473042</v>
      </c>
      <c r="M19" s="44"/>
      <c r="N19" s="30">
        <f t="shared" si="3"/>
        <v>0.13258409723546188</v>
      </c>
      <c r="O19" s="30">
        <f t="shared" si="4"/>
        <v>9.4918139368711421E-2</v>
      </c>
    </row>
    <row r="21" spans="2:15" x14ac:dyDescent="0.35">
      <c r="B21" s="26" t="s">
        <v>115</v>
      </c>
      <c r="C21" s="27">
        <f>IFERROR((HistoricalFS!C18-HistoricalFS!C24)/(SUM(HistoricalFS!C52:C54)),0)</f>
        <v>4.0871369294605837E-2</v>
      </c>
      <c r="D21" s="27">
        <f>IFERROR((HistoricalFS!D18-HistoricalFS!D24)/(SUM(HistoricalFS!D52:D54)),0)</f>
        <v>1.2766806303610727E-2</v>
      </c>
      <c r="E21" s="27">
        <f>IFERROR((HistoricalFS!E18-HistoricalFS!E24)/(SUM(HistoricalFS!E52:E54)),0)</f>
        <v>2.3222359227291427E-2</v>
      </c>
      <c r="F21" s="27">
        <f>IFERROR((HistoricalFS!F18-HistoricalFS!F24)/(SUM(HistoricalFS!F52:F54)),0)</f>
        <v>-1.9828155981493706E-2</v>
      </c>
      <c r="G21" s="27">
        <f>IFERROR((HistoricalFS!G18-HistoricalFS!G24)/(SUM(HistoricalFS!G52:G54)),0)</f>
        <v>3.6325775104118448E-2</v>
      </c>
      <c r="H21" s="27">
        <f>IFERROR((HistoricalFS!H18-HistoricalFS!H24)/(SUM(HistoricalFS!H52:H54)),0)</f>
        <v>4.991600671946244E-2</v>
      </c>
      <c r="I21" s="27">
        <f>IFERROR((HistoricalFS!I18-HistoricalFS!I24)/(SUM(HistoricalFS!I52:I54)),0)</f>
        <v>1.1715089034676659E-2</v>
      </c>
      <c r="J21" s="27">
        <f>IFERROR((HistoricalFS!J18-HistoricalFS!J24)/(SUM(HistoricalFS!J52:J54)),0)</f>
        <v>4.9356223175965643E-2</v>
      </c>
      <c r="K21" s="27">
        <f>IFERROR((HistoricalFS!K18-HistoricalFS!K24)/(SUM(HistoricalFS!K52:K54)),0)</f>
        <v>6.1885245901639359E-2</v>
      </c>
      <c r="L21" s="27">
        <f>IFERROR((HistoricalFS!L18-HistoricalFS!L24)/(SUM(HistoricalFS!L52:L54)),0)</f>
        <v>0.22318634423897579</v>
      </c>
      <c r="M21" s="41"/>
      <c r="N21" s="27">
        <f t="shared" si="3"/>
        <v>4.8941706301885268E-2</v>
      </c>
      <c r="O21" s="27">
        <f t="shared" ref="O21:O25" si="6">IFERROR(MEDIAN(C21:L21),0)</f>
        <v>3.8598572199362143E-2</v>
      </c>
    </row>
    <row r="22" spans="2:15" x14ac:dyDescent="0.35">
      <c r="B22" t="s">
        <v>98</v>
      </c>
      <c r="C22" s="28">
        <f>IFERROR(HistoricalFS!C44,0)</f>
        <v>1</v>
      </c>
      <c r="D22" s="28">
        <f>IFERROR(HistoricalFS!D44,0)</f>
        <v>0</v>
      </c>
      <c r="E22" s="28">
        <f>IFERROR(HistoricalFS!E44,0)</f>
        <v>0</v>
      </c>
      <c r="F22" s="28">
        <f>IFERROR(HistoricalFS!F44,0)</f>
        <v>0</v>
      </c>
      <c r="G22" s="28">
        <f>IFERROR(HistoricalFS!G44,0)</f>
        <v>1</v>
      </c>
      <c r="H22" s="28">
        <f>IFERROR(HistoricalFS!H44,0)</f>
        <v>1</v>
      </c>
      <c r="I22" s="28">
        <f>IFERROR(HistoricalFS!I44,0)</f>
        <v>0</v>
      </c>
      <c r="J22" s="28">
        <f>IFERROR(HistoricalFS!J44,0)</f>
        <v>0</v>
      </c>
      <c r="K22" s="28">
        <f>IFERROR(HistoricalFS!K44,0)</f>
        <v>1</v>
      </c>
      <c r="L22" s="28">
        <f>IFERROR(HistoricalFS!L44,0)</f>
        <v>1</v>
      </c>
      <c r="M22" s="42"/>
      <c r="N22" s="28">
        <f t="shared" si="3"/>
        <v>0.5</v>
      </c>
      <c r="O22" s="28">
        <f t="shared" si="6"/>
        <v>0.5</v>
      </c>
    </row>
    <row r="23" spans="2:15" x14ac:dyDescent="0.35">
      <c r="B23" t="s">
        <v>114</v>
      </c>
      <c r="C23" s="28">
        <f>IFERROR(HistoricalFS!C33/SUM(HistoricalFS!C52:C53),0)</f>
        <v>2.5873221216041447E-2</v>
      </c>
      <c r="D23" s="28">
        <f>IFERROR(HistoricalFS!D33/SUM(HistoricalFS!D52:D53),0)</f>
        <v>-1.351351351351333E-2</v>
      </c>
      <c r="E23" s="28">
        <f>IFERROR(HistoricalFS!E33/SUM(HistoricalFS!E52:E53),0)</f>
        <v>-2.426343154246073E-3</v>
      </c>
      <c r="F23" s="28">
        <f>IFERROR(HistoricalFS!F33/SUM(HistoricalFS!F52:F53),0)</f>
        <v>-8.359999999999998E-2</v>
      </c>
      <c r="G23" s="28">
        <f>IFERROR(HistoricalFS!G33/SUM(HistoricalFS!G52:G53),0)</f>
        <v>3.414442700156984E-2</v>
      </c>
      <c r="H23" s="28">
        <f>IFERROR(HistoricalFS!H33/SUM(HistoricalFS!H52:H53),0)</f>
        <v>4.617205998421467E-2</v>
      </c>
      <c r="I23" s="28">
        <f>IFERROR(HistoricalFS!I33/SUM(HistoricalFS!I52:I53),0)</f>
        <v>-3.1250000000000007E-2</v>
      </c>
      <c r="J23" s="28">
        <f>IFERROR(HistoricalFS!J33/SUM(HistoricalFS!J52:J53),0)</f>
        <v>2.8274101708226945E-2</v>
      </c>
      <c r="K23" s="28">
        <f>IFERROR(HistoricalFS!K33/SUM(HistoricalFS!K52:K53),0)</f>
        <v>5.1565762004175369E-2</v>
      </c>
      <c r="L23" s="28">
        <f>IFERROR(HistoricalFS!L33/SUM(HistoricalFS!L52:L53),0)</f>
        <v>0.17714547957778798</v>
      </c>
      <c r="M23" s="45"/>
      <c r="N23" s="28">
        <f t="shared" si="3"/>
        <v>2.3238519482425685E-2</v>
      </c>
      <c r="O23" s="28">
        <f t="shared" si="6"/>
        <v>2.7073661462134198E-2</v>
      </c>
    </row>
    <row r="24" spans="2:15" x14ac:dyDescent="0.35">
      <c r="B24" t="s">
        <v>97</v>
      </c>
      <c r="C24" s="28">
        <f>IFERROR(C22*C23,0)</f>
        <v>2.5873221216041447E-2</v>
      </c>
      <c r="D24" s="28">
        <f t="shared" ref="D24:L24" si="7">IFERROR(D22*D23,0)</f>
        <v>0</v>
      </c>
      <c r="E24" s="28">
        <f t="shared" si="7"/>
        <v>0</v>
      </c>
      <c r="F24" s="28">
        <f t="shared" si="7"/>
        <v>0</v>
      </c>
      <c r="G24" s="28">
        <f t="shared" si="7"/>
        <v>3.414442700156984E-2</v>
      </c>
      <c r="H24" s="28">
        <f t="shared" si="7"/>
        <v>4.617205998421467E-2</v>
      </c>
      <c r="I24" s="28">
        <f>IFERROR(I22*I23,0)</f>
        <v>0</v>
      </c>
      <c r="J24" s="28">
        <f t="shared" si="7"/>
        <v>0</v>
      </c>
      <c r="K24" s="28">
        <f t="shared" si="7"/>
        <v>5.1565762004175369E-2</v>
      </c>
      <c r="L24" s="28">
        <f t="shared" si="7"/>
        <v>0.17714547957778798</v>
      </c>
      <c r="M24" s="42"/>
      <c r="N24" s="28">
        <f t="shared" si="3"/>
        <v>3.3490094978378931E-2</v>
      </c>
      <c r="O24" s="28">
        <f t="shared" si="6"/>
        <v>1.2936610608020723E-2</v>
      </c>
    </row>
    <row r="25" spans="2:15" x14ac:dyDescent="0.35">
      <c r="B25" s="29" t="s">
        <v>105</v>
      </c>
      <c r="C25" s="32">
        <f>((HistoricalFS!C18-HistoricalFS!C24)/HistoricalFS!C21)</f>
        <v>2.2906976744186065</v>
      </c>
      <c r="D25" s="32">
        <f>((HistoricalFS!D18-HistoricalFS!D24)/HistoricalFS!D21)</f>
        <v>0.65979381443299556</v>
      </c>
      <c r="E25" s="32">
        <f>((HistoricalFS!E18-HistoricalFS!E24)/HistoricalFS!E21)</f>
        <v>0.90400000000000058</v>
      </c>
      <c r="F25" s="32">
        <f>((HistoricalFS!F18-HistoricalFS!F24)/HistoricalFS!F21)</f>
        <v>-0.75630252100840289</v>
      </c>
      <c r="G25" s="32">
        <f>((HistoricalFS!G18-HistoricalFS!G24)/HistoricalFS!G21)</f>
        <v>1.5544554455445538</v>
      </c>
      <c r="H25" s="32">
        <f>((HistoricalFS!H18-HistoricalFS!H24)/HistoricalFS!H21)</f>
        <v>2.6</v>
      </c>
      <c r="I25" s="32">
        <f>((HistoricalFS!I18-HistoricalFS!I24)/HistoricalFS!I21)</f>
        <v>1.1363636363636358</v>
      </c>
      <c r="J25" s="32">
        <f>((HistoricalFS!J18-HistoricalFS!J24)/HistoricalFS!J21)</f>
        <v>74.749999999999957</v>
      </c>
      <c r="K25" s="32">
        <f>((HistoricalFS!K18-HistoricalFS!K24)/HistoricalFS!K21)</f>
        <v>16.777777777777782</v>
      </c>
      <c r="L25" s="32">
        <f>((HistoricalFS!L18-HistoricalFS!L24)/HistoricalFS!L21)</f>
        <v>22.098591549295776</v>
      </c>
      <c r="M25" s="44"/>
      <c r="N25" s="32">
        <f t="shared" si="3"/>
        <v>12.201537737682489</v>
      </c>
      <c r="O25" s="32">
        <f t="shared" si="6"/>
        <v>1.9225765599815801</v>
      </c>
    </row>
    <row r="27" spans="2:15" x14ac:dyDescent="0.35">
      <c r="B27" s="26" t="s">
        <v>106</v>
      </c>
      <c r="C27" s="47" t="s">
        <v>60</v>
      </c>
      <c r="D27" s="47" t="s">
        <v>60</v>
      </c>
      <c r="E27" s="47" t="s">
        <v>60</v>
      </c>
      <c r="F27" s="47" t="s">
        <v>60</v>
      </c>
      <c r="G27" s="47" t="s">
        <v>60</v>
      </c>
      <c r="H27" s="47" t="s">
        <v>60</v>
      </c>
      <c r="I27" s="47" t="s">
        <v>60</v>
      </c>
      <c r="J27" s="47" t="s">
        <v>60</v>
      </c>
      <c r="K27" s="47" t="s">
        <v>60</v>
      </c>
      <c r="L27" s="47" t="s">
        <v>60</v>
      </c>
      <c r="M27" s="41"/>
      <c r="N27" s="33">
        <f t="shared" si="3"/>
        <v>0</v>
      </c>
      <c r="O27" s="33">
        <f t="shared" ref="O27:O31" si="8">IFERROR(MEDIAN(C27:L27),0)</f>
        <v>0</v>
      </c>
    </row>
    <row r="28" spans="2:15" x14ac:dyDescent="0.35">
      <c r="B28" t="s">
        <v>110</v>
      </c>
      <c r="C28" s="34">
        <f>IFERROR(HistoricalFS!C6/HistoricalFS!C55,0)</f>
        <v>2.0736771600803752</v>
      </c>
      <c r="D28" s="34">
        <f>IFERROR(HistoricalFS!D6/HistoricalFS!D55,0)</f>
        <v>1.548945147679325</v>
      </c>
      <c r="E28" s="34">
        <f>IFERROR(HistoricalFS!E6/HistoricalFS!E55,0)</f>
        <v>3.0295950155763238</v>
      </c>
      <c r="F28" s="34">
        <f>IFERROR(HistoricalFS!F6/HistoricalFS!F55,0)</f>
        <v>4.1142857142857148</v>
      </c>
      <c r="G28" s="34">
        <f>IFERROR(HistoricalFS!G6/HistoricalFS!G55,0)</f>
        <v>5.316239316239316</v>
      </c>
      <c r="H28" s="34">
        <f>IFERROR(HistoricalFS!H6/HistoricalFS!H55,0)</f>
        <v>3.7975077881619939</v>
      </c>
      <c r="I28" s="34">
        <f>IFERROR(HistoricalFS!I6/HistoricalFS!I55,0)</f>
        <v>5.3686440677966107</v>
      </c>
      <c r="J28" s="34">
        <f>IFERROR(HistoricalFS!J6/HistoricalFS!J55,0)</f>
        <v>2.4315619967793882</v>
      </c>
      <c r="K28" s="34">
        <f>IFERROR(HistoricalFS!K6/HistoricalFS!K55,0)</f>
        <v>1.3143068939955522</v>
      </c>
      <c r="L28" s="34">
        <f>IFERROR(HistoricalFS!L6/HistoricalFS!L55,0)</f>
        <v>3.785135135135135</v>
      </c>
      <c r="M28" s="42"/>
      <c r="N28" s="34">
        <f t="shared" si="3"/>
        <v>3.2779898235729732</v>
      </c>
      <c r="O28" s="34">
        <f t="shared" si="8"/>
        <v>3.4073650753557292</v>
      </c>
    </row>
    <row r="29" spans="2:15" x14ac:dyDescent="0.35">
      <c r="B29" t="s">
        <v>107</v>
      </c>
      <c r="C29" s="34">
        <f>IFERROR(HistoricalFS!C6/HistoricalFS!C65,0)</f>
        <v>3.6380728554641601</v>
      </c>
      <c r="D29" s="34">
        <f>IFERROR(HistoricalFS!D6/HistoricalFS!D65,0)</f>
        <v>4.1433408577878108</v>
      </c>
      <c r="E29" s="34">
        <f>IFERROR(HistoricalFS!E6/HistoricalFS!E65,0)</f>
        <v>2.1707589285714284</v>
      </c>
      <c r="F29" s="34">
        <f>IFERROR(HistoricalFS!F6/HistoricalFS!F65,0)</f>
        <v>1.7805255023183926</v>
      </c>
      <c r="G29" s="34">
        <f>IFERROR(HistoricalFS!G6/HistoricalFS!G65,0)</f>
        <v>4.3344947735191637</v>
      </c>
      <c r="H29" s="34">
        <f>IFERROR(HistoricalFS!H6/HistoricalFS!H65,0)</f>
        <v>4.5315985130111525</v>
      </c>
      <c r="I29" s="34">
        <f>IFERROR(HistoricalFS!I6/HistoricalFS!I65,0)</f>
        <v>5.7590909090909088</v>
      </c>
      <c r="J29" s="34">
        <f>IFERROR(HistoricalFS!J6/HistoricalFS!J65,0)</f>
        <v>3.4474885844748857</v>
      </c>
      <c r="K29" s="34">
        <f>IFERROR(HistoricalFS!K6/HistoricalFS!K65,0)</f>
        <v>4.3138686131386859</v>
      </c>
      <c r="L29" s="34">
        <f>IFERROR(HistoricalFS!L6/HistoricalFS!L65,0)</f>
        <v>4.4601910828025479</v>
      </c>
      <c r="M29" s="42"/>
      <c r="N29" s="34">
        <f t="shared" si="3"/>
        <v>3.8579430620179131</v>
      </c>
      <c r="O29" s="34">
        <f t="shared" si="8"/>
        <v>4.2286047354632483</v>
      </c>
    </row>
    <row r="30" spans="2:15" x14ac:dyDescent="0.35">
      <c r="B30" t="s">
        <v>108</v>
      </c>
      <c r="C30" s="34">
        <f>IFERROR(HistoricalFS!C6/HistoricalFS!C58,0)</f>
        <v>2.3104477611940299</v>
      </c>
      <c r="D30" s="34">
        <f>IFERROR(HistoricalFS!D6/HistoricalFS!D58,0)</f>
        <v>2.5635474860335195</v>
      </c>
      <c r="E30" s="34">
        <f>IFERROR(HistoricalFS!E6/HistoricalFS!E58,0)</f>
        <v>1.3497571131158916</v>
      </c>
      <c r="F30" s="34">
        <f>IFERROR(HistoricalFS!F6/HistoricalFS!F58,0)</f>
        <v>0.51938683498647431</v>
      </c>
      <c r="G30" s="34">
        <f>IFERROR(HistoricalFS!G6/HistoricalFS!G58,0)</f>
        <v>0.57038055937643284</v>
      </c>
      <c r="H30" s="34">
        <f>IFERROR(HistoricalFS!H6/HistoricalFS!H58,0)</f>
        <v>0.55763952424519669</v>
      </c>
      <c r="I30" s="34">
        <f>IFERROR(HistoricalFS!I6/HistoricalFS!I58,0)</f>
        <v>0.58521939953810631</v>
      </c>
      <c r="J30" s="34">
        <f>IFERROR(HistoricalFS!J6/HistoricalFS!J58,0)</f>
        <v>0.73983341499265065</v>
      </c>
      <c r="K30" s="34">
        <f>IFERROR(HistoricalFS!K6/HistoricalFS!K58,0)</f>
        <v>0.52595668940967077</v>
      </c>
      <c r="L30" s="34">
        <f>IFERROR(HistoricalFS!L6/HistoricalFS!L58,0)</f>
        <v>0.71199796644636504</v>
      </c>
      <c r="M30" s="42"/>
      <c r="N30" s="34">
        <f t="shared" si="3"/>
        <v>1.0434166749338338</v>
      </c>
      <c r="O30" s="34">
        <f t="shared" si="8"/>
        <v>0.64860868299223573</v>
      </c>
    </row>
    <row r="31" spans="2:15" x14ac:dyDescent="0.35">
      <c r="B31" s="29" t="s">
        <v>112</v>
      </c>
      <c r="C31" s="32">
        <f>IFERROR(HistoricalFS!C6/SUM(HistoricalFS!C52:C53),0)</f>
        <v>1.0012936610608021</v>
      </c>
      <c r="D31" s="32">
        <f>IFERROR(HistoricalFS!D6/SUM(HistoricalFS!D52:D53),0)</f>
        <v>1.1811454311454312</v>
      </c>
      <c r="E31" s="32">
        <f>IFERROR(HistoricalFS!E6/SUM(HistoricalFS!E52:E53),0)</f>
        <v>0.67417677642980933</v>
      </c>
      <c r="F31" s="32">
        <f>IFERROR(HistoricalFS!F6/SUM(HistoricalFS!F52:F53),0)</f>
        <v>0.46079999999999999</v>
      </c>
      <c r="G31" s="32">
        <f>IFERROR(HistoricalFS!G6/SUM(HistoricalFS!G52:G53),0)</f>
        <v>0.48822605965463106</v>
      </c>
      <c r="H31" s="32">
        <f>IFERROR(HistoricalFS!H6/SUM(HistoricalFS!H52:H53),0)</f>
        <v>0.48105761641673245</v>
      </c>
      <c r="I31" s="32">
        <f>IFERROR(HistoricalFS!I6/SUM(HistoricalFS!I52:I53),0)</f>
        <v>0.38070913461538458</v>
      </c>
      <c r="J31" s="32">
        <f>IFERROR(HistoricalFS!J6/SUM(HistoricalFS!J52:J53),0)</f>
        <v>0.29648537207932457</v>
      </c>
      <c r="K31" s="32">
        <f>IFERROR(HistoricalFS!K6/SUM(HistoricalFS!K52:K53),0)</f>
        <v>0.37014613778705635</v>
      </c>
      <c r="L31" s="32">
        <f>IFERROR(HistoricalFS!L6/SUM(HistoricalFS!L52:L53),0)</f>
        <v>0.4284840140737341</v>
      </c>
      <c r="M31" s="44"/>
      <c r="N31" s="32">
        <f t="shared" si="3"/>
        <v>0.57625242032629054</v>
      </c>
      <c r="O31" s="32">
        <f t="shared" si="8"/>
        <v>0.47092880820836625</v>
      </c>
    </row>
    <row r="33" spans="2:15" x14ac:dyDescent="0.35">
      <c r="B33" s="26" t="s">
        <v>109</v>
      </c>
      <c r="C33" s="35">
        <f>IFERROR(365/C27,0)</f>
        <v>0</v>
      </c>
      <c r="D33" s="35">
        <f t="shared" ref="D33:L35" si="9">IFERROR(365/D27,0)</f>
        <v>0</v>
      </c>
      <c r="E33" s="35">
        <f t="shared" si="9"/>
        <v>0</v>
      </c>
      <c r="F33" s="35">
        <f t="shared" si="9"/>
        <v>0</v>
      </c>
      <c r="G33" s="35">
        <f t="shared" si="9"/>
        <v>0</v>
      </c>
      <c r="H33" s="35">
        <f t="shared" si="9"/>
        <v>0</v>
      </c>
      <c r="I33" s="35">
        <f t="shared" si="9"/>
        <v>0</v>
      </c>
      <c r="J33" s="35">
        <f t="shared" si="9"/>
        <v>0</v>
      </c>
      <c r="K33" s="35">
        <f t="shared" si="9"/>
        <v>0</v>
      </c>
      <c r="L33" s="35">
        <f t="shared" si="9"/>
        <v>0</v>
      </c>
      <c r="M33" s="41"/>
      <c r="N33" s="35">
        <f t="shared" si="3"/>
        <v>0</v>
      </c>
      <c r="O33" s="35">
        <f t="shared" ref="O33:O40" si="10">IFERROR(MEDIAN(C33:L33),0)</f>
        <v>0</v>
      </c>
    </row>
    <row r="34" spans="2:15" x14ac:dyDescent="0.35">
      <c r="B34" t="s">
        <v>111</v>
      </c>
      <c r="C34" s="36">
        <f>IFERROR(365/C28,0)</f>
        <v>176.01582687338501</v>
      </c>
      <c r="D34" s="36">
        <f t="shared" si="9"/>
        <v>235.64423862707707</v>
      </c>
      <c r="E34" s="36">
        <f t="shared" si="9"/>
        <v>120.47814910025707</v>
      </c>
      <c r="F34" s="36">
        <f t="shared" si="9"/>
        <v>88.715277777777771</v>
      </c>
      <c r="G34" s="36">
        <f t="shared" si="9"/>
        <v>68.657556270096464</v>
      </c>
      <c r="H34" s="36">
        <f t="shared" si="9"/>
        <v>96.115668580803941</v>
      </c>
      <c r="I34" s="36">
        <f t="shared" si="9"/>
        <v>67.987371744277809</v>
      </c>
      <c r="J34" s="36">
        <f t="shared" si="9"/>
        <v>150.10927152317879</v>
      </c>
      <c r="K34" s="36">
        <f t="shared" si="9"/>
        <v>277.71291596164696</v>
      </c>
      <c r="L34" s="36">
        <f t="shared" si="9"/>
        <v>96.429846483398791</v>
      </c>
      <c r="M34" s="42"/>
      <c r="N34" s="36">
        <f t="shared" si="3"/>
        <v>137.78661229418995</v>
      </c>
      <c r="O34" s="36">
        <f t="shared" si="10"/>
        <v>108.45399779182793</v>
      </c>
    </row>
    <row r="35" spans="2:15" x14ac:dyDescent="0.35">
      <c r="B35" t="s">
        <v>113</v>
      </c>
      <c r="C35" s="36">
        <f>IFERROR(365/C29,0)</f>
        <v>100.32784237726098</v>
      </c>
      <c r="D35" s="36">
        <f t="shared" si="9"/>
        <v>88.093162625987461</v>
      </c>
      <c r="E35" s="36">
        <f t="shared" si="9"/>
        <v>168.14395886889463</v>
      </c>
      <c r="F35" s="36">
        <f t="shared" si="9"/>
        <v>204.99565972222223</v>
      </c>
      <c r="G35" s="36">
        <f t="shared" si="9"/>
        <v>84.208199356913184</v>
      </c>
      <c r="H35" s="36">
        <f t="shared" si="9"/>
        <v>80.545529122231343</v>
      </c>
      <c r="I35" s="36">
        <f t="shared" si="9"/>
        <v>63.378058405682715</v>
      </c>
      <c r="J35" s="36">
        <f t="shared" si="9"/>
        <v>105.87417218543047</v>
      </c>
      <c r="K35" s="36">
        <f t="shared" si="9"/>
        <v>84.610829103214897</v>
      </c>
      <c r="L35" s="36">
        <f t="shared" si="9"/>
        <v>81.835058907533025</v>
      </c>
      <c r="M35" s="42"/>
      <c r="N35" s="36">
        <f t="shared" si="3"/>
        <v>106.20124706753708</v>
      </c>
      <c r="O35" s="36">
        <f t="shared" si="10"/>
        <v>86.351995864601179</v>
      </c>
    </row>
    <row r="36" spans="2:15" x14ac:dyDescent="0.35">
      <c r="B36" s="29" t="s">
        <v>124</v>
      </c>
      <c r="C36" s="37">
        <f>SUM(C33,C35)-C34</f>
        <v>-75.687984496124031</v>
      </c>
      <c r="D36" s="37">
        <f t="shared" ref="D36:L36" si="11">SUM(D33,D35)-D34</f>
        <v>-147.5510760010896</v>
      </c>
      <c r="E36" s="37">
        <f t="shared" si="11"/>
        <v>47.665809768637558</v>
      </c>
      <c r="F36" s="37">
        <f t="shared" si="11"/>
        <v>116.28038194444446</v>
      </c>
      <c r="G36" s="37">
        <f t="shared" si="11"/>
        <v>15.55064308681672</v>
      </c>
      <c r="H36" s="37">
        <f t="shared" si="11"/>
        <v>-15.570139458572598</v>
      </c>
      <c r="I36" s="37">
        <f t="shared" si="11"/>
        <v>-4.6093133385950935</v>
      </c>
      <c r="J36" s="37">
        <f t="shared" si="11"/>
        <v>-44.235099337748323</v>
      </c>
      <c r="K36" s="37">
        <f t="shared" si="11"/>
        <v>-193.10208685843207</v>
      </c>
      <c r="L36" s="37">
        <f t="shared" si="11"/>
        <v>-14.594787575865766</v>
      </c>
      <c r="M36" s="44"/>
      <c r="N36" s="37">
        <f t="shared" si="3"/>
        <v>-31.585365226652879</v>
      </c>
      <c r="O36" s="37">
        <f t="shared" si="10"/>
        <v>-15.082463517219182</v>
      </c>
    </row>
    <row r="38" spans="2:15" x14ac:dyDescent="0.35">
      <c r="B38" s="26" t="s">
        <v>116</v>
      </c>
      <c r="C38" s="27">
        <f>IFERROR(HistoricalFS!C75/HistoricalFS!C6,0)</f>
        <v>3.2299741602067181E-2</v>
      </c>
      <c r="D38" s="27">
        <f>IFERROR(HistoricalFS!D75/HistoricalFS!D6,0)</f>
        <v>6.1836011985834924E-2</v>
      </c>
      <c r="E38" s="27">
        <f>IFERROR(HistoricalFS!E75/HistoricalFS!E6,0)</f>
        <v>-2.9305912596401026E-2</v>
      </c>
      <c r="F38" s="27">
        <f>IFERROR(HistoricalFS!F75/HistoricalFS!F6,0)</f>
        <v>6.5104166666666671E-2</v>
      </c>
      <c r="G38" s="27">
        <f>IFERROR(HistoricalFS!G75/HistoricalFS!G6,0)</f>
        <v>0.5361736334405145</v>
      </c>
      <c r="H38" s="27">
        <f>IFERROR(HistoricalFS!H75/HistoricalFS!H6,0)</f>
        <v>0.45118949958982774</v>
      </c>
      <c r="I38" s="27">
        <f>IFERROR(HistoricalFS!I75/HistoricalFS!I6,0)</f>
        <v>0.56827150749802691</v>
      </c>
      <c r="J38" s="27">
        <f>IFERROR(HistoricalFS!J75/HistoricalFS!J6,0)</f>
        <v>3.6423841059602655E-2</v>
      </c>
      <c r="K38" s="27">
        <f>IFERROR(HistoricalFS!K75/HistoricalFS!K6,0)</f>
        <v>0.93401015228426387</v>
      </c>
      <c r="L38" s="27">
        <f>IFERROR(HistoricalFS!L75/HistoricalFS!L6,0)</f>
        <v>-7.4616208496965361E-2</v>
      </c>
      <c r="M38" s="46"/>
      <c r="N38" s="27">
        <f t="shared" si="3"/>
        <v>0.2581386433033438</v>
      </c>
      <c r="O38" s="27">
        <f t="shared" si="10"/>
        <v>6.3470089326250798E-2</v>
      </c>
    </row>
    <row r="39" spans="2:15" x14ac:dyDescent="0.35">
      <c r="B39" t="s">
        <v>117</v>
      </c>
      <c r="C39" s="28">
        <f>IFERROR(HistoricalFS!C75/HistoricalFS!C69,HistoricalFS!B57)</f>
        <v>1.5840329478853162E-2</v>
      </c>
      <c r="D39" s="28">
        <f>IFERROR(HistoricalFS!D75/HistoricalFS!D69,HistoricalFS!C57)</f>
        <v>3.0746309088446427E-2</v>
      </c>
      <c r="E39" s="28">
        <f>IFERROR(HistoricalFS!E75/HistoricalFS!E69,HistoricalFS!D57)</f>
        <v>-1.0348583877995643E-2</v>
      </c>
      <c r="F39" s="28">
        <f>IFERROR(HistoricalFS!F75/HistoricalFS!F69,HistoricalFS!E57)</f>
        <v>1.5563394895206474E-2</v>
      </c>
      <c r="G39" s="28">
        <f>IFERROR(HistoricalFS!G75/HistoricalFS!G69,HistoricalFS!F57)</f>
        <v>0.14640035118525022</v>
      </c>
      <c r="H39" s="28">
        <f>IFERROR(HistoricalFS!H75/HistoricalFS!H69,HistoricalFS!G57)</f>
        <v>0.12254901960784315</v>
      </c>
      <c r="I39" s="28">
        <f>IFERROR(HistoricalFS!I75/HistoricalFS!I69,HistoricalFS!H57)</f>
        <v>0.15985790408525752</v>
      </c>
      <c r="J39" s="28">
        <f>IFERROR(HistoricalFS!J75/HistoricalFS!J69,HistoricalFS!I57)</f>
        <v>8.2347656834855527E-3</v>
      </c>
      <c r="K39" s="28">
        <f>IFERROR(HistoricalFS!K75/HistoricalFS!K69,HistoricalFS!J57)</f>
        <v>0.26585326697704287</v>
      </c>
      <c r="L39" s="28">
        <f>IFERROR(HistoricalFS!L75/HistoricalFS!L69,HistoricalFS!K57)</f>
        <v>-2.6898326898326896E-2</v>
      </c>
      <c r="M39" s="45"/>
      <c r="N39" s="28">
        <f t="shared" si="3"/>
        <v>7.2779843022506285E-2</v>
      </c>
      <c r="O39" s="28">
        <f t="shared" si="10"/>
        <v>2.3293319283649794E-2</v>
      </c>
    </row>
    <row r="40" spans="2:15" x14ac:dyDescent="0.35">
      <c r="B40" s="29" t="s">
        <v>118</v>
      </c>
      <c r="C40" s="30">
        <f>IFERROR(HistoricalFS!C75/HistoricalFS!C54,0)</f>
        <v>5.7870370370370364E-2</v>
      </c>
      <c r="D40" s="30">
        <f>IFERROR(HistoricalFS!D75/HistoricalFS!D54,0)</f>
        <v>0.11916010498687664</v>
      </c>
      <c r="E40" s="30">
        <f>IFERROR(HistoricalFS!E75/HistoricalFS!E54,0)</f>
        <v>-2.8773346794548207E-2</v>
      </c>
      <c r="F40" s="30">
        <f>IFERROR(HistoricalFS!F75/HistoricalFS!F54,0)</f>
        <v>3.678273663560569E-2</v>
      </c>
      <c r="G40" s="30">
        <f>IFERROR(HistoricalFS!G75/HistoricalFS!G54,0)</f>
        <v>0.37598647125140927</v>
      </c>
      <c r="H40" s="30">
        <f>IFERROR(HistoricalFS!H75/HistoricalFS!H54,0)</f>
        <v>0.33680342927127987</v>
      </c>
      <c r="I40" s="30">
        <f>IFERROR(HistoricalFS!I75/HistoricalFS!I54,0)</f>
        <v>0.76595744680851063</v>
      </c>
      <c r="J40" s="30">
        <f>IFERROR(HistoricalFS!J75/HistoricalFS!J54,0)</f>
        <v>5.6994818652849742E-2</v>
      </c>
      <c r="K40" s="30">
        <f>IFERROR(HistoricalFS!K75/HistoricalFS!K54,0)</f>
        <v>18.399999999999999</v>
      </c>
      <c r="L40" s="30">
        <f>IFERROR(HistoricalFS!L75/HistoricalFS!L54,0)</f>
        <v>-0.42393509127789047</v>
      </c>
      <c r="M40" s="43"/>
      <c r="N40" s="30">
        <f t="shared" si="3"/>
        <v>1.969684693990446</v>
      </c>
      <c r="O40" s="30">
        <f t="shared" si="10"/>
        <v>8.8515237678623501E-2</v>
      </c>
    </row>
  </sheetData>
  <mergeCells count="1">
    <mergeCell ref="B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0000000-0003-0000-0300-000001000000}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 xr2:uid="{00000000-0003-0000-0300-000000000000}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O24"/>
  <sheetViews>
    <sheetView showGridLines="0" topLeftCell="E5" zoomScale="85" zoomScaleNormal="85" workbookViewId="0">
      <selection activeCell="R17" sqref="R17"/>
    </sheetView>
  </sheetViews>
  <sheetFormatPr defaultRowHeight="14.5" x14ac:dyDescent="0.35"/>
  <cols>
    <col min="1" max="1" width="1.81640625" customWidth="1"/>
    <col min="2" max="2" width="12.453125" customWidth="1"/>
    <col min="3" max="3" width="7.453125" customWidth="1"/>
    <col min="4" max="4" width="11.81640625" customWidth="1"/>
    <col min="5" max="5" width="27.7265625" customWidth="1"/>
    <col min="6" max="6" width="2.7265625" customWidth="1"/>
    <col min="7" max="7" width="24.26953125" customWidth="1"/>
    <col min="8" max="8" width="6.26953125" bestFit="1" customWidth="1"/>
    <col min="9" max="9" width="10.1796875" customWidth="1"/>
    <col min="10" max="10" width="19.453125" customWidth="1"/>
    <col min="11" max="11" width="2.7265625" customWidth="1"/>
    <col min="12" max="12" width="25.54296875" customWidth="1"/>
    <col min="13" max="13" width="18.7265625" customWidth="1"/>
    <col min="14" max="14" width="7.7265625" customWidth="1"/>
    <col min="15" max="15" width="20.54296875" customWidth="1"/>
  </cols>
  <sheetData>
    <row r="2" spans="2:15" x14ac:dyDescent="0.35">
      <c r="B2" s="82" t="str">
        <f>'Data Sheet'!$B$1&amp;" - "&amp;'Data Sheet'!A17&amp;" Forecasting"</f>
        <v>ECO RECYCLING LTD - Sales Forecasting</v>
      </c>
      <c r="C2" s="82"/>
      <c r="D2" s="82"/>
      <c r="E2" s="82"/>
      <c r="G2" s="82" t="str">
        <f>'Data Sheet'!$B$1&amp;" - "&amp;'Data Sheet'!A34&amp;" Forecasting"</f>
        <v>ECO RECYCLING LTD - EBITDA Forecasting</v>
      </c>
      <c r="H2" s="82"/>
      <c r="I2" s="82"/>
      <c r="J2" s="82"/>
      <c r="K2" s="96"/>
      <c r="L2" s="82" t="str">
        <f>'Data Sheet'!$B$1&amp;" - "&amp;HistoricalFS!B38&amp;" Forecasting"</f>
        <v>ECO RECYCLING LTD - Earnings per Share Forecasting</v>
      </c>
      <c r="M2" s="82"/>
      <c r="N2" s="82"/>
      <c r="O2" s="82"/>
    </row>
    <row r="3" spans="2:15" x14ac:dyDescent="0.35">
      <c r="B3" s="94" t="s">
        <v>119</v>
      </c>
      <c r="C3" s="95" t="s">
        <v>120</v>
      </c>
      <c r="D3" s="95" t="s">
        <v>11</v>
      </c>
      <c r="E3" s="95" t="s">
        <v>59</v>
      </c>
      <c r="G3" s="83" t="s">
        <v>119</v>
      </c>
      <c r="H3" s="95" t="s">
        <v>120</v>
      </c>
      <c r="I3" s="95" t="s">
        <v>11</v>
      </c>
      <c r="J3" s="95" t="s">
        <v>59</v>
      </c>
      <c r="K3" s="96"/>
      <c r="L3" s="83" t="s">
        <v>119</v>
      </c>
      <c r="M3" s="95" t="s">
        <v>120</v>
      </c>
      <c r="N3" s="95" t="s">
        <v>11</v>
      </c>
      <c r="O3" s="95" t="s">
        <v>59</v>
      </c>
    </row>
    <row r="4" spans="2:15" x14ac:dyDescent="0.35">
      <c r="B4" s="23">
        <v>1</v>
      </c>
      <c r="C4" s="24">
        <f>'Data Sheet'!$B$16</f>
        <v>42094</v>
      </c>
      <c r="D4" s="25">
        <f t="array" ref="D4:D13">TRANSPOSE('Data Sheet'!B17:K17)</f>
        <v>30.96</v>
      </c>
      <c r="G4" s="23">
        <v>1</v>
      </c>
      <c r="H4" s="24">
        <f>'Data Sheet'!$B$16</f>
        <v>42094</v>
      </c>
      <c r="I4" s="25">
        <f t="array" ref="I4:I13">TRANSPOSE('Data Sheet'!B34:K34)</f>
        <v>2.39</v>
      </c>
      <c r="L4" s="23">
        <v>1</v>
      </c>
      <c r="M4" s="24">
        <f>'Data Sheet'!$B$16</f>
        <v>42094</v>
      </c>
      <c r="N4" s="25">
        <f t="array" ref="N4:N13">TRANSPOSE(HistoricalFS!C38:L38)</f>
        <v>0.41450777202072625</v>
      </c>
    </row>
    <row r="5" spans="2:15" x14ac:dyDescent="0.35">
      <c r="B5" s="23">
        <f>B4+1</f>
        <v>2</v>
      </c>
      <c r="C5" s="24">
        <f>C4+365</f>
        <v>42459</v>
      </c>
      <c r="D5" s="25">
        <v>36.71</v>
      </c>
      <c r="E5" s="11">
        <f>D5/D4-1</f>
        <v>0.18572351421188626</v>
      </c>
      <c r="G5" s="23">
        <f>G4+1</f>
        <v>2</v>
      </c>
      <c r="H5" s="24">
        <f>H4+365</f>
        <v>42459</v>
      </c>
      <c r="I5" s="25">
        <v>1.52</v>
      </c>
      <c r="J5" s="11">
        <f>I5/I4-1</f>
        <v>-0.36401673640167365</v>
      </c>
      <c r="L5" s="23">
        <f>L4+1</f>
        <v>2</v>
      </c>
      <c r="M5" s="24">
        <f>M4+365</f>
        <v>42459</v>
      </c>
      <c r="N5" s="25">
        <v>-0.21761658031087786</v>
      </c>
      <c r="O5" s="11">
        <f>N5/N4-1</f>
        <v>-1.5249999999999917</v>
      </c>
    </row>
    <row r="6" spans="2:15" x14ac:dyDescent="0.35">
      <c r="B6" s="23">
        <f t="shared" ref="B6:B24" si="0">B5+1</f>
        <v>3</v>
      </c>
      <c r="C6" s="24">
        <f t="shared" ref="C6:C24" si="1">C5+365</f>
        <v>42824</v>
      </c>
      <c r="D6" s="25">
        <v>19.45</v>
      </c>
      <c r="E6" s="11">
        <f t="shared" ref="E6:E18" si="2">D6/D5-1</f>
        <v>-0.47017161536366114</v>
      </c>
      <c r="G6" s="23">
        <f t="shared" ref="G6:G24" si="3">G5+1</f>
        <v>3</v>
      </c>
      <c r="H6" s="24">
        <f t="shared" ref="H6:H24" si="4">H5+365</f>
        <v>42824</v>
      </c>
      <c r="I6" s="25">
        <v>0.55000000000000004</v>
      </c>
      <c r="J6" s="11">
        <f t="shared" ref="J6:J18" si="5">I6/I5-1</f>
        <v>-0.63815789473684204</v>
      </c>
      <c r="L6" s="23">
        <f t="shared" ref="L6:L24" si="6">L5+1</f>
        <v>3</v>
      </c>
      <c r="M6" s="24">
        <f t="shared" ref="M6:M24" si="7">M5+365</f>
        <v>42824</v>
      </c>
      <c r="N6" s="25">
        <v>-3.6269430051813066E-2</v>
      </c>
      <c r="O6" s="11">
        <f t="shared" ref="O6:O18" si="8">N6/N5-1</f>
        <v>-0.83333333333333293</v>
      </c>
    </row>
    <row r="7" spans="2:15" x14ac:dyDescent="0.35">
      <c r="B7" s="23">
        <f t="shared" si="0"/>
        <v>4</v>
      </c>
      <c r="C7" s="24">
        <f t="shared" si="1"/>
        <v>43189</v>
      </c>
      <c r="D7" s="25">
        <v>11.52</v>
      </c>
      <c r="E7" s="11">
        <f t="shared" si="2"/>
        <v>-0.40771208226221078</v>
      </c>
      <c r="G7" s="23">
        <f t="shared" si="3"/>
        <v>4</v>
      </c>
      <c r="H7" s="24">
        <f t="shared" si="4"/>
        <v>43189</v>
      </c>
      <c r="I7" s="25">
        <v>-6.88</v>
      </c>
      <c r="J7" s="11">
        <f t="shared" si="5"/>
        <v>-13.509090909090908</v>
      </c>
      <c r="L7" s="23">
        <f t="shared" si="6"/>
        <v>4</v>
      </c>
      <c r="M7" s="24">
        <f t="shared" si="7"/>
        <v>43189</v>
      </c>
      <c r="N7" s="25">
        <v>-1.0829015544041447</v>
      </c>
      <c r="O7" s="11">
        <f t="shared" si="8"/>
        <v>28.857142857143181</v>
      </c>
    </row>
    <row r="8" spans="2:15" x14ac:dyDescent="0.35">
      <c r="B8" s="23">
        <f t="shared" si="0"/>
        <v>5</v>
      </c>
      <c r="C8" s="24">
        <f t="shared" si="1"/>
        <v>43554</v>
      </c>
      <c r="D8" s="25">
        <v>12.44</v>
      </c>
      <c r="E8" s="11">
        <f t="shared" si="2"/>
        <v>7.986111111111116E-2</v>
      </c>
      <c r="G8" s="23">
        <f t="shared" si="3"/>
        <v>5</v>
      </c>
      <c r="H8" s="24">
        <f t="shared" si="4"/>
        <v>43554</v>
      </c>
      <c r="I8" s="25">
        <v>2.48</v>
      </c>
      <c r="J8" s="11">
        <f t="shared" si="5"/>
        <v>-1.3604651162790697</v>
      </c>
      <c r="L8" s="23">
        <f t="shared" si="6"/>
        <v>5</v>
      </c>
      <c r="M8" s="24">
        <f t="shared" si="7"/>
        <v>43554</v>
      </c>
      <c r="N8" s="25">
        <v>0.45077720207253857</v>
      </c>
      <c r="O8" s="11">
        <f t="shared" si="8"/>
        <v>-1.4162679425837319</v>
      </c>
    </row>
    <row r="9" spans="2:15" x14ac:dyDescent="0.35">
      <c r="B9" s="23">
        <f t="shared" si="0"/>
        <v>6</v>
      </c>
      <c r="C9" s="24">
        <f t="shared" si="1"/>
        <v>43919</v>
      </c>
      <c r="D9" s="25">
        <v>12.19</v>
      </c>
      <c r="E9" s="11">
        <f t="shared" si="2"/>
        <v>-2.0096463022508004E-2</v>
      </c>
      <c r="G9" s="23">
        <f t="shared" si="3"/>
        <v>6</v>
      </c>
      <c r="H9" s="24">
        <f t="shared" si="4"/>
        <v>43919</v>
      </c>
      <c r="I9" s="25">
        <v>2.5</v>
      </c>
      <c r="J9" s="11">
        <f t="shared" si="5"/>
        <v>8.0645161290322509E-3</v>
      </c>
      <c r="L9" s="23">
        <f t="shared" si="6"/>
        <v>6</v>
      </c>
      <c r="M9" s="24">
        <f t="shared" si="7"/>
        <v>43919</v>
      </c>
      <c r="N9" s="25">
        <v>0.6062176165803107</v>
      </c>
      <c r="O9" s="11">
        <f t="shared" si="8"/>
        <v>0.34482758620689702</v>
      </c>
    </row>
    <row r="10" spans="2:15" x14ac:dyDescent="0.35">
      <c r="B10" s="23">
        <f t="shared" si="0"/>
        <v>7</v>
      </c>
      <c r="C10" s="24">
        <f t="shared" si="1"/>
        <v>44284</v>
      </c>
      <c r="D10" s="25">
        <v>12.67</v>
      </c>
      <c r="E10" s="11">
        <f t="shared" si="2"/>
        <v>3.9376538146021378E-2</v>
      </c>
      <c r="G10" s="23">
        <f t="shared" si="3"/>
        <v>7</v>
      </c>
      <c r="H10" s="24">
        <f t="shared" si="4"/>
        <v>44284</v>
      </c>
      <c r="I10" s="25">
        <v>6.3900000000000006</v>
      </c>
      <c r="J10" s="11">
        <f t="shared" si="5"/>
        <v>1.556</v>
      </c>
      <c r="L10" s="23">
        <f t="shared" si="6"/>
        <v>7</v>
      </c>
      <c r="M10" s="24">
        <f t="shared" si="7"/>
        <v>44284</v>
      </c>
      <c r="N10" s="25">
        <v>-0.53886010362694314</v>
      </c>
      <c r="O10" s="11">
        <f t="shared" si="8"/>
        <v>-1.8888888888888893</v>
      </c>
    </row>
    <row r="11" spans="2:15" x14ac:dyDescent="0.35">
      <c r="B11" s="23">
        <f t="shared" si="0"/>
        <v>8</v>
      </c>
      <c r="C11" s="24">
        <f t="shared" si="1"/>
        <v>44649</v>
      </c>
      <c r="D11" s="25">
        <v>15.1</v>
      </c>
      <c r="E11" s="11">
        <f t="shared" si="2"/>
        <v>0.19179163378058406</v>
      </c>
      <c r="G11" s="23">
        <f t="shared" si="3"/>
        <v>8</v>
      </c>
      <c r="H11" s="24">
        <f t="shared" si="4"/>
        <v>44649</v>
      </c>
      <c r="I11" s="25">
        <v>14.51</v>
      </c>
      <c r="J11" s="11">
        <f t="shared" si="5"/>
        <v>1.2707355242566507</v>
      </c>
      <c r="L11" s="23">
        <f t="shared" si="6"/>
        <v>8</v>
      </c>
      <c r="M11" s="24">
        <f t="shared" si="7"/>
        <v>44649</v>
      </c>
      <c r="N11" s="25">
        <v>0.74611398963730491</v>
      </c>
      <c r="O11" s="11">
        <f t="shared" si="8"/>
        <v>-2.3846153846153828</v>
      </c>
    </row>
    <row r="12" spans="2:15" x14ac:dyDescent="0.35">
      <c r="B12" s="23">
        <f t="shared" si="0"/>
        <v>9</v>
      </c>
      <c r="C12" s="24">
        <f t="shared" si="1"/>
        <v>45014</v>
      </c>
      <c r="D12" s="25">
        <v>17.73</v>
      </c>
      <c r="E12" s="11">
        <f t="shared" si="2"/>
        <v>0.17417218543046364</v>
      </c>
      <c r="G12" s="23">
        <f t="shared" si="3"/>
        <v>9</v>
      </c>
      <c r="H12" s="24">
        <f t="shared" si="4"/>
        <v>45014</v>
      </c>
      <c r="I12" s="25">
        <v>7.6499999999999995</v>
      </c>
      <c r="J12" s="11">
        <f t="shared" si="5"/>
        <v>-0.47277739490006898</v>
      </c>
      <c r="L12" s="23">
        <f t="shared" si="6"/>
        <v>9</v>
      </c>
      <c r="M12" s="24">
        <f t="shared" si="7"/>
        <v>45014</v>
      </c>
      <c r="N12" s="25">
        <v>1.27979274611399</v>
      </c>
      <c r="O12" s="11">
        <f t="shared" si="8"/>
        <v>0.71527777777778012</v>
      </c>
    </row>
    <row r="13" spans="2:15" x14ac:dyDescent="0.35">
      <c r="B13" s="23">
        <f t="shared" si="0"/>
        <v>10</v>
      </c>
      <c r="C13" s="24">
        <f t="shared" si="1"/>
        <v>45379</v>
      </c>
      <c r="D13" s="25">
        <v>28.01</v>
      </c>
      <c r="E13" s="11">
        <f t="shared" si="2"/>
        <v>0.57980823463056974</v>
      </c>
      <c r="G13" s="23">
        <f t="shared" si="3"/>
        <v>10</v>
      </c>
      <c r="H13" s="24">
        <f t="shared" si="4"/>
        <v>45379</v>
      </c>
      <c r="I13" s="25">
        <v>21.1</v>
      </c>
      <c r="J13" s="11">
        <f t="shared" si="5"/>
        <v>1.7581699346405233</v>
      </c>
      <c r="L13" s="23">
        <f t="shared" si="6"/>
        <v>10</v>
      </c>
      <c r="M13" s="24">
        <f t="shared" si="7"/>
        <v>45379</v>
      </c>
      <c r="N13" s="25">
        <v>6.0000000000000009</v>
      </c>
      <c r="O13" s="11">
        <f t="shared" si="8"/>
        <v>3.6882591093117405</v>
      </c>
    </row>
    <row r="14" spans="2:15" x14ac:dyDescent="0.35">
      <c r="B14" s="97">
        <f t="shared" si="0"/>
        <v>11</v>
      </c>
      <c r="C14" s="98">
        <f t="shared" si="1"/>
        <v>45744</v>
      </c>
      <c r="D14" s="99">
        <f>FORECAST(B14,$D$4:$D$13,$B$4:$B$13)</f>
        <v>13.745999999999997</v>
      </c>
      <c r="E14" s="100">
        <f t="shared" si="2"/>
        <v>-0.50924669760799723</v>
      </c>
      <c r="G14" s="97">
        <f t="shared" si="3"/>
        <v>11</v>
      </c>
      <c r="H14" s="98">
        <f t="shared" si="4"/>
        <v>45744</v>
      </c>
      <c r="I14" s="99">
        <f>FORECAST(G14,$I$4:$I$13,$G$4:$G$13)</f>
        <v>15.918666666666665</v>
      </c>
      <c r="J14" s="100">
        <f t="shared" si="5"/>
        <v>-0.24556082148499225</v>
      </c>
      <c r="L14" s="97">
        <f t="shared" si="6"/>
        <v>11</v>
      </c>
      <c r="M14" s="98">
        <f t="shared" si="7"/>
        <v>45744</v>
      </c>
      <c r="N14" s="99">
        <f>FORECAST(L14,$N$4:$N$13,$L$4:$L$13)</f>
        <v>2.9772020725388595</v>
      </c>
      <c r="O14" s="100">
        <f t="shared" si="8"/>
        <v>-0.50379965457685683</v>
      </c>
    </row>
    <row r="15" spans="2:15" x14ac:dyDescent="0.35">
      <c r="B15" s="97">
        <f t="shared" si="0"/>
        <v>12</v>
      </c>
      <c r="C15" s="98">
        <f t="shared" si="1"/>
        <v>46109</v>
      </c>
      <c r="D15" s="99">
        <f t="shared" ref="D15:D18" si="9">FORECAST(B15,$D$4:$D$13,$B$4:$B$13)</f>
        <v>12.667454545454543</v>
      </c>
      <c r="E15" s="100">
        <f t="shared" si="2"/>
        <v>-7.8462494874541933E-2</v>
      </c>
      <c r="G15" s="97">
        <f t="shared" si="3"/>
        <v>12</v>
      </c>
      <c r="H15" s="98">
        <f t="shared" si="4"/>
        <v>46109</v>
      </c>
      <c r="I15" s="99">
        <f t="shared" ref="I15:I18" si="10">FORECAST(G15,$I$4:$I$13,$G$4:$G$13)</f>
        <v>17.863696969696967</v>
      </c>
      <c r="J15" s="100">
        <f t="shared" si="5"/>
        <v>0.12218550358260538</v>
      </c>
      <c r="L15" s="97">
        <f t="shared" si="6"/>
        <v>12</v>
      </c>
      <c r="M15" s="98">
        <f t="shared" si="7"/>
        <v>46109</v>
      </c>
      <c r="N15" s="99">
        <f t="shared" ref="N15:N18" si="11">FORECAST(L15,$N$4:$N$13,$L$4:$L$13)</f>
        <v>3.3799340555817237</v>
      </c>
      <c r="O15" s="100">
        <f t="shared" si="8"/>
        <v>0.13527196785115359</v>
      </c>
    </row>
    <row r="16" spans="2:15" x14ac:dyDescent="0.35">
      <c r="B16" s="97">
        <f t="shared" si="0"/>
        <v>13</v>
      </c>
      <c r="C16" s="98">
        <f t="shared" si="1"/>
        <v>46474</v>
      </c>
      <c r="D16" s="99">
        <f t="shared" si="9"/>
        <v>11.588909090909087</v>
      </c>
      <c r="E16" s="100">
        <f t="shared" si="2"/>
        <v>-8.5143029380947644E-2</v>
      </c>
      <c r="G16" s="97">
        <f t="shared" si="3"/>
        <v>13</v>
      </c>
      <c r="H16" s="98">
        <f t="shared" si="4"/>
        <v>46474</v>
      </c>
      <c r="I16" s="99">
        <f t="shared" si="10"/>
        <v>19.808727272727268</v>
      </c>
      <c r="J16" s="100">
        <f t="shared" si="5"/>
        <v>0.10888173407384527</v>
      </c>
      <c r="L16" s="97">
        <f t="shared" si="6"/>
        <v>13</v>
      </c>
      <c r="M16" s="98">
        <f t="shared" si="7"/>
        <v>46474</v>
      </c>
      <c r="N16" s="99">
        <f t="shared" si="11"/>
        <v>3.7826660386245878</v>
      </c>
      <c r="O16" s="100">
        <f t="shared" si="8"/>
        <v>0.11915379898545075</v>
      </c>
    </row>
    <row r="17" spans="2:15" x14ac:dyDescent="0.35">
      <c r="B17" s="97">
        <f t="shared" si="0"/>
        <v>14</v>
      </c>
      <c r="C17" s="98">
        <f t="shared" si="1"/>
        <v>46839</v>
      </c>
      <c r="D17" s="99">
        <f t="shared" si="9"/>
        <v>10.510363636363634</v>
      </c>
      <c r="E17" s="100">
        <f t="shared" si="2"/>
        <v>-9.3067039018497222E-2</v>
      </c>
      <c r="G17" s="97">
        <f t="shared" si="3"/>
        <v>14</v>
      </c>
      <c r="H17" s="98">
        <f t="shared" si="4"/>
        <v>46839</v>
      </c>
      <c r="I17" s="99">
        <f t="shared" si="10"/>
        <v>21.753757575757575</v>
      </c>
      <c r="J17" s="100">
        <f t="shared" si="5"/>
        <v>9.8190574096511218E-2</v>
      </c>
      <c r="L17" s="97">
        <f t="shared" si="6"/>
        <v>14</v>
      </c>
      <c r="M17" s="98">
        <f t="shared" si="7"/>
        <v>46839</v>
      </c>
      <c r="N17" s="99">
        <f t="shared" si="11"/>
        <v>4.1853980216674511</v>
      </c>
      <c r="O17" s="100">
        <f t="shared" si="8"/>
        <v>0.10646776081488296</v>
      </c>
    </row>
    <row r="18" spans="2:15" x14ac:dyDescent="0.35">
      <c r="B18" s="97">
        <f t="shared" si="0"/>
        <v>15</v>
      </c>
      <c r="C18" s="98">
        <f t="shared" si="1"/>
        <v>47204</v>
      </c>
      <c r="D18" s="99">
        <f t="shared" si="9"/>
        <v>9.4318181818181799</v>
      </c>
      <c r="E18" s="100">
        <f t="shared" si="2"/>
        <v>-0.10261733008113205</v>
      </c>
      <c r="G18" s="97">
        <f t="shared" si="3"/>
        <v>15</v>
      </c>
      <c r="H18" s="98">
        <f t="shared" si="4"/>
        <v>47204</v>
      </c>
      <c r="I18" s="99">
        <f t="shared" si="10"/>
        <v>23.698787878787876</v>
      </c>
      <c r="J18" s="100">
        <f t="shared" si="5"/>
        <v>8.9411233726252703E-2</v>
      </c>
      <c r="L18" s="97">
        <f t="shared" si="6"/>
        <v>15</v>
      </c>
      <c r="M18" s="98">
        <f t="shared" si="7"/>
        <v>47204</v>
      </c>
      <c r="N18" s="99">
        <f t="shared" si="11"/>
        <v>4.5881300047103144</v>
      </c>
      <c r="O18" s="100">
        <f t="shared" si="8"/>
        <v>9.6223102547942529E-2</v>
      </c>
    </row>
    <row r="19" spans="2:15" x14ac:dyDescent="0.35">
      <c r="B19" s="97">
        <f t="shared" si="0"/>
        <v>16</v>
      </c>
      <c r="C19" s="98">
        <f t="shared" si="1"/>
        <v>47569</v>
      </c>
      <c r="D19" s="99">
        <f t="shared" ref="D19:D24" si="12">FORECAST(B19,$D$4:$D$13,$B$4:$B$13)</f>
        <v>8.3532727272727243</v>
      </c>
      <c r="E19" s="100">
        <f t="shared" ref="E19:E24" si="13">D19/D18-1</f>
        <v>-0.1143518072289158</v>
      </c>
      <c r="G19" s="97">
        <f t="shared" si="3"/>
        <v>16</v>
      </c>
      <c r="H19" s="98">
        <f t="shared" si="4"/>
        <v>47569</v>
      </c>
      <c r="I19" s="99">
        <f t="shared" ref="I19:I24" si="14">FORECAST(G19,$I$4:$I$13,$G$4:$G$13)</f>
        <v>25.643818181818176</v>
      </c>
      <c r="J19" s="100">
        <f t="shared" ref="J19:J24" si="15">I19/I18-1</f>
        <v>8.2072986727361075E-2</v>
      </c>
      <c r="L19" s="97">
        <f t="shared" si="6"/>
        <v>16</v>
      </c>
      <c r="M19" s="98">
        <f t="shared" si="7"/>
        <v>47569</v>
      </c>
      <c r="N19" s="99">
        <f t="shared" ref="N19:N24" si="16">FORECAST(L19,$N$4:$N$13,$L$4:$L$13)</f>
        <v>4.9908619877531786</v>
      </c>
      <c r="O19" s="100">
        <f t="shared" ref="O19:O24" si="17">N19/N18-1</f>
        <v>8.7776933659117651E-2</v>
      </c>
    </row>
    <row r="20" spans="2:15" x14ac:dyDescent="0.35">
      <c r="B20" s="97">
        <f t="shared" si="0"/>
        <v>17</v>
      </c>
      <c r="C20" s="98">
        <f t="shared" si="1"/>
        <v>47934</v>
      </c>
      <c r="D20" s="99">
        <f t="shared" si="12"/>
        <v>7.2747272727272687</v>
      </c>
      <c r="E20" s="100">
        <f t="shared" si="13"/>
        <v>-0.12911651394118817</v>
      </c>
      <c r="G20" s="97">
        <f t="shared" si="3"/>
        <v>17</v>
      </c>
      <c r="H20" s="98">
        <f t="shared" si="4"/>
        <v>47934</v>
      </c>
      <c r="I20" s="99">
        <f t="shared" si="14"/>
        <v>27.588848484848477</v>
      </c>
      <c r="J20" s="100">
        <f t="shared" si="15"/>
        <v>7.584792129002671E-2</v>
      </c>
      <c r="L20" s="97">
        <f t="shared" si="6"/>
        <v>17</v>
      </c>
      <c r="M20" s="98">
        <f t="shared" si="7"/>
        <v>47934</v>
      </c>
      <c r="N20" s="99">
        <f t="shared" si="16"/>
        <v>5.3935939707960427</v>
      </c>
      <c r="O20" s="100">
        <f t="shared" si="17"/>
        <v>8.0693872928385479E-2</v>
      </c>
    </row>
    <row r="21" spans="2:15" x14ac:dyDescent="0.35">
      <c r="B21" s="97">
        <f t="shared" si="0"/>
        <v>18</v>
      </c>
      <c r="C21" s="98">
        <f t="shared" si="1"/>
        <v>48299</v>
      </c>
      <c r="D21" s="99">
        <f t="shared" si="12"/>
        <v>6.1961818181818167</v>
      </c>
      <c r="E21" s="100">
        <f t="shared" si="13"/>
        <v>-0.14825922871210395</v>
      </c>
      <c r="G21" s="97">
        <f t="shared" si="3"/>
        <v>18</v>
      </c>
      <c r="H21" s="98">
        <f t="shared" si="4"/>
        <v>48299</v>
      </c>
      <c r="I21" s="99">
        <f t="shared" si="14"/>
        <v>29.533878787878784</v>
      </c>
      <c r="J21" s="100">
        <f t="shared" si="15"/>
        <v>7.0500597518540875E-2</v>
      </c>
      <c r="L21" s="97">
        <f t="shared" si="6"/>
        <v>18</v>
      </c>
      <c r="M21" s="98">
        <f t="shared" si="7"/>
        <v>48299</v>
      </c>
      <c r="N21" s="99">
        <f t="shared" si="16"/>
        <v>5.796325953838906</v>
      </c>
      <c r="O21" s="100">
        <f t="shared" si="17"/>
        <v>7.4668576319144808E-2</v>
      </c>
    </row>
    <row r="22" spans="2:15" x14ac:dyDescent="0.35">
      <c r="B22" s="97">
        <f t="shared" si="0"/>
        <v>19</v>
      </c>
      <c r="C22" s="98">
        <f t="shared" si="1"/>
        <v>48664</v>
      </c>
      <c r="D22" s="99">
        <f t="shared" si="12"/>
        <v>5.1176363636363611</v>
      </c>
      <c r="E22" s="100">
        <f t="shared" si="13"/>
        <v>-0.1740661404383933</v>
      </c>
      <c r="G22" s="97">
        <f t="shared" si="3"/>
        <v>19</v>
      </c>
      <c r="H22" s="98">
        <f t="shared" si="4"/>
        <v>48664</v>
      </c>
      <c r="I22" s="99">
        <f t="shared" si="14"/>
        <v>31.478909090909085</v>
      </c>
      <c r="J22" s="100">
        <f t="shared" si="15"/>
        <v>6.5857597540780022E-2</v>
      </c>
      <c r="L22" s="97">
        <f t="shared" si="6"/>
        <v>19</v>
      </c>
      <c r="M22" s="98">
        <f t="shared" si="7"/>
        <v>48664</v>
      </c>
      <c r="N22" s="99">
        <f t="shared" si="16"/>
        <v>6.1990579368817693</v>
      </c>
      <c r="O22" s="100">
        <f t="shared" si="17"/>
        <v>6.9480561695488108E-2</v>
      </c>
    </row>
    <row r="23" spans="2:15" x14ac:dyDescent="0.35">
      <c r="B23" s="97">
        <f t="shared" si="0"/>
        <v>20</v>
      </c>
      <c r="C23" s="98">
        <f t="shared" si="1"/>
        <v>49029</v>
      </c>
      <c r="D23" s="99">
        <f t="shared" si="12"/>
        <v>4.0390909090909055</v>
      </c>
      <c r="E23" s="100">
        <f t="shared" si="13"/>
        <v>-0.21075070167335808</v>
      </c>
      <c r="G23" s="97">
        <f t="shared" si="3"/>
        <v>20</v>
      </c>
      <c r="H23" s="98">
        <f t="shared" si="4"/>
        <v>49029</v>
      </c>
      <c r="I23" s="99">
        <f t="shared" si="14"/>
        <v>33.423939393939385</v>
      </c>
      <c r="J23" s="100">
        <f t="shared" si="15"/>
        <v>6.1788364311265553E-2</v>
      </c>
      <c r="L23" s="97">
        <f t="shared" si="6"/>
        <v>20</v>
      </c>
      <c r="M23" s="98">
        <f t="shared" si="7"/>
        <v>49029</v>
      </c>
      <c r="N23" s="99">
        <f t="shared" si="16"/>
        <v>6.6017899199246335</v>
      </c>
      <c r="O23" s="100">
        <f t="shared" si="17"/>
        <v>6.4966642858228507E-2</v>
      </c>
    </row>
    <row r="24" spans="2:15" x14ac:dyDescent="0.35">
      <c r="B24" s="97">
        <f t="shared" si="0"/>
        <v>21</v>
      </c>
      <c r="C24" s="98">
        <f t="shared" si="1"/>
        <v>49394</v>
      </c>
      <c r="D24" s="99">
        <f t="shared" si="12"/>
        <v>2.9605454545454535</v>
      </c>
      <c r="E24" s="100">
        <f t="shared" si="13"/>
        <v>-0.26702678370470367</v>
      </c>
      <c r="G24" s="97">
        <f t="shared" si="3"/>
        <v>21</v>
      </c>
      <c r="H24" s="98">
        <f t="shared" si="4"/>
        <v>49394</v>
      </c>
      <c r="I24" s="99">
        <f t="shared" si="14"/>
        <v>35.368969696969693</v>
      </c>
      <c r="J24" s="100">
        <f t="shared" si="15"/>
        <v>5.8192730668455983E-2</v>
      </c>
      <c r="L24" s="97">
        <f t="shared" si="6"/>
        <v>21</v>
      </c>
      <c r="M24" s="98">
        <f t="shared" si="7"/>
        <v>49394</v>
      </c>
      <c r="N24" s="99">
        <f t="shared" si="16"/>
        <v>7.0045219029674977</v>
      </c>
      <c r="O24" s="100">
        <f t="shared" si="17"/>
        <v>6.1003453294899979E-2</v>
      </c>
    </row>
  </sheetData>
  <mergeCells count="3">
    <mergeCell ref="B2:E2"/>
    <mergeCell ref="G2:J2"/>
    <mergeCell ref="L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customProperties>
    <customPr name="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93"/>
  <sheetViews>
    <sheetView showGridLines="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C79" sqref="C79"/>
    </sheetView>
  </sheetViews>
  <sheetFormatPr defaultColWidth="10.453125" defaultRowHeight="12.5" x14ac:dyDescent="0.25"/>
  <cols>
    <col min="1" max="1" width="26.7265625" style="2" bestFit="1" customWidth="1"/>
    <col min="2" max="11" width="11.453125" style="2" bestFit="1" customWidth="1"/>
    <col min="12" max="16384" width="10.453125" style="2"/>
  </cols>
  <sheetData>
    <row r="1" spans="1:11" s="1" customFormat="1" ht="13" x14ac:dyDescent="0.3">
      <c r="A1" s="1" t="s">
        <v>0</v>
      </c>
      <c r="B1" s="1" t="s">
        <v>125</v>
      </c>
      <c r="E1" s="63" t="str">
        <f>IF(B2&lt;&gt;B3, "A NEW VERSION OF THE WORKSHEET IS AVAILABLE", "")</f>
        <v/>
      </c>
      <c r="F1" s="63"/>
      <c r="G1" s="63"/>
      <c r="H1" s="63"/>
      <c r="I1" s="63"/>
      <c r="J1" s="63"/>
      <c r="K1" s="63"/>
    </row>
    <row r="2" spans="1:11" ht="13" x14ac:dyDescent="0.3">
      <c r="A2" s="1" t="s">
        <v>1</v>
      </c>
      <c r="B2" s="2">
        <v>2.1</v>
      </c>
      <c r="E2" s="101" t="s">
        <v>2</v>
      </c>
      <c r="F2" s="101"/>
      <c r="G2" s="101"/>
      <c r="H2" s="101"/>
      <c r="I2" s="101"/>
      <c r="J2" s="101"/>
      <c r="K2" s="101"/>
    </row>
    <row r="3" spans="1:11" ht="13" x14ac:dyDescent="0.3">
      <c r="A3" s="1" t="s">
        <v>3</v>
      </c>
      <c r="B3" s="2">
        <v>2.1</v>
      </c>
    </row>
    <row r="4" spans="1:11" ht="13" x14ac:dyDescent="0.3">
      <c r="A4" s="1"/>
    </row>
    <row r="5" spans="1:11" ht="13" x14ac:dyDescent="0.3">
      <c r="A5" s="1" t="s">
        <v>4</v>
      </c>
    </row>
    <row r="6" spans="1:11" x14ac:dyDescent="0.25">
      <c r="A6" s="2" t="s">
        <v>5</v>
      </c>
      <c r="B6" s="2">
        <f>IF(B9&gt;0, B9/B8, 0)</f>
        <v>1.9296767466110532</v>
      </c>
    </row>
    <row r="7" spans="1:11" x14ac:dyDescent="0.25">
      <c r="A7" s="2" t="s">
        <v>6</v>
      </c>
      <c r="B7" s="3">
        <v>10</v>
      </c>
    </row>
    <row r="8" spans="1:11" x14ac:dyDescent="0.25">
      <c r="A8" s="2" t="s">
        <v>7</v>
      </c>
      <c r="B8" s="3">
        <v>959</v>
      </c>
    </row>
    <row r="9" spans="1:11" x14ac:dyDescent="0.25">
      <c r="A9" s="2" t="s">
        <v>8</v>
      </c>
      <c r="B9" s="3">
        <v>1850.56</v>
      </c>
    </row>
    <row r="15" spans="1:11" ht="13" x14ac:dyDescent="0.3">
      <c r="A15" s="1" t="s">
        <v>9</v>
      </c>
      <c r="B15" s="2">
        <f>B26+B34</f>
        <v>2.68</v>
      </c>
      <c r="K15" s="2">
        <f>K17-K18-K20-K21-K22-K23-K19</f>
        <v>12.560000000000002</v>
      </c>
    </row>
    <row r="16" spans="1:11" s="4" customFormat="1" ht="13" x14ac:dyDescent="0.3">
      <c r="A16" s="102" t="s">
        <v>10</v>
      </c>
      <c r="B16" s="103">
        <v>42094</v>
      </c>
      <c r="C16" s="103">
        <v>42460</v>
      </c>
      <c r="D16" s="103">
        <v>42825</v>
      </c>
      <c r="E16" s="103">
        <v>43190</v>
      </c>
      <c r="F16" s="103">
        <v>43555</v>
      </c>
      <c r="G16" s="103">
        <v>43921</v>
      </c>
      <c r="H16" s="103">
        <v>44286</v>
      </c>
      <c r="I16" s="103">
        <v>44651</v>
      </c>
      <c r="J16" s="103">
        <v>45016</v>
      </c>
      <c r="K16" s="103">
        <v>45382</v>
      </c>
    </row>
    <row r="17" spans="1:11" x14ac:dyDescent="0.25">
      <c r="A17" s="2" t="s">
        <v>11</v>
      </c>
      <c r="B17" s="3">
        <v>30.96</v>
      </c>
      <c r="C17" s="3">
        <v>36.71</v>
      </c>
      <c r="D17" s="3">
        <v>19.45</v>
      </c>
      <c r="E17" s="3">
        <v>11.52</v>
      </c>
      <c r="F17" s="3">
        <v>12.44</v>
      </c>
      <c r="G17" s="3">
        <v>12.19</v>
      </c>
      <c r="H17" s="3">
        <v>12.67</v>
      </c>
      <c r="I17" s="3">
        <v>15.1</v>
      </c>
      <c r="J17" s="3">
        <v>17.73</v>
      </c>
      <c r="K17" s="3">
        <v>28.01</v>
      </c>
    </row>
    <row r="18" spans="1:11" ht="14" x14ac:dyDescent="0.3">
      <c r="A18" s="2" t="s">
        <v>12</v>
      </c>
      <c r="B18" s="5">
        <v>25.69</v>
      </c>
      <c r="C18" s="5">
        <v>31.52</v>
      </c>
      <c r="D18" s="5">
        <v>11.98</v>
      </c>
      <c r="E18" s="5">
        <v>7.45</v>
      </c>
      <c r="F18" s="5">
        <v>2.59</v>
      </c>
      <c r="G18" s="5">
        <v>4.01</v>
      </c>
      <c r="H18" s="5">
        <v>4.0599999999999996</v>
      </c>
      <c r="I18" s="5">
        <v>8.06</v>
      </c>
      <c r="J18" s="5">
        <v>5.7</v>
      </c>
      <c r="K18" s="5">
        <v>7.94</v>
      </c>
    </row>
    <row r="19" spans="1:11" ht="14" x14ac:dyDescent="0.3">
      <c r="A19" s="2" t="s">
        <v>13</v>
      </c>
      <c r="B19" s="5">
        <v>0.7</v>
      </c>
      <c r="C19" s="5">
        <v>0.36</v>
      </c>
      <c r="D19" s="5">
        <v>0.1</v>
      </c>
      <c r="E19" s="5">
        <v>-0.01</v>
      </c>
      <c r="F19" s="5">
        <v>-3.59</v>
      </c>
      <c r="G19" s="5">
        <v>-0.19</v>
      </c>
      <c r="H19" s="5">
        <v>-0.46</v>
      </c>
      <c r="I19" s="5">
        <v>2.19</v>
      </c>
      <c r="J19" s="5">
        <v>-0.27</v>
      </c>
      <c r="K19" s="5">
        <v>2.17</v>
      </c>
    </row>
    <row r="20" spans="1:11" x14ac:dyDescent="0.25">
      <c r="A20" s="2" t="s">
        <v>14</v>
      </c>
      <c r="B20" s="3">
        <v>0.02</v>
      </c>
      <c r="C20" s="3">
        <v>0.04</v>
      </c>
      <c r="D20" s="3">
        <v>0.03</v>
      </c>
      <c r="E20" s="3">
        <v>0.04</v>
      </c>
      <c r="F20" s="3">
        <v>0.04</v>
      </c>
      <c r="G20" s="3">
        <v>0.04</v>
      </c>
      <c r="H20" s="3">
        <v>0.03</v>
      </c>
      <c r="I20" s="3">
        <v>0.03</v>
      </c>
      <c r="J20" s="3">
        <v>0.05</v>
      </c>
      <c r="K20" s="3">
        <v>0.06</v>
      </c>
    </row>
    <row r="21" spans="1:11" x14ac:dyDescent="0.25">
      <c r="A21" s="2" t="s">
        <v>15</v>
      </c>
      <c r="B21" s="3">
        <v>0.06</v>
      </c>
      <c r="C21" s="3">
        <v>0.06</v>
      </c>
      <c r="D21" s="3">
        <v>0.04</v>
      </c>
      <c r="E21" s="3">
        <v>0.02</v>
      </c>
      <c r="F21" s="3">
        <v>0.01</v>
      </c>
      <c r="G21" s="3">
        <v>0.09</v>
      </c>
      <c r="H21" s="3">
        <v>0.14000000000000001</v>
      </c>
      <c r="I21" s="3">
        <v>7.0000000000000007E-2</v>
      </c>
      <c r="J21" s="3">
        <v>0.04</v>
      </c>
      <c r="K21" s="3">
        <v>0.04</v>
      </c>
    </row>
    <row r="22" spans="1:11" x14ac:dyDescent="0.25">
      <c r="A22" s="2" t="s">
        <v>16</v>
      </c>
      <c r="B22" s="3">
        <v>1.38</v>
      </c>
      <c r="C22" s="3">
        <v>1.55</v>
      </c>
      <c r="D22" s="3">
        <v>1.28</v>
      </c>
      <c r="E22" s="3">
        <v>1.19</v>
      </c>
      <c r="F22" s="3">
        <v>1.19</v>
      </c>
      <c r="G22" s="3">
        <v>1.42</v>
      </c>
      <c r="H22" s="3">
        <v>1.87</v>
      </c>
      <c r="I22" s="3">
        <v>2.81</v>
      </c>
      <c r="J22" s="3">
        <v>2.91</v>
      </c>
      <c r="K22" s="3">
        <v>3.25</v>
      </c>
    </row>
    <row r="23" spans="1:11" x14ac:dyDescent="0.25">
      <c r="A23" s="2" t="s">
        <v>17</v>
      </c>
      <c r="B23" s="3">
        <v>1.65</v>
      </c>
      <c r="C23" s="3">
        <v>1.7</v>
      </c>
      <c r="D23" s="3">
        <v>2.67</v>
      </c>
      <c r="E23" s="3">
        <v>1.94</v>
      </c>
      <c r="F23" s="3">
        <v>2.6</v>
      </c>
      <c r="G23" s="3">
        <v>2.63</v>
      </c>
      <c r="H23" s="3">
        <v>1.79</v>
      </c>
      <c r="I23" s="3">
        <v>2.71</v>
      </c>
      <c r="J23" s="3">
        <v>2.6</v>
      </c>
      <c r="K23" s="3">
        <v>1.99</v>
      </c>
    </row>
    <row r="24" spans="1:11" x14ac:dyDescent="0.25">
      <c r="A24" s="2" t="s">
        <v>18</v>
      </c>
      <c r="B24" s="3">
        <v>0.6</v>
      </c>
      <c r="C24" s="3">
        <v>1.26</v>
      </c>
      <c r="D24" s="3">
        <v>2.09</v>
      </c>
      <c r="E24" s="3">
        <v>1.4</v>
      </c>
      <c r="F24" s="3">
        <v>0.39</v>
      </c>
      <c r="G24" s="3">
        <v>1.26</v>
      </c>
      <c r="H24" s="3">
        <v>3.35</v>
      </c>
      <c r="I24" s="3">
        <v>0.15</v>
      </c>
      <c r="J24" s="3">
        <v>2.21</v>
      </c>
      <c r="K24" s="3">
        <v>0.41</v>
      </c>
    </row>
    <row r="25" spans="1:11" x14ac:dyDescent="0.25">
      <c r="A25" s="2" t="s">
        <v>19</v>
      </c>
      <c r="B25" s="3">
        <v>0.14000000000000001</v>
      </c>
      <c r="C25" s="3">
        <v>0.59</v>
      </c>
      <c r="D25" s="3">
        <v>-0.91</v>
      </c>
      <c r="E25" s="3">
        <v>-6.35</v>
      </c>
      <c r="F25" s="3">
        <v>0.45</v>
      </c>
      <c r="G25" s="3">
        <v>-0.05</v>
      </c>
      <c r="H25" s="3">
        <v>5.41</v>
      </c>
      <c r="I25" s="3">
        <v>11.06</v>
      </c>
      <c r="J25" s="3">
        <v>3.7</v>
      </c>
      <c r="K25" s="3">
        <v>4.6100000000000003</v>
      </c>
    </row>
    <row r="26" spans="1:11" x14ac:dyDescent="0.25">
      <c r="A26" s="2" t="s">
        <v>20</v>
      </c>
      <c r="B26" s="3">
        <v>0.28999999999999998</v>
      </c>
      <c r="C26" s="3">
        <v>0.3</v>
      </c>
      <c r="D26" s="3">
        <v>0.33</v>
      </c>
      <c r="E26" s="3">
        <v>0.37</v>
      </c>
      <c r="F26" s="3">
        <v>0.46</v>
      </c>
      <c r="G26" s="3">
        <v>0.47</v>
      </c>
      <c r="H26" s="3">
        <v>0.47</v>
      </c>
      <c r="I26" s="3">
        <v>0.47</v>
      </c>
      <c r="J26" s="3">
        <v>0.93</v>
      </c>
      <c r="K26" s="3">
        <v>0.8</v>
      </c>
    </row>
    <row r="27" spans="1:11" ht="14" x14ac:dyDescent="0.3">
      <c r="A27" s="2" t="s">
        <v>21</v>
      </c>
      <c r="B27" s="3">
        <v>0.86</v>
      </c>
      <c r="C27" s="3">
        <v>0.97</v>
      </c>
      <c r="D27" s="3">
        <v>1.25</v>
      </c>
      <c r="E27" s="3">
        <v>1.19</v>
      </c>
      <c r="F27" s="3">
        <v>1.01</v>
      </c>
      <c r="G27" s="3">
        <v>0.8</v>
      </c>
      <c r="H27" s="3">
        <v>0.44</v>
      </c>
      <c r="I27" s="3">
        <v>0.04</v>
      </c>
      <c r="J27" s="5">
        <v>0.18</v>
      </c>
      <c r="K27" s="5">
        <v>0.71</v>
      </c>
    </row>
    <row r="28" spans="1:11" x14ac:dyDescent="0.25">
      <c r="A28" s="2" t="s">
        <v>22</v>
      </c>
      <c r="B28" s="3">
        <v>1.25</v>
      </c>
      <c r="C28" s="3">
        <v>0.26</v>
      </c>
      <c r="D28" s="3">
        <v>-1.03</v>
      </c>
      <c r="E28" s="3">
        <v>-8.44</v>
      </c>
      <c r="F28" s="3">
        <v>1.01</v>
      </c>
      <c r="G28" s="3">
        <v>1.23</v>
      </c>
      <c r="H28" s="3">
        <v>5.47</v>
      </c>
      <c r="I28" s="3">
        <v>14.01</v>
      </c>
      <c r="J28" s="3">
        <v>6.54</v>
      </c>
      <c r="K28" s="3">
        <v>19.59</v>
      </c>
    </row>
    <row r="29" spans="1:11" x14ac:dyDescent="0.25">
      <c r="A29" s="2" t="s">
        <v>23</v>
      </c>
      <c r="B29" s="3">
        <v>0.31</v>
      </c>
      <c r="C29" s="3">
        <v>0.09</v>
      </c>
      <c r="D29" s="3">
        <v>-0.05</v>
      </c>
      <c r="E29" s="3"/>
      <c r="F29" s="3">
        <v>-0.31</v>
      </c>
      <c r="G29" s="3">
        <v>0.11</v>
      </c>
      <c r="H29" s="3">
        <v>1.1000000000000001</v>
      </c>
      <c r="I29" s="3">
        <v>1.51</v>
      </c>
      <c r="J29" s="3">
        <v>0.37</v>
      </c>
      <c r="K29" s="3">
        <v>3.4</v>
      </c>
    </row>
    <row r="30" spans="1:11" x14ac:dyDescent="0.25">
      <c r="A30" s="2" t="s">
        <v>24</v>
      </c>
      <c r="B30" s="3">
        <v>0.93</v>
      </c>
      <c r="C30" s="3">
        <v>0.16</v>
      </c>
      <c r="D30" s="3">
        <v>-0.98</v>
      </c>
      <c r="E30" s="3">
        <v>-8.44</v>
      </c>
      <c r="F30" s="3">
        <v>1.32</v>
      </c>
      <c r="G30" s="3">
        <v>1.1200000000000001</v>
      </c>
      <c r="H30" s="3">
        <v>4.38</v>
      </c>
      <c r="I30" s="3">
        <v>12.49</v>
      </c>
      <c r="J30" s="3">
        <v>6.17</v>
      </c>
      <c r="K30" s="3">
        <v>16.190000000000001</v>
      </c>
    </row>
    <row r="31" spans="1:11" x14ac:dyDescent="0.25">
      <c r="A31" s="2" t="s">
        <v>25</v>
      </c>
      <c r="B31" s="3"/>
      <c r="C31" s="3"/>
      <c r="D31" s="3"/>
      <c r="E31" s="3"/>
      <c r="F31" s="3"/>
      <c r="G31" s="3"/>
      <c r="H31" s="3"/>
      <c r="I31" s="3">
        <v>1.93</v>
      </c>
      <c r="J31" s="3"/>
      <c r="K31" s="3"/>
    </row>
    <row r="32" spans="1:11" x14ac:dyDescent="0.25">
      <c r="A32" s="2" t="s">
        <v>26</v>
      </c>
      <c r="B32" s="6">
        <f>B29/B28</f>
        <v>0.248</v>
      </c>
      <c r="C32" s="6">
        <f t="shared" ref="C32:K32" si="0">C29/C28</f>
        <v>0.34615384615384615</v>
      </c>
      <c r="D32" s="6">
        <f t="shared" si="0"/>
        <v>4.8543689320388349E-2</v>
      </c>
      <c r="E32" s="6">
        <f t="shared" si="0"/>
        <v>0</v>
      </c>
      <c r="F32" s="6">
        <f t="shared" si="0"/>
        <v>-0.30693069306930693</v>
      </c>
      <c r="G32" s="6">
        <f t="shared" si="0"/>
        <v>8.943089430894309E-2</v>
      </c>
      <c r="H32" s="6">
        <f t="shared" si="0"/>
        <v>0.20109689213893969</v>
      </c>
      <c r="I32" s="6">
        <f t="shared" si="0"/>
        <v>0.10778015703069237</v>
      </c>
      <c r="J32" s="6">
        <f t="shared" si="0"/>
        <v>5.657492354740061E-2</v>
      </c>
      <c r="K32" s="6">
        <f t="shared" si="0"/>
        <v>0.17355793772332823</v>
      </c>
    </row>
    <row r="34" spans="1:11" x14ac:dyDescent="0.25">
      <c r="A34" s="2" t="s">
        <v>27</v>
      </c>
      <c r="B34" s="2">
        <f>+B30+B29+B27+B26</f>
        <v>2.39</v>
      </c>
      <c r="C34" s="2">
        <f t="shared" ref="C34:K34" si="1">+C30+C29+C27+C26</f>
        <v>1.52</v>
      </c>
      <c r="D34" s="2">
        <f t="shared" si="1"/>
        <v>0.55000000000000004</v>
      </c>
      <c r="E34" s="2">
        <f t="shared" si="1"/>
        <v>-6.88</v>
      </c>
      <c r="F34" s="2">
        <f t="shared" si="1"/>
        <v>2.48</v>
      </c>
      <c r="G34" s="2">
        <f t="shared" si="1"/>
        <v>2.5</v>
      </c>
      <c r="H34" s="2">
        <f t="shared" si="1"/>
        <v>6.3900000000000006</v>
      </c>
      <c r="I34" s="2">
        <f t="shared" si="1"/>
        <v>14.51</v>
      </c>
      <c r="J34" s="2">
        <f t="shared" si="1"/>
        <v>7.6499999999999995</v>
      </c>
      <c r="K34" s="2">
        <f t="shared" si="1"/>
        <v>21.1</v>
      </c>
    </row>
    <row r="40" spans="1:11" ht="13" x14ac:dyDescent="0.3">
      <c r="A40" s="1" t="s">
        <v>28</v>
      </c>
    </row>
    <row r="41" spans="1:11" s="4" customFormat="1" ht="13" x14ac:dyDescent="0.3">
      <c r="A41" s="102" t="s">
        <v>10</v>
      </c>
      <c r="B41" s="103">
        <v>44651</v>
      </c>
      <c r="C41" s="103">
        <v>44742</v>
      </c>
      <c r="D41" s="103">
        <v>44834</v>
      </c>
      <c r="E41" s="103">
        <v>44926</v>
      </c>
      <c r="F41" s="103">
        <v>45016</v>
      </c>
      <c r="G41" s="103">
        <v>45107</v>
      </c>
      <c r="H41" s="103">
        <v>45199</v>
      </c>
      <c r="I41" s="103">
        <v>45291</v>
      </c>
      <c r="J41" s="103">
        <v>45382</v>
      </c>
      <c r="K41" s="103">
        <v>45473</v>
      </c>
    </row>
    <row r="42" spans="1:11" x14ac:dyDescent="0.25">
      <c r="A42" s="2" t="s">
        <v>11</v>
      </c>
      <c r="B42" s="3">
        <v>4.9800000000000004</v>
      </c>
      <c r="C42" s="3">
        <v>5.52</v>
      </c>
      <c r="D42" s="3">
        <v>3.61</v>
      </c>
      <c r="E42" s="3">
        <v>3.56</v>
      </c>
      <c r="F42" s="3">
        <v>5.04</v>
      </c>
      <c r="G42" s="3">
        <v>5.39</v>
      </c>
      <c r="H42" s="3">
        <v>7.1</v>
      </c>
      <c r="I42" s="3">
        <v>7.47</v>
      </c>
      <c r="J42" s="3">
        <v>8.06</v>
      </c>
      <c r="K42" s="3">
        <v>11.4</v>
      </c>
    </row>
    <row r="43" spans="1:11" x14ac:dyDescent="0.25">
      <c r="A43" s="2" t="s">
        <v>29</v>
      </c>
      <c r="B43" s="3">
        <v>3.91</v>
      </c>
      <c r="C43" s="3">
        <v>1.9</v>
      </c>
      <c r="D43" s="3">
        <v>2.0299999999999998</v>
      </c>
      <c r="E43" s="3">
        <v>1.98</v>
      </c>
      <c r="F43" s="3">
        <v>7.91</v>
      </c>
      <c r="G43" s="3">
        <v>2.13</v>
      </c>
      <c r="H43" s="3">
        <v>2.82</v>
      </c>
      <c r="I43" s="3">
        <v>2.33</v>
      </c>
      <c r="J43" s="3">
        <v>4.26</v>
      </c>
      <c r="K43" s="3">
        <v>3.19</v>
      </c>
    </row>
    <row r="44" spans="1:11" x14ac:dyDescent="0.25">
      <c r="A44" s="2" t="s">
        <v>19</v>
      </c>
      <c r="B44" s="3">
        <v>1.18</v>
      </c>
      <c r="C44" s="3">
        <v>-0.6</v>
      </c>
      <c r="D44" s="3">
        <v>2.13</v>
      </c>
      <c r="E44" s="3">
        <v>2.4</v>
      </c>
      <c r="F44" s="3">
        <v>-0.24</v>
      </c>
      <c r="G44" s="3">
        <v>1.33</v>
      </c>
      <c r="H44" s="3">
        <v>1.48</v>
      </c>
      <c r="I44" s="3">
        <v>1.3</v>
      </c>
      <c r="J44" s="3">
        <v>0.5</v>
      </c>
      <c r="K44" s="3">
        <v>1.1299999999999999</v>
      </c>
    </row>
    <row r="45" spans="1:11" x14ac:dyDescent="0.25">
      <c r="A45" s="2" t="s">
        <v>20</v>
      </c>
      <c r="B45" s="3">
        <v>0.12</v>
      </c>
      <c r="C45" s="3">
        <v>0.24</v>
      </c>
      <c r="D45" s="3">
        <v>0.24</v>
      </c>
      <c r="E45" s="3">
        <v>0.24</v>
      </c>
      <c r="F45" s="3">
        <v>0.2</v>
      </c>
      <c r="G45" s="3">
        <v>0.45</v>
      </c>
      <c r="H45" s="3">
        <v>0.25</v>
      </c>
      <c r="I45" s="3">
        <v>0.34</v>
      </c>
      <c r="J45" s="3">
        <v>-0.26</v>
      </c>
      <c r="K45" s="3">
        <v>0.24</v>
      </c>
    </row>
    <row r="46" spans="1:11" ht="14" x14ac:dyDescent="0.3">
      <c r="A46" s="2" t="s">
        <v>21</v>
      </c>
      <c r="B46" s="5"/>
      <c r="C46" s="5">
        <v>0.04</v>
      </c>
      <c r="D46" s="5">
        <v>0.04</v>
      </c>
      <c r="E46" s="5">
        <v>0.03</v>
      </c>
      <c r="F46" s="5">
        <v>0.03</v>
      </c>
      <c r="G46" s="5">
        <v>0.12</v>
      </c>
      <c r="H46" s="5">
        <v>0.12</v>
      </c>
      <c r="I46" s="5">
        <v>0.11</v>
      </c>
      <c r="J46" s="5">
        <v>0.35</v>
      </c>
      <c r="K46" s="5">
        <v>0.17</v>
      </c>
    </row>
    <row r="47" spans="1:11" x14ac:dyDescent="0.25">
      <c r="A47" s="2" t="s">
        <v>22</v>
      </c>
      <c r="B47" s="3">
        <v>2.13</v>
      </c>
      <c r="C47" s="3">
        <v>2.74</v>
      </c>
      <c r="D47" s="3">
        <v>3.43</v>
      </c>
      <c r="E47" s="3">
        <v>3.71</v>
      </c>
      <c r="F47" s="3">
        <v>-3.34</v>
      </c>
      <c r="G47" s="3">
        <v>4.0199999999999996</v>
      </c>
      <c r="H47" s="3">
        <v>5.39</v>
      </c>
      <c r="I47" s="3">
        <v>5.99</v>
      </c>
      <c r="J47" s="3">
        <v>4.21</v>
      </c>
      <c r="K47" s="3">
        <v>8.93</v>
      </c>
    </row>
    <row r="48" spans="1:11" x14ac:dyDescent="0.25">
      <c r="A48" s="2" t="s">
        <v>23</v>
      </c>
      <c r="B48" s="3">
        <v>1.52</v>
      </c>
      <c r="C48" s="3"/>
      <c r="D48" s="3"/>
      <c r="E48" s="3"/>
      <c r="F48" s="3">
        <v>0.37</v>
      </c>
      <c r="G48" s="3">
        <v>0.28999999999999998</v>
      </c>
      <c r="H48" s="3">
        <v>0.56999999999999995</v>
      </c>
      <c r="I48" s="3">
        <v>1.02</v>
      </c>
      <c r="J48" s="3">
        <v>1.52</v>
      </c>
      <c r="K48" s="3">
        <v>1.52</v>
      </c>
    </row>
    <row r="49" spans="1:11" x14ac:dyDescent="0.25">
      <c r="A49" s="2" t="s">
        <v>24</v>
      </c>
      <c r="B49" s="3">
        <v>0.61</v>
      </c>
      <c r="C49" s="3">
        <v>2.74</v>
      </c>
      <c r="D49" s="3">
        <v>3.43</v>
      </c>
      <c r="E49" s="3">
        <v>3.71</v>
      </c>
      <c r="F49" s="3">
        <v>-3.71</v>
      </c>
      <c r="G49" s="3">
        <v>3.73</v>
      </c>
      <c r="H49" s="3">
        <v>4.82</v>
      </c>
      <c r="I49" s="3">
        <v>4.97</v>
      </c>
      <c r="J49" s="3">
        <v>2.69</v>
      </c>
      <c r="K49" s="3">
        <v>7.41</v>
      </c>
    </row>
    <row r="50" spans="1:11" x14ac:dyDescent="0.25">
      <c r="A50" s="2" t="s">
        <v>30</v>
      </c>
      <c r="B50" s="3">
        <v>1.07</v>
      </c>
      <c r="C50" s="3">
        <v>3.62</v>
      </c>
      <c r="D50" s="3">
        <v>1.58</v>
      </c>
      <c r="E50" s="3">
        <v>1.58</v>
      </c>
      <c r="F50" s="3">
        <v>-2.87</v>
      </c>
      <c r="G50" s="3">
        <v>3.26</v>
      </c>
      <c r="H50" s="3">
        <v>4.28</v>
      </c>
      <c r="I50" s="3">
        <v>5.14</v>
      </c>
      <c r="J50" s="3">
        <v>3.8</v>
      </c>
      <c r="K50" s="3">
        <v>8.2100000000000009</v>
      </c>
    </row>
    <row r="51" spans="1:11" x14ac:dyDescent="0.25">
      <c r="A51" s="2" t="s">
        <v>27</v>
      </c>
      <c r="B51" s="2">
        <f>B49+B48+B46+B45</f>
        <v>2.25</v>
      </c>
      <c r="C51" s="2">
        <f t="shared" ref="C51:K51" si="2">C49+C48+C46+C45</f>
        <v>3.0200000000000005</v>
      </c>
      <c r="D51" s="2">
        <f t="shared" si="2"/>
        <v>3.71</v>
      </c>
      <c r="E51" s="2">
        <f t="shared" si="2"/>
        <v>3.9799999999999995</v>
      </c>
      <c r="F51" s="2">
        <f t="shared" si="2"/>
        <v>-3.11</v>
      </c>
      <c r="G51" s="2">
        <f t="shared" si="2"/>
        <v>4.59</v>
      </c>
      <c r="H51" s="2">
        <f t="shared" si="2"/>
        <v>5.7600000000000007</v>
      </c>
      <c r="I51" s="2">
        <f t="shared" si="2"/>
        <v>6.44</v>
      </c>
      <c r="J51" s="2">
        <f t="shared" si="2"/>
        <v>4.3</v>
      </c>
      <c r="K51" s="2">
        <f t="shared" si="2"/>
        <v>9.34</v>
      </c>
    </row>
    <row r="55" spans="1:11" ht="13" x14ac:dyDescent="0.3">
      <c r="A55" s="1" t="s">
        <v>31</v>
      </c>
    </row>
    <row r="56" spans="1:11" s="4" customFormat="1" ht="13" x14ac:dyDescent="0.3">
      <c r="A56" s="102" t="s">
        <v>10</v>
      </c>
      <c r="B56" s="103">
        <v>42094</v>
      </c>
      <c r="C56" s="103">
        <v>42460</v>
      </c>
      <c r="D56" s="103">
        <v>42825</v>
      </c>
      <c r="E56" s="103">
        <v>43190</v>
      </c>
      <c r="F56" s="103">
        <v>43555</v>
      </c>
      <c r="G56" s="103">
        <v>43921</v>
      </c>
      <c r="H56" s="103">
        <v>44286</v>
      </c>
      <c r="I56" s="103">
        <v>44651</v>
      </c>
      <c r="J56" s="103">
        <v>45016</v>
      </c>
      <c r="K56" s="103">
        <v>45382</v>
      </c>
    </row>
    <row r="57" spans="1:11" x14ac:dyDescent="0.25">
      <c r="A57" s="2" t="s">
        <v>32</v>
      </c>
      <c r="B57" s="3">
        <v>17.54</v>
      </c>
      <c r="C57" s="3">
        <v>17.54</v>
      </c>
      <c r="D57" s="3">
        <v>17.54</v>
      </c>
      <c r="E57" s="3">
        <v>17.54</v>
      </c>
      <c r="F57" s="3">
        <v>17.54</v>
      </c>
      <c r="G57" s="3">
        <v>19.3</v>
      </c>
      <c r="H57" s="3">
        <v>19.3</v>
      </c>
      <c r="I57" s="3">
        <v>19.3</v>
      </c>
      <c r="J57" s="3">
        <v>19.3</v>
      </c>
      <c r="K57" s="3">
        <v>19.3</v>
      </c>
    </row>
    <row r="58" spans="1:11" x14ac:dyDescent="0.25">
      <c r="A58" s="2" t="s">
        <v>33</v>
      </c>
      <c r="B58" s="3">
        <v>13.38</v>
      </c>
      <c r="C58" s="3">
        <v>13.54</v>
      </c>
      <c r="D58" s="3">
        <v>11.31</v>
      </c>
      <c r="E58" s="3">
        <v>7.46</v>
      </c>
      <c r="F58" s="3">
        <v>7.94</v>
      </c>
      <c r="G58" s="3">
        <v>6.04</v>
      </c>
      <c r="H58" s="3">
        <v>13.98</v>
      </c>
      <c r="I58" s="3">
        <v>31.63</v>
      </c>
      <c r="J58" s="3">
        <v>28.6</v>
      </c>
      <c r="K58" s="3">
        <v>46.07</v>
      </c>
    </row>
    <row r="59" spans="1:11" ht="14" x14ac:dyDescent="0.3">
      <c r="A59" s="2" t="s">
        <v>34</v>
      </c>
      <c r="B59" s="5">
        <v>17.28</v>
      </c>
      <c r="C59" s="5">
        <v>19.05</v>
      </c>
      <c r="D59" s="5">
        <v>19.809999999999999</v>
      </c>
      <c r="E59" s="5">
        <v>20.39</v>
      </c>
      <c r="F59" s="5">
        <v>17.739999999999998</v>
      </c>
      <c r="G59" s="5">
        <v>16.329999999999998</v>
      </c>
      <c r="H59" s="5">
        <v>9.4</v>
      </c>
      <c r="I59" s="5">
        <v>9.65</v>
      </c>
      <c r="J59" s="5">
        <v>0.9</v>
      </c>
      <c r="K59" s="5">
        <v>4.93</v>
      </c>
    </row>
    <row r="60" spans="1:11" x14ac:dyDescent="0.25">
      <c r="A60" s="2" t="s">
        <v>35</v>
      </c>
      <c r="B60" s="3">
        <v>14.93</v>
      </c>
      <c r="C60" s="3">
        <v>23.7</v>
      </c>
      <c r="D60" s="3">
        <v>6.42</v>
      </c>
      <c r="E60" s="3">
        <v>2.8</v>
      </c>
      <c r="F60" s="3">
        <v>2.34</v>
      </c>
      <c r="G60" s="3">
        <v>3.21</v>
      </c>
      <c r="H60" s="3">
        <v>2.36</v>
      </c>
      <c r="I60" s="3">
        <v>6.21</v>
      </c>
      <c r="J60" s="3">
        <v>13.49</v>
      </c>
      <c r="K60" s="3">
        <v>7.4</v>
      </c>
    </row>
    <row r="61" spans="1:11" s="1" customFormat="1" ht="13" x14ac:dyDescent="0.3">
      <c r="A61" s="1" t="s">
        <v>36</v>
      </c>
      <c r="B61" s="3">
        <v>63.13</v>
      </c>
      <c r="C61" s="3">
        <v>73.83</v>
      </c>
      <c r="D61" s="3">
        <v>55.08</v>
      </c>
      <c r="E61" s="3">
        <v>48.19</v>
      </c>
      <c r="F61" s="3">
        <v>45.56</v>
      </c>
      <c r="G61" s="3">
        <v>44.88</v>
      </c>
      <c r="H61" s="3">
        <v>45.04</v>
      </c>
      <c r="I61" s="3">
        <v>66.790000000000006</v>
      </c>
      <c r="J61" s="3">
        <v>62.29</v>
      </c>
      <c r="K61" s="3">
        <v>77.7</v>
      </c>
    </row>
    <row r="62" spans="1:11" x14ac:dyDescent="0.25">
      <c r="A62" s="2" t="s">
        <v>37</v>
      </c>
      <c r="B62" s="3">
        <v>13.4</v>
      </c>
      <c r="C62" s="3">
        <v>14.32</v>
      </c>
      <c r="D62" s="3">
        <v>14.41</v>
      </c>
      <c r="E62" s="3">
        <v>22.18</v>
      </c>
      <c r="F62" s="3">
        <v>21.81</v>
      </c>
      <c r="G62" s="3">
        <v>21.86</v>
      </c>
      <c r="H62" s="3">
        <v>21.65</v>
      </c>
      <c r="I62" s="3">
        <v>20.41</v>
      </c>
      <c r="J62" s="3">
        <v>33.71</v>
      </c>
      <c r="K62" s="3">
        <v>39.340000000000003</v>
      </c>
    </row>
    <row r="63" spans="1:11" x14ac:dyDescent="0.25">
      <c r="A63" s="2" t="s">
        <v>38</v>
      </c>
      <c r="B63" s="3">
        <v>7.52</v>
      </c>
      <c r="C63" s="3">
        <v>7.52</v>
      </c>
      <c r="D63" s="3">
        <v>8.6199999999999992</v>
      </c>
      <c r="E63" s="3"/>
      <c r="F63" s="3"/>
      <c r="G63" s="3"/>
      <c r="H63" s="3"/>
      <c r="I63" s="3"/>
      <c r="J63" s="3"/>
      <c r="K63" s="3"/>
    </row>
    <row r="64" spans="1:11" ht="14" x14ac:dyDescent="0.3">
      <c r="A64" s="2" t="s">
        <v>39</v>
      </c>
      <c r="B64" s="3">
        <v>6.63</v>
      </c>
      <c r="C64" s="5">
        <v>8.14</v>
      </c>
      <c r="D64" s="3">
        <v>3.28</v>
      </c>
      <c r="E64" s="3">
        <v>4.3099999999999996</v>
      </c>
      <c r="F64" s="3">
        <v>3.88</v>
      </c>
      <c r="G64" s="3">
        <v>3.89</v>
      </c>
      <c r="H64" s="3">
        <v>8.31</v>
      </c>
      <c r="I64" s="3">
        <v>21</v>
      </c>
      <c r="J64" s="3">
        <v>15.65</v>
      </c>
      <c r="K64" s="3">
        <v>16.399999999999999</v>
      </c>
    </row>
    <row r="65" spans="1:11" x14ac:dyDescent="0.25">
      <c r="A65" s="2" t="s">
        <v>40</v>
      </c>
      <c r="B65" s="3">
        <v>35.58</v>
      </c>
      <c r="C65" s="3">
        <v>43.85</v>
      </c>
      <c r="D65" s="3">
        <v>28.77</v>
      </c>
      <c r="E65" s="3">
        <v>21.7</v>
      </c>
      <c r="F65" s="3">
        <v>19.87</v>
      </c>
      <c r="G65" s="3">
        <v>19.13</v>
      </c>
      <c r="H65" s="3">
        <v>15.08</v>
      </c>
      <c r="I65" s="3">
        <v>25.38</v>
      </c>
      <c r="J65" s="3">
        <v>12.93</v>
      </c>
      <c r="K65" s="3">
        <v>21.96</v>
      </c>
    </row>
    <row r="66" spans="1:11" s="1" customFormat="1" ht="13" x14ac:dyDescent="0.3">
      <c r="A66" s="1" t="s">
        <v>36</v>
      </c>
      <c r="B66" s="3">
        <v>63.13</v>
      </c>
      <c r="C66" s="3">
        <v>73.83</v>
      </c>
      <c r="D66" s="3">
        <v>55.08</v>
      </c>
      <c r="E66" s="3">
        <v>48.19</v>
      </c>
      <c r="F66" s="3">
        <v>45.56</v>
      </c>
      <c r="G66" s="3">
        <v>44.88</v>
      </c>
      <c r="H66" s="3">
        <v>45.04</v>
      </c>
      <c r="I66" s="3">
        <v>66.790000000000006</v>
      </c>
      <c r="J66" s="3">
        <v>62.29</v>
      </c>
      <c r="K66" s="3">
        <v>77.7</v>
      </c>
    </row>
    <row r="67" spans="1:11" x14ac:dyDescent="0.25">
      <c r="A67" s="2" t="s">
        <v>41</v>
      </c>
      <c r="B67" s="3">
        <v>16.46</v>
      </c>
      <c r="C67" s="3">
        <v>23.8</v>
      </c>
      <c r="D67" s="3">
        <v>10.34</v>
      </c>
      <c r="E67" s="3">
        <v>4.46</v>
      </c>
      <c r="F67" s="3">
        <v>4.25</v>
      </c>
      <c r="G67" s="3">
        <v>2.42</v>
      </c>
      <c r="H67" s="3">
        <v>1.1000000000000001</v>
      </c>
      <c r="I67" s="3">
        <v>1.01</v>
      </c>
      <c r="J67" s="3">
        <v>1.74</v>
      </c>
      <c r="K67" s="3">
        <v>4.45</v>
      </c>
    </row>
    <row r="68" spans="1:11" ht="14" x14ac:dyDescent="0.3">
      <c r="A68" s="2" t="s">
        <v>42</v>
      </c>
      <c r="B68" s="5">
        <v>8.51</v>
      </c>
      <c r="C68" s="5">
        <v>8.86</v>
      </c>
      <c r="D68" s="5">
        <v>8.9600000000000009</v>
      </c>
      <c r="E68" s="5">
        <v>6.47</v>
      </c>
      <c r="F68" s="5">
        <v>2.87</v>
      </c>
      <c r="G68" s="5">
        <v>2.69</v>
      </c>
      <c r="H68" s="5">
        <v>2.2000000000000002</v>
      </c>
      <c r="I68" s="5">
        <v>4.38</v>
      </c>
      <c r="J68" s="5">
        <v>4.1100000000000003</v>
      </c>
      <c r="K68" s="5">
        <v>6.28</v>
      </c>
    </row>
    <row r="69" spans="1:11" x14ac:dyDescent="0.25">
      <c r="A69" s="2" t="s">
        <v>43</v>
      </c>
      <c r="B69" s="3">
        <v>0.14000000000000001</v>
      </c>
      <c r="C69" s="3">
        <v>0.28999999999999998</v>
      </c>
      <c r="D69" s="3">
        <v>0.1</v>
      </c>
      <c r="E69" s="3">
        <v>0.13</v>
      </c>
      <c r="F69" s="3">
        <v>0.02</v>
      </c>
      <c r="G69" s="3">
        <v>0.02</v>
      </c>
      <c r="H69" s="3">
        <v>0.36</v>
      </c>
      <c r="I69" s="3">
        <v>9.8000000000000007</v>
      </c>
      <c r="J69" s="3">
        <v>0.24</v>
      </c>
      <c r="K69" s="3">
        <v>0.69</v>
      </c>
    </row>
    <row r="70" spans="1:11" x14ac:dyDescent="0.25">
      <c r="A70" s="2" t="s">
        <v>44</v>
      </c>
      <c r="B70" s="3">
        <v>17542500</v>
      </c>
      <c r="C70" s="3">
        <v>17542500</v>
      </c>
      <c r="D70" s="3">
        <v>17542500</v>
      </c>
      <c r="E70" s="3">
        <v>17542500</v>
      </c>
      <c r="F70" s="3">
        <v>17542500</v>
      </c>
      <c r="G70" s="3">
        <v>19296750</v>
      </c>
      <c r="H70" s="3">
        <v>19296750</v>
      </c>
      <c r="I70" s="3">
        <v>19296750</v>
      </c>
      <c r="J70" s="3">
        <v>19296750</v>
      </c>
      <c r="K70" s="3">
        <v>19296750</v>
      </c>
    </row>
    <row r="71" spans="1:11" ht="14.5" x14ac:dyDescent="0.35">
      <c r="A71" s="2" t="s">
        <v>45</v>
      </c>
      <c r="B71" s="7"/>
      <c r="C71" s="7"/>
      <c r="E71"/>
      <c r="G71" s="7"/>
      <c r="H71" s="7"/>
    </row>
    <row r="72" spans="1:11" x14ac:dyDescent="0.25">
      <c r="A72" s="2" t="s">
        <v>46</v>
      </c>
      <c r="B72" s="3">
        <v>10</v>
      </c>
      <c r="C72" s="3">
        <v>10</v>
      </c>
      <c r="D72" s="3">
        <v>10</v>
      </c>
      <c r="E72" s="3">
        <v>10</v>
      </c>
      <c r="F72" s="3">
        <v>10</v>
      </c>
      <c r="G72" s="3">
        <v>10</v>
      </c>
      <c r="H72" s="3">
        <v>10</v>
      </c>
      <c r="I72" s="3">
        <v>10</v>
      </c>
      <c r="J72" s="3">
        <v>10</v>
      </c>
      <c r="K72" s="3">
        <v>10</v>
      </c>
    </row>
    <row r="73" spans="1:11" x14ac:dyDescent="0.25">
      <c r="H73" s="2">
        <f>H62-G62+H45</f>
        <v>3.9999999999999147E-2</v>
      </c>
      <c r="I73" s="2">
        <f t="shared" ref="I73:K73" si="3">I62-H62+I45</f>
        <v>-0.89999999999999836</v>
      </c>
      <c r="J73" s="2">
        <f t="shared" si="3"/>
        <v>13.040000000000001</v>
      </c>
      <c r="K73" s="2">
        <f t="shared" si="3"/>
        <v>5.8700000000000028</v>
      </c>
    </row>
    <row r="80" spans="1:11" ht="13" x14ac:dyDescent="0.3">
      <c r="A80" s="1" t="s">
        <v>47</v>
      </c>
    </row>
    <row r="81" spans="1:12" s="4" customFormat="1" ht="13" x14ac:dyDescent="0.3">
      <c r="A81" s="102" t="s">
        <v>10</v>
      </c>
      <c r="B81" s="103">
        <v>42094</v>
      </c>
      <c r="C81" s="103">
        <v>42460</v>
      </c>
      <c r="D81" s="103">
        <v>42825</v>
      </c>
      <c r="E81" s="103">
        <v>43190</v>
      </c>
      <c r="F81" s="103">
        <v>43555</v>
      </c>
      <c r="G81" s="103">
        <v>43921</v>
      </c>
      <c r="H81" s="103">
        <v>44286</v>
      </c>
      <c r="I81" s="103">
        <v>44651</v>
      </c>
      <c r="J81" s="103">
        <v>45016</v>
      </c>
      <c r="K81" s="103">
        <v>45382</v>
      </c>
      <c r="L81" s="103"/>
    </row>
    <row r="82" spans="1:12" s="1" customFormat="1" ht="13" x14ac:dyDescent="0.3">
      <c r="A82" s="2" t="s">
        <v>48</v>
      </c>
      <c r="B82" s="3">
        <v>1</v>
      </c>
      <c r="C82" s="3">
        <v>2.27</v>
      </c>
      <c r="D82" s="3">
        <v>-0.56999999999999995</v>
      </c>
      <c r="E82" s="3">
        <v>0.75</v>
      </c>
      <c r="F82" s="3">
        <v>6.67</v>
      </c>
      <c r="G82" s="3">
        <v>5.5</v>
      </c>
      <c r="H82" s="3">
        <v>7.2</v>
      </c>
      <c r="I82" s="3">
        <v>0.55000000000000004</v>
      </c>
      <c r="J82" s="3">
        <v>16.559999999999999</v>
      </c>
      <c r="K82" s="3">
        <v>-2.09</v>
      </c>
    </row>
    <row r="83" spans="1:12" x14ac:dyDescent="0.25">
      <c r="A83" s="2" t="s">
        <v>49</v>
      </c>
      <c r="B83" s="3">
        <v>-1.1000000000000001</v>
      </c>
      <c r="C83" s="3">
        <v>-2.81</v>
      </c>
      <c r="D83" s="3">
        <v>0.85</v>
      </c>
      <c r="E83" s="3">
        <v>0.08</v>
      </c>
      <c r="F83" s="3">
        <v>-3.12</v>
      </c>
      <c r="G83" s="3">
        <v>-3.54</v>
      </c>
      <c r="H83" s="3">
        <v>-0.27</v>
      </c>
      <c r="I83" s="3">
        <v>7.64</v>
      </c>
      <c r="J83" s="3">
        <v>-24.62</v>
      </c>
      <c r="K83" s="3">
        <v>2.54</v>
      </c>
    </row>
    <row r="84" spans="1:12" x14ac:dyDescent="0.25">
      <c r="A84" s="2" t="s">
        <v>50</v>
      </c>
      <c r="B84" s="3">
        <v>0.19</v>
      </c>
      <c r="C84" s="3">
        <v>0.69</v>
      </c>
      <c r="D84" s="3">
        <v>-0.48</v>
      </c>
      <c r="E84" s="3">
        <v>-0.6</v>
      </c>
      <c r="F84" s="3">
        <v>-3.66</v>
      </c>
      <c r="G84" s="3">
        <v>-1.96</v>
      </c>
      <c r="H84" s="3">
        <v>-6.59</v>
      </c>
      <c r="I84" s="3">
        <v>0.25</v>
      </c>
      <c r="J84" s="3">
        <v>-0.5</v>
      </c>
      <c r="K84" s="3"/>
    </row>
    <row r="85" spans="1:12" s="1" customFormat="1" ht="13" x14ac:dyDescent="0.3">
      <c r="A85" s="2" t="s">
        <v>51</v>
      </c>
      <c r="B85" s="3">
        <v>0.1</v>
      </c>
      <c r="C85" s="3">
        <v>0.15</v>
      </c>
      <c r="D85" s="3">
        <v>-0.19</v>
      </c>
      <c r="E85" s="3">
        <v>0.23</v>
      </c>
      <c r="F85" s="3">
        <v>-0.12</v>
      </c>
      <c r="G85" s="3"/>
      <c r="H85" s="3">
        <v>0.34</v>
      </c>
      <c r="I85" s="3">
        <v>8.44</v>
      </c>
      <c r="J85" s="3">
        <v>-8.56</v>
      </c>
      <c r="K85" s="3">
        <v>0.45</v>
      </c>
    </row>
    <row r="90" spans="1:12" s="1" customFormat="1" ht="13" x14ac:dyDescent="0.3">
      <c r="A90" s="1" t="s">
        <v>52</v>
      </c>
      <c r="B90" s="3">
        <v>47.32</v>
      </c>
      <c r="C90" s="3">
        <v>38.5</v>
      </c>
      <c r="D90" s="3">
        <v>32.32</v>
      </c>
      <c r="E90" s="3">
        <v>44.55</v>
      </c>
      <c r="F90" s="3">
        <v>40.409999999999997</v>
      </c>
      <c r="G90" s="3">
        <v>23.85</v>
      </c>
      <c r="H90" s="3">
        <v>57</v>
      </c>
      <c r="I90" s="3">
        <v>114.25</v>
      </c>
      <c r="J90" s="3">
        <v>109.4</v>
      </c>
      <c r="K90" s="3">
        <v>512.54999999999995</v>
      </c>
    </row>
    <row r="92" spans="1:12" s="1" customFormat="1" ht="13" x14ac:dyDescent="0.3">
      <c r="A92" s="1" t="s">
        <v>53</v>
      </c>
    </row>
    <row r="93" spans="1:12" x14ac:dyDescent="0.25">
      <c r="A93" s="2" t="s">
        <v>54</v>
      </c>
      <c r="B93" s="8">
        <v>1.93</v>
      </c>
      <c r="C93" s="8">
        <v>1.93</v>
      </c>
      <c r="D93" s="8">
        <v>1.93</v>
      </c>
      <c r="E93" s="8">
        <v>1.93</v>
      </c>
      <c r="F93" s="8">
        <v>1.93</v>
      </c>
      <c r="G93" s="8">
        <v>1.93</v>
      </c>
      <c r="H93" s="8">
        <v>1.93</v>
      </c>
      <c r="I93" s="8">
        <v>1.93</v>
      </c>
      <c r="J93" s="8">
        <v>1.93</v>
      </c>
      <c r="K93" s="8">
        <v>1.93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rintOptions horizontalCentered="1" verticalCentered="1"/>
  <pageMargins left="0" right="0" top="0.74803149606299213" bottom="0.74803149606299213" header="0.31496062992125984" footer="0.31496062992125984"/>
  <pageSetup paperSize="8" fitToWidth="31" fitToHeight="3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N17"/>
  <sheetViews>
    <sheetView topLeftCell="B1" workbookViewId="0">
      <selection activeCell="D3" sqref="D3"/>
    </sheetView>
  </sheetViews>
  <sheetFormatPr defaultRowHeight="14.5" x14ac:dyDescent="0.35"/>
  <cols>
    <col min="1" max="1" width="5.7265625" bestFit="1" customWidth="1"/>
    <col min="2" max="2" width="17.54296875" bestFit="1" customWidth="1"/>
    <col min="3" max="3" width="8" bestFit="1" customWidth="1"/>
    <col min="4" max="4" width="16.54296875" bestFit="1" customWidth="1"/>
    <col min="5" max="5" width="13.7265625" bestFit="1" customWidth="1"/>
    <col min="6" max="6" width="10.7265625" bestFit="1" customWidth="1"/>
    <col min="7" max="7" width="14.453125" bestFit="1" customWidth="1"/>
    <col min="8" max="9" width="14.453125" customWidth="1"/>
    <col min="10" max="10" width="10.54296875" bestFit="1" customWidth="1"/>
    <col min="11" max="11" width="11" bestFit="1" customWidth="1"/>
    <col min="12" max="12" width="11.26953125" bestFit="1" customWidth="1"/>
    <col min="13" max="13" width="13.1796875" bestFit="1" customWidth="1"/>
    <col min="14" max="14" width="12.81640625" bestFit="1" customWidth="1"/>
    <col min="15" max="15" width="15.453125" customWidth="1"/>
    <col min="16" max="16" width="7.7265625" customWidth="1"/>
  </cols>
  <sheetData>
    <row r="2" spans="1:14" ht="21.5" customHeight="1" x14ac:dyDescent="0.35">
      <c r="A2" s="104" t="s">
        <v>128</v>
      </c>
      <c r="B2" s="104" t="s">
        <v>129</v>
      </c>
      <c r="C2" s="105" t="s">
        <v>158</v>
      </c>
      <c r="D2" s="105" t="s">
        <v>159</v>
      </c>
      <c r="E2" s="106" t="s">
        <v>177</v>
      </c>
      <c r="F2" s="105" t="s">
        <v>160</v>
      </c>
      <c r="G2" s="105" t="s">
        <v>161</v>
      </c>
      <c r="H2" s="107" t="s">
        <v>152</v>
      </c>
      <c r="I2" s="106" t="s">
        <v>157</v>
      </c>
      <c r="J2" s="105" t="s">
        <v>162</v>
      </c>
      <c r="K2" s="105" t="s">
        <v>163</v>
      </c>
      <c r="L2" s="105" t="s">
        <v>164</v>
      </c>
      <c r="M2" s="105" t="s">
        <v>165</v>
      </c>
      <c r="N2" s="105" t="s">
        <v>166</v>
      </c>
    </row>
    <row r="3" spans="1:14" x14ac:dyDescent="0.35">
      <c r="A3" s="65">
        <v>1</v>
      </c>
      <c r="B3" s="108" t="s">
        <v>170</v>
      </c>
      <c r="C3" s="66">
        <v>953.4</v>
      </c>
      <c r="D3" s="66">
        <v>1.93</v>
      </c>
      <c r="E3" s="65">
        <f>C3*D3</f>
        <v>1840.0619999999999</v>
      </c>
      <c r="F3" s="66">
        <v>4.93</v>
      </c>
      <c r="G3" s="66">
        <v>0.69</v>
      </c>
      <c r="H3" s="65">
        <f>F3-G3</f>
        <v>4.24</v>
      </c>
      <c r="I3" s="64">
        <f>+E3+F3-G3</f>
        <v>1844.3019999999999</v>
      </c>
      <c r="J3" s="66">
        <v>1843.99</v>
      </c>
      <c r="K3" s="66">
        <v>34.03</v>
      </c>
      <c r="L3" s="81">
        <v>71.36</v>
      </c>
      <c r="M3" s="66">
        <v>16.190000000000001</v>
      </c>
      <c r="N3" s="66">
        <v>54.06</v>
      </c>
    </row>
    <row r="4" spans="1:14" x14ac:dyDescent="0.35">
      <c r="A4">
        <f>A3+1</f>
        <v>2</v>
      </c>
      <c r="B4" s="108" t="s">
        <v>167</v>
      </c>
      <c r="C4" s="66">
        <v>85.06</v>
      </c>
      <c r="D4" s="66">
        <v>26.85</v>
      </c>
      <c r="E4" s="109">
        <f>C4*D4</f>
        <v>2283.8610000000003</v>
      </c>
      <c r="F4" s="66">
        <v>12.06</v>
      </c>
      <c r="G4" s="66">
        <v>51.5</v>
      </c>
      <c r="H4" s="109">
        <f>F4-G4</f>
        <v>-39.44</v>
      </c>
      <c r="I4" s="110">
        <f>+E4+F4-G4</f>
        <v>2244.4210000000003</v>
      </c>
      <c r="J4" s="66">
        <v>2251.33</v>
      </c>
      <c r="K4" s="66">
        <v>186.4</v>
      </c>
      <c r="L4" s="81">
        <v>34.36</v>
      </c>
      <c r="M4" s="66">
        <v>39.85</v>
      </c>
      <c r="N4" s="66">
        <v>12.29</v>
      </c>
    </row>
    <row r="5" spans="1:14" x14ac:dyDescent="0.35">
      <c r="A5">
        <f t="shared" ref="A5:A12" si="0">A4+1</f>
        <v>3</v>
      </c>
      <c r="B5" s="108" t="s">
        <v>168</v>
      </c>
      <c r="C5" s="66">
        <v>707.2</v>
      </c>
      <c r="D5" s="66">
        <v>2.84</v>
      </c>
      <c r="E5" s="65">
        <f t="shared" ref="E5:E12" si="1">C5*D5</f>
        <v>2008.4480000000001</v>
      </c>
      <c r="F5" s="66">
        <v>446.86</v>
      </c>
      <c r="G5" s="66">
        <v>85.86</v>
      </c>
      <c r="H5" s="65">
        <f>F5-G5</f>
        <v>361</v>
      </c>
      <c r="I5" s="64">
        <f t="shared" ref="I5:I12" si="2">+E5+F5-G5</f>
        <v>2369.4479999999999</v>
      </c>
      <c r="J5" s="66">
        <v>2372.71</v>
      </c>
      <c r="K5" s="66">
        <v>878.56</v>
      </c>
      <c r="L5" s="81">
        <v>11.57</v>
      </c>
      <c r="M5" s="66">
        <v>99.89</v>
      </c>
      <c r="N5" s="66">
        <v>2.29</v>
      </c>
    </row>
    <row r="6" spans="1:14" x14ac:dyDescent="0.35">
      <c r="A6">
        <f t="shared" si="0"/>
        <v>4</v>
      </c>
      <c r="B6" s="108" t="s">
        <v>169</v>
      </c>
      <c r="C6" s="66">
        <v>177.34</v>
      </c>
      <c r="D6" s="66">
        <v>10.49</v>
      </c>
      <c r="E6" s="65">
        <f>C6*D6</f>
        <v>1860.2966000000001</v>
      </c>
      <c r="F6" s="66">
        <v>48.02</v>
      </c>
      <c r="G6" s="66">
        <v>0.18</v>
      </c>
      <c r="H6" s="65">
        <f t="shared" ref="H6:H12" si="3">F6-G6</f>
        <v>47.84</v>
      </c>
      <c r="I6" s="64">
        <f t="shared" si="2"/>
        <v>1908.1366</v>
      </c>
      <c r="J6" s="66">
        <v>1908.8</v>
      </c>
      <c r="K6" s="66">
        <v>296.99</v>
      </c>
      <c r="L6" s="81">
        <v>62.62</v>
      </c>
      <c r="M6" s="66">
        <v>22.22</v>
      </c>
      <c r="N6" s="66">
        <v>6.27</v>
      </c>
    </row>
    <row r="7" spans="1:14" x14ac:dyDescent="0.35">
      <c r="A7">
        <f t="shared" si="0"/>
        <v>5</v>
      </c>
      <c r="B7" s="108" t="s">
        <v>171</v>
      </c>
      <c r="C7" s="66">
        <v>297.5</v>
      </c>
      <c r="D7" s="66">
        <v>6.15</v>
      </c>
      <c r="E7" s="65">
        <f t="shared" si="1"/>
        <v>1829.625</v>
      </c>
      <c r="F7" s="66">
        <v>293.58</v>
      </c>
      <c r="G7" s="66">
        <v>123.29</v>
      </c>
      <c r="H7" s="65">
        <f t="shared" si="3"/>
        <v>170.28999999999996</v>
      </c>
      <c r="I7" s="64">
        <f t="shared" si="2"/>
        <v>1999.915</v>
      </c>
      <c r="J7" s="66">
        <v>1998.69</v>
      </c>
      <c r="K7" s="66">
        <v>556.45000000000005</v>
      </c>
      <c r="L7" s="81">
        <v>28.55</v>
      </c>
      <c r="M7" s="66">
        <v>30.01</v>
      </c>
      <c r="N7" s="66">
        <v>3.29</v>
      </c>
    </row>
    <row r="8" spans="1:14" x14ac:dyDescent="0.35">
      <c r="A8">
        <f t="shared" si="0"/>
        <v>6</v>
      </c>
      <c r="B8" s="108" t="s">
        <v>172</v>
      </c>
      <c r="C8" s="66">
        <v>764.7</v>
      </c>
      <c r="D8" s="66">
        <v>2.23</v>
      </c>
      <c r="E8" s="65">
        <f t="shared" si="1"/>
        <v>1705.2810000000002</v>
      </c>
      <c r="F8" s="66">
        <v>57.99</v>
      </c>
      <c r="G8" s="66">
        <v>222.82</v>
      </c>
      <c r="H8" s="65">
        <f t="shared" si="3"/>
        <v>-164.82999999999998</v>
      </c>
      <c r="I8" s="64">
        <f t="shared" si="2"/>
        <v>1540.4510000000002</v>
      </c>
      <c r="J8" s="66">
        <v>1535.45</v>
      </c>
      <c r="K8" s="66">
        <v>478.68</v>
      </c>
      <c r="L8" s="81">
        <v>15.63</v>
      </c>
      <c r="M8" s="66">
        <v>49.55</v>
      </c>
      <c r="N8" s="66">
        <v>3.55</v>
      </c>
    </row>
    <row r="9" spans="1:14" x14ac:dyDescent="0.35">
      <c r="A9">
        <f t="shared" si="0"/>
        <v>7</v>
      </c>
      <c r="B9" s="108" t="s">
        <v>173</v>
      </c>
      <c r="C9" s="66">
        <v>236.69</v>
      </c>
      <c r="D9" s="66">
        <v>6.24</v>
      </c>
      <c r="E9" s="65">
        <f t="shared" si="1"/>
        <v>1476.9456</v>
      </c>
      <c r="F9" s="66">
        <v>348.87</v>
      </c>
      <c r="G9" s="66">
        <v>9.51</v>
      </c>
      <c r="H9" s="65">
        <f t="shared" si="3"/>
        <v>339.36</v>
      </c>
      <c r="I9" s="64">
        <f t="shared" si="2"/>
        <v>1816.3055999999999</v>
      </c>
      <c r="J9" s="66">
        <v>1819.18</v>
      </c>
      <c r="K9" s="66">
        <v>1539.06</v>
      </c>
      <c r="L9" s="81">
        <v>22.6</v>
      </c>
      <c r="M9" s="66">
        <v>17.64</v>
      </c>
      <c r="N9" s="66">
        <v>0.96</v>
      </c>
    </row>
    <row r="10" spans="1:14" x14ac:dyDescent="0.35">
      <c r="A10">
        <f t="shared" si="0"/>
        <v>8</v>
      </c>
      <c r="B10" s="108" t="s">
        <v>174</v>
      </c>
      <c r="C10" s="66">
        <v>261.19</v>
      </c>
      <c r="D10" s="66">
        <v>5.34</v>
      </c>
      <c r="E10" s="65">
        <f t="shared" si="1"/>
        <v>1394.7546</v>
      </c>
      <c r="F10" s="66">
        <v>158.63999999999999</v>
      </c>
      <c r="G10" s="66">
        <v>37.83</v>
      </c>
      <c r="H10" s="65">
        <f t="shared" si="3"/>
        <v>120.80999999999999</v>
      </c>
      <c r="I10" s="64">
        <f t="shared" si="2"/>
        <v>1515.5646000000002</v>
      </c>
      <c r="J10" s="66">
        <v>1509.64</v>
      </c>
      <c r="K10" s="66">
        <v>393.75</v>
      </c>
      <c r="L10" s="81">
        <v>15.6</v>
      </c>
      <c r="M10" s="66">
        <v>44.05</v>
      </c>
      <c r="N10" s="66">
        <v>3.53</v>
      </c>
    </row>
    <row r="11" spans="1:14" x14ac:dyDescent="0.35">
      <c r="A11">
        <f t="shared" si="0"/>
        <v>9</v>
      </c>
      <c r="B11" s="108" t="s">
        <v>175</v>
      </c>
      <c r="C11" s="66">
        <v>249.6</v>
      </c>
      <c r="D11" s="66">
        <v>5.05</v>
      </c>
      <c r="E11" s="65">
        <f t="shared" si="1"/>
        <v>1260.48</v>
      </c>
      <c r="F11" s="66">
        <v>20.47</v>
      </c>
      <c r="G11" s="66">
        <v>165.44</v>
      </c>
      <c r="H11" s="65">
        <f t="shared" si="3"/>
        <v>-144.97</v>
      </c>
      <c r="I11" s="64">
        <f t="shared" si="2"/>
        <v>1115.51</v>
      </c>
      <c r="J11" s="66">
        <v>1118.8399999999999</v>
      </c>
      <c r="K11" s="66">
        <v>338.54</v>
      </c>
      <c r="L11" s="81">
        <v>14.76</v>
      </c>
      <c r="M11" s="66">
        <v>39.72</v>
      </c>
      <c r="N11" s="66">
        <v>3.73</v>
      </c>
    </row>
    <row r="12" spans="1:14" x14ac:dyDescent="0.35">
      <c r="A12">
        <f t="shared" si="0"/>
        <v>10</v>
      </c>
      <c r="B12" s="108" t="s">
        <v>176</v>
      </c>
      <c r="C12" s="66">
        <v>93.8</v>
      </c>
      <c r="D12" s="66">
        <v>11.69</v>
      </c>
      <c r="E12" s="65">
        <f t="shared" si="1"/>
        <v>1096.5219999999999</v>
      </c>
      <c r="F12" s="66">
        <v>63.11</v>
      </c>
      <c r="G12" s="66">
        <v>16.96</v>
      </c>
      <c r="H12" s="65">
        <f t="shared" si="3"/>
        <v>46.15</v>
      </c>
      <c r="I12" s="64">
        <f t="shared" si="2"/>
        <v>1142.6719999999998</v>
      </c>
      <c r="J12" s="66">
        <v>1142.82</v>
      </c>
      <c r="K12" s="66">
        <v>62.85</v>
      </c>
      <c r="L12" s="81">
        <v>49.03</v>
      </c>
      <c r="M12" s="66">
        <v>9.59</v>
      </c>
      <c r="N12" s="66">
        <v>17.45</v>
      </c>
    </row>
    <row r="13" spans="1:14" x14ac:dyDescent="0.35">
      <c r="A13" s="51"/>
      <c r="B13" s="52"/>
      <c r="C13" s="51"/>
      <c r="D13" s="51"/>
      <c r="E13" s="51"/>
      <c r="F13" s="51"/>
      <c r="G13" s="51"/>
      <c r="H13" s="51"/>
      <c r="J13" s="51"/>
      <c r="K13" s="51"/>
      <c r="L13" s="61"/>
      <c r="M13" s="51"/>
      <c r="N13" s="51"/>
    </row>
    <row r="14" spans="1:14" x14ac:dyDescent="0.35">
      <c r="A14" s="51"/>
      <c r="B14" s="52"/>
      <c r="C14" s="51"/>
      <c r="D14" s="51"/>
      <c r="E14" s="51"/>
      <c r="F14" s="51"/>
      <c r="G14" s="51"/>
      <c r="H14" s="51"/>
      <c r="J14" s="51"/>
      <c r="K14" s="51"/>
      <c r="L14" s="61"/>
      <c r="M14" s="51"/>
      <c r="N14" s="51"/>
    </row>
    <row r="15" spans="1:14" x14ac:dyDescent="0.35">
      <c r="A15" s="51"/>
      <c r="B15" s="52"/>
      <c r="C15" s="51"/>
      <c r="D15" s="51"/>
      <c r="E15" s="51"/>
      <c r="F15" s="51"/>
      <c r="G15" s="51"/>
      <c r="H15" s="51"/>
      <c r="J15" s="51"/>
      <c r="K15" s="51"/>
      <c r="L15" s="61"/>
      <c r="M15" s="51"/>
      <c r="N15" s="51"/>
    </row>
    <row r="16" spans="1:14" x14ac:dyDescent="0.35">
      <c r="A16" s="51"/>
      <c r="B16" s="52"/>
      <c r="C16" s="51"/>
      <c r="D16" s="51"/>
      <c r="E16" s="51"/>
      <c r="F16" s="51"/>
      <c r="G16" s="51"/>
      <c r="H16" s="51"/>
      <c r="J16" s="51"/>
      <c r="K16" s="51"/>
      <c r="L16" s="61"/>
      <c r="M16" s="51"/>
      <c r="N16" s="51"/>
    </row>
    <row r="17" spans="1:14" x14ac:dyDescent="0.35">
      <c r="A17" s="51"/>
      <c r="B17" s="52"/>
      <c r="C17" s="51"/>
      <c r="D17" s="51"/>
      <c r="E17" s="51"/>
      <c r="F17" s="51"/>
      <c r="G17" s="51"/>
      <c r="H17" s="51"/>
      <c r="J17" s="51"/>
      <c r="K17" s="51"/>
      <c r="L17" s="61"/>
      <c r="M17" s="51"/>
      <c r="N17" s="51"/>
    </row>
  </sheetData>
  <hyperlinks>
    <hyperlink ref="A2" r:id="rId1" display="https://www.screener.in/company/compare/00000039/00000106/?order=asc" xr:uid="{733FDC46-F7C3-482E-AF5A-9B402917023C}"/>
    <hyperlink ref="B2" r:id="rId2" display="https://www.screener.in/company/compare/00000039/00000106/?sort=name&amp;order=desc" xr:uid="{F656EB9D-8261-4C9A-8C9F-65FBE065653D}"/>
    <hyperlink ref="C2" r:id="rId3" display="https://www.screener.in/company/compare/00000039/00000106/?sort=current+price&amp;order=desc" xr:uid="{7CF5C388-2FE6-42F3-A47A-0EFEAD914F9E}"/>
    <hyperlink ref="D2" r:id="rId4" display="https://www.screener.in/company/compare/00000039/00000106/?sort=number+of+equity+shares&amp;order=desc" xr:uid="{38866530-24D0-465F-9762-9463A38B88FE}"/>
    <hyperlink ref="F2" r:id="rId5" display="https://www.screener.in/company/compare/00000039/00000106/?sort=debt&amp;order=desc" xr:uid="{BA0E5C91-75FF-439C-8A24-9450610C47BB}"/>
    <hyperlink ref="G2" r:id="rId6" display="https://www.screener.in/company/compare/00000039/00000106/?sort=cash+end+of+last+year&amp;order=desc" xr:uid="{8D2A7321-5168-477C-9254-81B8B59A65EB}"/>
    <hyperlink ref="J2" r:id="rId7" display="https://www.screener.in/company/compare/00000039/00000106/?sort=enterprise+value&amp;order=desc" xr:uid="{4E41CDF3-F268-4202-9CB8-DB2A7A311752}"/>
    <hyperlink ref="K2" r:id="rId8" display="https://www.screener.in/company/compare/00000039/00000106/?sort=sales&amp;order=desc" xr:uid="{460E55BD-8AF8-4B1C-94FC-9642BCCF9D68}"/>
    <hyperlink ref="L2" r:id="rId9" display="https://www.screener.in/company/compare/00000039/00000106/?sort=evebitda&amp;order=desc" xr:uid="{DD97A0EE-3F35-4F73-B0FE-737E39D50F83}"/>
    <hyperlink ref="M2" r:id="rId10" display="https://www.screener.in/company/compare/00000039/00000106/?sort=net+profit+last+year&amp;order=desc" xr:uid="{D45FA505-1EF9-4BE2-8E05-3464F5459958}"/>
    <hyperlink ref="N2" r:id="rId11" display="https://www.screener.in/company/compare/00000039/00000106/?sort=market+cap+to+sales&amp;order=desc" xr:uid="{D2ED2A8D-1600-4BAC-B727-4847E9AE331C}"/>
    <hyperlink ref="B4" r:id="rId12" display="https://www.screener.in/company/CUPID/" xr:uid="{2184897C-3B1D-43A1-9A41-5A6DD8DE04A0}"/>
    <hyperlink ref="B5" r:id="rId13" display="https://www.screener.in/company/AWHCL/consolidated/" xr:uid="{40442060-0C42-436A-8D5F-854BCCF8E50E}"/>
    <hyperlink ref="B6" r:id="rId14" display="https://www.screener.in/company/BSHSL/" xr:uid="{934D7ECD-4D35-4A4D-A9C7-9EC708E51E2F}"/>
    <hyperlink ref="B3" r:id="rId15" display="https://www.screener.in/company/530643/" xr:uid="{D7E8E4BC-E2CF-4BD0-AEC1-3FDF46290016}"/>
    <hyperlink ref="B7" r:id="rId16" display="https://www.screener.in/company/531859/consolidated/" xr:uid="{ABC62DDB-AAC9-44E4-BD68-B8EE49E703A1}"/>
    <hyperlink ref="B8" r:id="rId17" display="https://www.screener.in/company/MATRIMONY/consolidated/" xr:uid="{B70B83A3-A275-4ECE-A1E0-8F095F34B8CE}"/>
    <hyperlink ref="B9" r:id="rId18" display="https://www.screener.in/company/GULPOLY/" xr:uid="{C0B8BF04-3C49-43E7-856B-032D74166076}"/>
    <hyperlink ref="B10" r:id="rId19" display="https://www.screener.in/company/SIGNPOST/consolidated/" xr:uid="{3ED1DE6C-B7AA-4319-AA83-8E8CBEED84BD}"/>
    <hyperlink ref="B11" r:id="rId20" display="https://www.screener.in/company/RKSWAMY/consolidated/" xr:uid="{ED43BBC1-FAD2-4C06-82A7-F2DDDA8787BC}"/>
    <hyperlink ref="B12" r:id="rId21" display="https://www.screener.in/company/500306/consolidated/" xr:uid="{BFDFF908-29DC-4B6F-B57A-BC3DBF5A11A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4"/>
  <sheetViews>
    <sheetView showGridLines="0" tabSelected="1" topLeftCell="A4" zoomScale="66" zoomScaleNormal="70" workbookViewId="0">
      <selection activeCell="Q30" sqref="Q30"/>
    </sheetView>
  </sheetViews>
  <sheetFormatPr defaultRowHeight="14.5" x14ac:dyDescent="0.35"/>
  <cols>
    <col min="1" max="1" width="2.1796875" customWidth="1"/>
    <col min="2" max="2" width="23.453125" customWidth="1"/>
    <col min="3" max="3" width="17" bestFit="1" customWidth="1"/>
    <col min="4" max="4" width="17.26953125" customWidth="1"/>
    <col min="5" max="5" width="15.1796875" customWidth="1"/>
    <col min="6" max="6" width="16.54296875" bestFit="1" customWidth="1"/>
    <col min="7" max="7" width="10.7265625" bestFit="1" customWidth="1"/>
    <col min="8" max="8" width="14.453125" customWidth="1"/>
    <col min="9" max="9" width="10" customWidth="1"/>
    <col min="10" max="10" width="11" bestFit="1" customWidth="1"/>
    <col min="11" max="11" width="11.26953125" bestFit="1" customWidth="1"/>
    <col min="12" max="12" width="13.26953125" bestFit="1" customWidth="1"/>
    <col min="13" max="13" width="14.1796875" customWidth="1"/>
    <col min="15" max="17" width="12.7265625" customWidth="1"/>
    <col min="18" max="20" width="9.1796875" customWidth="1"/>
  </cols>
  <sheetData>
    <row r="1" spans="1:17" ht="19" x14ac:dyDescent="0.4">
      <c r="E1" s="123" t="s">
        <v>178</v>
      </c>
      <c r="F1" s="123"/>
    </row>
    <row r="2" spans="1:17" ht="18.5" x14ac:dyDescent="0.4">
      <c r="B2" s="53" t="s">
        <v>130</v>
      </c>
    </row>
    <row r="3" spans="1:17" ht="22" x14ac:dyDescent="0.45">
      <c r="A3" s="54"/>
      <c r="B3" s="111"/>
      <c r="C3" s="112"/>
      <c r="D3" s="112"/>
      <c r="E3" s="112"/>
      <c r="F3" s="113" t="s">
        <v>131</v>
      </c>
      <c r="G3" s="113"/>
      <c r="H3" s="113"/>
      <c r="I3" s="113"/>
      <c r="J3" s="112"/>
      <c r="K3" s="112"/>
      <c r="L3" s="112"/>
      <c r="M3" s="112"/>
      <c r="N3" s="112"/>
      <c r="O3" s="112"/>
      <c r="P3" s="112"/>
      <c r="Q3" s="112"/>
    </row>
    <row r="4" spans="1:17" ht="5.15" customHeight="1" x14ac:dyDescent="0.35">
      <c r="A4" s="54"/>
    </row>
    <row r="5" spans="1:17" x14ac:dyDescent="0.35">
      <c r="A5" s="54"/>
      <c r="B5" s="114"/>
      <c r="C5" s="115" t="s">
        <v>132</v>
      </c>
      <c r="D5" s="115"/>
      <c r="E5" s="115"/>
      <c r="F5" s="115"/>
      <c r="G5" s="115"/>
      <c r="H5" s="115"/>
      <c r="I5" s="114"/>
      <c r="J5" s="116" t="s">
        <v>133</v>
      </c>
      <c r="K5" s="116"/>
      <c r="L5" s="116"/>
      <c r="M5" s="116"/>
      <c r="N5" s="114"/>
      <c r="O5" s="117" t="s">
        <v>134</v>
      </c>
      <c r="P5" s="117"/>
      <c r="Q5" s="118"/>
    </row>
    <row r="6" spans="1:17" x14ac:dyDescent="0.35">
      <c r="B6" s="119" t="s">
        <v>135</v>
      </c>
      <c r="C6" s="120"/>
      <c r="D6" s="119" t="s">
        <v>136</v>
      </c>
      <c r="E6" s="119" t="s">
        <v>137</v>
      </c>
      <c r="F6" s="119" t="s">
        <v>138</v>
      </c>
      <c r="G6" s="119" t="s">
        <v>127</v>
      </c>
      <c r="H6" s="119" t="s">
        <v>139</v>
      </c>
      <c r="I6" s="119"/>
      <c r="J6" s="119" t="s">
        <v>140</v>
      </c>
      <c r="K6" s="119" t="s">
        <v>27</v>
      </c>
      <c r="L6" s="119" t="s">
        <v>141</v>
      </c>
      <c r="M6" s="119"/>
      <c r="N6" s="121"/>
      <c r="O6" s="119" t="s">
        <v>142</v>
      </c>
      <c r="P6" s="122" t="s">
        <v>143</v>
      </c>
      <c r="Q6" s="122" t="s">
        <v>144</v>
      </c>
    </row>
    <row r="7" spans="1:17" ht="6" customHeight="1" x14ac:dyDescent="0.35"/>
    <row r="8" spans="1:17" x14ac:dyDescent="0.35">
      <c r="B8" s="67" t="str">
        <f>'Raw Data For CCA'!B3</f>
        <v>Eco Recyc.</v>
      </c>
      <c r="C8" s="67"/>
      <c r="D8" s="68">
        <f>'Raw Data For CCA'!C3</f>
        <v>953.4</v>
      </c>
      <c r="E8" s="68">
        <f>'Raw Data For CCA'!D3</f>
        <v>1.93</v>
      </c>
      <c r="F8" s="69">
        <f>D8*E8</f>
        <v>1840.0619999999999</v>
      </c>
      <c r="G8" s="68">
        <f>'Raw Data For CCA'!H3</f>
        <v>4.24</v>
      </c>
      <c r="H8" s="68">
        <f>F8+G8</f>
        <v>1844.3019999999999</v>
      </c>
      <c r="I8" s="68"/>
      <c r="J8" s="68">
        <f>'Raw Data For CCA'!K3</f>
        <v>34.03</v>
      </c>
      <c r="K8" s="68">
        <f>'Raw Data For CCA'!L3</f>
        <v>71.36</v>
      </c>
      <c r="L8" s="68">
        <f>'Raw Data For CCA'!M3</f>
        <v>16.190000000000001</v>
      </c>
      <c r="M8" s="70"/>
      <c r="N8" s="70"/>
      <c r="O8" s="71">
        <f>$H8/J8</f>
        <v>54.196356156332641</v>
      </c>
      <c r="P8" s="71">
        <f>$H8/K8</f>
        <v>25.845039237668161</v>
      </c>
      <c r="Q8" s="71">
        <f>F8/L8</f>
        <v>113.6542310067943</v>
      </c>
    </row>
    <row r="9" spans="1:17" x14ac:dyDescent="0.35">
      <c r="B9" s="67" t="str">
        <f>'Raw Data For CCA'!B4</f>
        <v>Cupid</v>
      </c>
      <c r="C9" s="50"/>
      <c r="D9" s="68">
        <f>'Raw Data For CCA'!C4</f>
        <v>85.06</v>
      </c>
      <c r="E9" s="68">
        <f>'Raw Data For CCA'!D4</f>
        <v>26.85</v>
      </c>
      <c r="F9" s="69">
        <f>D9*E9</f>
        <v>2283.8610000000003</v>
      </c>
      <c r="G9" s="68">
        <f>'Raw Data For CCA'!H4</f>
        <v>-39.44</v>
      </c>
      <c r="H9" s="55">
        <f>F9+G9</f>
        <v>2244.4210000000003</v>
      </c>
      <c r="I9" s="55"/>
      <c r="J9" s="68">
        <f>'Raw Data For CCA'!K4</f>
        <v>186.4</v>
      </c>
      <c r="K9" s="68">
        <f>'Raw Data For CCA'!L4</f>
        <v>34.36</v>
      </c>
      <c r="L9" s="68">
        <f>'Raw Data For CCA'!M4</f>
        <v>39.85</v>
      </c>
      <c r="M9" s="56"/>
      <c r="N9" s="56"/>
      <c r="O9" s="57">
        <f t="shared" ref="O9:O16" si="0">$H9/J9</f>
        <v>12.040885193133049</v>
      </c>
      <c r="P9" s="57">
        <f>$H9/K9</f>
        <v>65.320750873108281</v>
      </c>
      <c r="Q9" s="57">
        <f>F9/L9</f>
        <v>57.311442910915943</v>
      </c>
    </row>
    <row r="10" spans="1:17" x14ac:dyDescent="0.35">
      <c r="B10" s="67" t="str">
        <f>'Raw Data For CCA'!B5</f>
        <v>Antony Waste han</v>
      </c>
      <c r="C10" s="50"/>
      <c r="D10" s="68">
        <f>'Raw Data For CCA'!C5</f>
        <v>707.2</v>
      </c>
      <c r="E10" s="68">
        <f>'Raw Data For CCA'!D5</f>
        <v>2.84</v>
      </c>
      <c r="F10" s="69">
        <f>D10*E10</f>
        <v>2008.4480000000001</v>
      </c>
      <c r="G10" s="68">
        <f>'Raw Data For CCA'!H5</f>
        <v>361</v>
      </c>
      <c r="H10" s="55">
        <f t="shared" ref="H10:H16" si="1">F10+G10</f>
        <v>2369.4480000000003</v>
      </c>
      <c r="I10" s="55"/>
      <c r="J10" s="68">
        <f>'Raw Data For CCA'!K5</f>
        <v>878.56</v>
      </c>
      <c r="K10" s="68">
        <f>'Raw Data For CCA'!L5</f>
        <v>11.57</v>
      </c>
      <c r="L10" s="68">
        <f>'Raw Data For CCA'!M5</f>
        <v>99.89</v>
      </c>
      <c r="M10" s="56"/>
      <c r="N10" s="56"/>
      <c r="O10" s="57">
        <f t="shared" si="0"/>
        <v>2.6969677654343478</v>
      </c>
      <c r="P10" s="57">
        <f t="shared" ref="P10:P16" si="2">$H10/K10</f>
        <v>204.79239412273122</v>
      </c>
      <c r="Q10" s="57">
        <f t="shared" ref="Q9:Q16" si="3">F10/L10</f>
        <v>20.106597256982681</v>
      </c>
    </row>
    <row r="11" spans="1:17" s="9" customFormat="1" x14ac:dyDescent="0.35">
      <c r="B11" s="67" t="str">
        <f>'Raw Data For CCA'!B6</f>
        <v>Bombay Super Hyb</v>
      </c>
      <c r="C11" s="76"/>
      <c r="D11" s="68">
        <f>'Raw Data For CCA'!C6</f>
        <v>177.34</v>
      </c>
      <c r="E11" s="68">
        <f>'Raw Data For CCA'!D6</f>
        <v>10.49</v>
      </c>
      <c r="F11" s="77">
        <f t="shared" ref="F10:F16" si="4">D11*E11</f>
        <v>1860.2966000000001</v>
      </c>
      <c r="G11" s="68">
        <f>'Raw Data For CCA'!H6</f>
        <v>47.84</v>
      </c>
      <c r="H11" s="78">
        <f>F11+G11</f>
        <v>1908.1366</v>
      </c>
      <c r="I11" s="78"/>
      <c r="J11" s="68">
        <f>'Raw Data For CCA'!K6</f>
        <v>296.99</v>
      </c>
      <c r="K11" s="68">
        <f>'Raw Data For CCA'!L6</f>
        <v>62.62</v>
      </c>
      <c r="L11" s="68">
        <f>'Raw Data For CCA'!M6</f>
        <v>22.22</v>
      </c>
      <c r="M11" s="79"/>
      <c r="N11" s="79"/>
      <c r="O11" s="80">
        <f>$H11/J11</f>
        <v>6.4249186841307786</v>
      </c>
      <c r="P11" s="80">
        <f t="shared" si="2"/>
        <v>30.47167997444906</v>
      </c>
      <c r="Q11" s="80">
        <f t="shared" si="3"/>
        <v>83.721719171917201</v>
      </c>
    </row>
    <row r="12" spans="1:17" x14ac:dyDescent="0.35">
      <c r="A12" s="54"/>
      <c r="B12" s="67" t="str">
        <f>'Raw Data For CCA'!B7</f>
        <v>Oriental Rail</v>
      </c>
      <c r="C12" s="50"/>
      <c r="D12" s="68">
        <f>'Raw Data For CCA'!C7</f>
        <v>297.5</v>
      </c>
      <c r="E12" s="68">
        <f>'Raw Data For CCA'!D7</f>
        <v>6.15</v>
      </c>
      <c r="F12" s="69">
        <f t="shared" si="4"/>
        <v>1829.625</v>
      </c>
      <c r="G12" s="68">
        <f>'Raw Data For CCA'!H7</f>
        <v>170.28999999999996</v>
      </c>
      <c r="H12" s="55">
        <f t="shared" si="1"/>
        <v>1999.915</v>
      </c>
      <c r="I12" s="55"/>
      <c r="J12" s="68">
        <f>'Raw Data For CCA'!K7</f>
        <v>556.45000000000005</v>
      </c>
      <c r="K12" s="68">
        <f>'Raw Data For CCA'!L7</f>
        <v>28.55</v>
      </c>
      <c r="L12" s="68">
        <f>'Raw Data For CCA'!M7</f>
        <v>30.01</v>
      </c>
      <c r="M12" s="56"/>
      <c r="N12" s="56"/>
      <c r="O12" s="57">
        <f t="shared" si="0"/>
        <v>3.5940605624943838</v>
      </c>
      <c r="P12" s="57">
        <f t="shared" si="2"/>
        <v>70.049562171628722</v>
      </c>
      <c r="Q12" s="57">
        <f t="shared" si="3"/>
        <v>60.967177607464173</v>
      </c>
    </row>
    <row r="13" spans="1:17" x14ac:dyDescent="0.35">
      <c r="A13" s="54"/>
      <c r="B13" s="67" t="str">
        <f>'Raw Data For CCA'!B8</f>
        <v>Matrimony.com</v>
      </c>
      <c r="C13" s="50"/>
      <c r="D13" s="68">
        <f>'Raw Data For CCA'!C8</f>
        <v>764.7</v>
      </c>
      <c r="E13" s="68">
        <f>'Raw Data For CCA'!D8</f>
        <v>2.23</v>
      </c>
      <c r="F13" s="69">
        <f>D13*E13</f>
        <v>1705.2810000000002</v>
      </c>
      <c r="G13" s="68">
        <f>'Raw Data For CCA'!H8</f>
        <v>-164.82999999999998</v>
      </c>
      <c r="H13" s="55">
        <f t="shared" si="1"/>
        <v>1540.4510000000002</v>
      </c>
      <c r="I13" s="55"/>
      <c r="J13" s="68">
        <f>'Raw Data For CCA'!K8</f>
        <v>478.68</v>
      </c>
      <c r="K13" s="68">
        <f>'Raw Data For CCA'!L8</f>
        <v>15.63</v>
      </c>
      <c r="L13" s="68">
        <f>'Raw Data For CCA'!M8</f>
        <v>49.55</v>
      </c>
      <c r="M13" s="56"/>
      <c r="N13" s="56"/>
      <c r="O13" s="57">
        <f t="shared" si="0"/>
        <v>3.2181227542408295</v>
      </c>
      <c r="P13" s="57">
        <f>$H13/K13</f>
        <v>98.557325655790152</v>
      </c>
      <c r="Q13" s="57">
        <f t="shared" si="3"/>
        <v>34.415358224016153</v>
      </c>
    </row>
    <row r="14" spans="1:17" x14ac:dyDescent="0.35">
      <c r="A14" s="54"/>
      <c r="B14" s="67" t="str">
        <f>'Raw Data For CCA'!B9</f>
        <v>Gulshan Polyols</v>
      </c>
      <c r="C14" s="50"/>
      <c r="D14" s="68">
        <f>'Raw Data For CCA'!C9</f>
        <v>236.69</v>
      </c>
      <c r="E14" s="68">
        <f>'Raw Data For CCA'!D9</f>
        <v>6.24</v>
      </c>
      <c r="F14" s="69">
        <f t="shared" si="4"/>
        <v>1476.9456</v>
      </c>
      <c r="G14" s="68">
        <f>'Raw Data For CCA'!H9</f>
        <v>339.36</v>
      </c>
      <c r="H14" s="55">
        <f t="shared" si="1"/>
        <v>1816.3056000000001</v>
      </c>
      <c r="I14" s="55"/>
      <c r="J14" s="68">
        <f>'Raw Data For CCA'!K9</f>
        <v>1539.06</v>
      </c>
      <c r="K14" s="68">
        <f>'Raw Data For CCA'!L9</f>
        <v>22.6</v>
      </c>
      <c r="L14" s="68">
        <f>'Raw Data For CCA'!M9</f>
        <v>17.64</v>
      </c>
      <c r="M14" s="56"/>
      <c r="N14" s="56"/>
      <c r="O14" s="57">
        <f t="shared" si="0"/>
        <v>1.1801395657089393</v>
      </c>
      <c r="P14" s="57">
        <f t="shared" si="2"/>
        <v>80.367504424778758</v>
      </c>
      <c r="Q14" s="57">
        <f t="shared" si="3"/>
        <v>83.727074829931965</v>
      </c>
    </row>
    <row r="15" spans="1:17" x14ac:dyDescent="0.35">
      <c r="B15" s="67" t="str">
        <f>'Raw Data For CCA'!B10</f>
        <v>Signpost India</v>
      </c>
      <c r="C15" s="50"/>
      <c r="D15" s="68">
        <f>'Raw Data For CCA'!C10</f>
        <v>261.19</v>
      </c>
      <c r="E15" s="68">
        <f>'Raw Data For CCA'!D10</f>
        <v>5.34</v>
      </c>
      <c r="F15" s="69">
        <f t="shared" si="4"/>
        <v>1394.7546</v>
      </c>
      <c r="G15" s="68">
        <f>'Raw Data For CCA'!H10</f>
        <v>120.80999999999999</v>
      </c>
      <c r="H15" s="55">
        <f t="shared" si="1"/>
        <v>1515.5645999999999</v>
      </c>
      <c r="I15" s="55"/>
      <c r="J15" s="68">
        <f>'Raw Data For CCA'!K10</f>
        <v>393.75</v>
      </c>
      <c r="K15" s="68">
        <f>'Raw Data For CCA'!L10</f>
        <v>15.6</v>
      </c>
      <c r="L15" s="68">
        <f>'Raw Data For CCA'!M10</f>
        <v>44.05</v>
      </c>
      <c r="M15" s="56"/>
      <c r="N15" s="56"/>
      <c r="O15" s="57">
        <f t="shared" si="0"/>
        <v>3.8490529523809522</v>
      </c>
      <c r="P15" s="57">
        <f t="shared" si="2"/>
        <v>97.151576923076917</v>
      </c>
      <c r="Q15" s="57">
        <f t="shared" si="3"/>
        <v>31.662987514188423</v>
      </c>
    </row>
    <row r="16" spans="1:17" x14ac:dyDescent="0.35">
      <c r="B16" s="67" t="str">
        <f>'Raw Data For CCA'!B11</f>
        <v>R K Swamy</v>
      </c>
      <c r="C16" s="50"/>
      <c r="D16" s="68">
        <f>'Raw Data For CCA'!C11</f>
        <v>249.6</v>
      </c>
      <c r="E16" s="68">
        <f>'Raw Data For CCA'!D11</f>
        <v>5.05</v>
      </c>
      <c r="F16" s="69">
        <f t="shared" si="4"/>
        <v>1260.48</v>
      </c>
      <c r="G16" s="68">
        <f>'Raw Data For CCA'!H11</f>
        <v>-144.97</v>
      </c>
      <c r="H16" s="55">
        <f>F16+G16</f>
        <v>1115.51</v>
      </c>
      <c r="I16" s="55"/>
      <c r="J16" s="68">
        <f>'Raw Data For CCA'!K11</f>
        <v>338.54</v>
      </c>
      <c r="K16" s="68">
        <f>'Raw Data For CCA'!L11</f>
        <v>14.76</v>
      </c>
      <c r="L16" s="68">
        <f>'Raw Data For CCA'!M11</f>
        <v>39.72</v>
      </c>
      <c r="M16" s="56"/>
      <c r="N16" s="56"/>
      <c r="O16" s="57">
        <f t="shared" si="0"/>
        <v>3.2950611449164056</v>
      </c>
      <c r="P16" s="57">
        <f>$H16/K16</f>
        <v>75.576558265582662</v>
      </c>
      <c r="Q16" s="57">
        <f t="shared" si="3"/>
        <v>31.734138972809671</v>
      </c>
    </row>
    <row r="17" spans="1:17" ht="6.75" customHeight="1" x14ac:dyDescent="0.35"/>
    <row r="18" spans="1:17" x14ac:dyDescent="0.35">
      <c r="B18" s="72" t="s">
        <v>145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3">
        <f>MAX(O8:O16)</f>
        <v>54.196356156332641</v>
      </c>
      <c r="P18" s="73">
        <f>MAX(P8:P16)</f>
        <v>204.79239412273122</v>
      </c>
      <c r="Q18" s="73">
        <f>MAX(Q8:Q16)</f>
        <v>113.6542310067943</v>
      </c>
    </row>
    <row r="19" spans="1:17" x14ac:dyDescent="0.35">
      <c r="B19" s="72" t="s">
        <v>146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>
        <f>QUARTILE(O8:O16,3)</f>
        <v>6.4249186841307786</v>
      </c>
      <c r="P19" s="72">
        <f>QUARTILE(P8:P16,3)</f>
        <v>97.151576923076917</v>
      </c>
      <c r="Q19" s="72">
        <f>QUARTILE(Q8:Q16,3)</f>
        <v>83.721719171917201</v>
      </c>
    </row>
    <row r="20" spans="1:17" x14ac:dyDescent="0.35">
      <c r="B20" s="72" t="s">
        <v>126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3">
        <f>AVERAGE(O8:O16)</f>
        <v>10.055062753196925</v>
      </c>
      <c r="P20" s="73">
        <f>AVERAGE(P8:P16)</f>
        <v>83.125821294312658</v>
      </c>
      <c r="Q20" s="73">
        <f>AVERAGE(Q8:Q16)</f>
        <v>57.477858610557831</v>
      </c>
    </row>
    <row r="21" spans="1:17" x14ac:dyDescent="0.35">
      <c r="B21" s="72" t="s">
        <v>123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>
        <f>QUARTILE(O8:O16,2)</f>
        <v>3.5940605624943838</v>
      </c>
      <c r="P21" s="72">
        <f>QUARTILE(P8:P16,2)</f>
        <v>75.576558265582662</v>
      </c>
      <c r="Q21" s="72">
        <f>QUARTILE(Q8:Q16,2)</f>
        <v>57.311442910915943</v>
      </c>
    </row>
    <row r="22" spans="1:17" x14ac:dyDescent="0.35">
      <c r="B22" s="72" t="s">
        <v>147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>
        <f>QUARTILE(O8:O16,1)</f>
        <v>3.2181227542408295</v>
      </c>
      <c r="P22" s="72">
        <f>QUARTILE(P8:P16,1)</f>
        <v>65.320750873108281</v>
      </c>
      <c r="Q22" s="72">
        <f>QUARTILE(Q8:Q16,1)</f>
        <v>31.734138972809671</v>
      </c>
    </row>
    <row r="23" spans="1:17" x14ac:dyDescent="0.35">
      <c r="B23" s="72" t="s">
        <v>148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3">
        <f>MIN(O8:O16)</f>
        <v>1.1801395657089393</v>
      </c>
      <c r="P23" s="73">
        <f>MIN(P8:P16)</f>
        <v>25.845039237668161</v>
      </c>
      <c r="Q23" s="73">
        <f>MIN(Q8:Q16)</f>
        <v>20.106597256982681</v>
      </c>
    </row>
    <row r="25" spans="1:17" x14ac:dyDescent="0.35">
      <c r="B25" s="58" t="s">
        <v>179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9" t="s">
        <v>149</v>
      </c>
      <c r="P25" s="59" t="s">
        <v>150</v>
      </c>
      <c r="Q25" s="59" t="s">
        <v>144</v>
      </c>
    </row>
    <row r="26" spans="1:17" ht="6" customHeight="1" x14ac:dyDescent="0.35"/>
    <row r="27" spans="1:17" x14ac:dyDescent="0.35">
      <c r="B27" s="74" t="s">
        <v>151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>
        <f>O$21*J8</f>
        <v>122.30588094168388</v>
      </c>
      <c r="P27" s="74">
        <f>P$21*K8</f>
        <v>5393.1431978319788</v>
      </c>
      <c r="Q27" s="75">
        <f>+Q28+Q29</f>
        <v>932.11226072772922</v>
      </c>
    </row>
    <row r="28" spans="1:17" x14ac:dyDescent="0.35">
      <c r="A28" s="54"/>
      <c r="B28" s="74" t="s">
        <v>152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5">
        <f>$G$8</f>
        <v>4.24</v>
      </c>
      <c r="P28" s="75">
        <f>$G$8</f>
        <v>4.24</v>
      </c>
      <c r="Q28" s="75">
        <f>$G$8</f>
        <v>4.24</v>
      </c>
    </row>
    <row r="29" spans="1:17" x14ac:dyDescent="0.35">
      <c r="A29" s="54"/>
      <c r="B29" s="74" t="s">
        <v>153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5">
        <f>O27-O28</f>
        <v>118.06588094168389</v>
      </c>
      <c r="P29" s="75">
        <f>P27-P28</f>
        <v>5388.903197831979</v>
      </c>
      <c r="Q29" s="75">
        <f>Q21*L8</f>
        <v>927.87226072772921</v>
      </c>
    </row>
    <row r="30" spans="1:17" x14ac:dyDescent="0.35">
      <c r="B30" s="74" t="s">
        <v>154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5">
        <f>$E$8</f>
        <v>1.93</v>
      </c>
      <c r="P30" s="75">
        <f t="shared" ref="P30:Q30" si="5">$E$8</f>
        <v>1.93</v>
      </c>
      <c r="Q30" s="75">
        <f t="shared" si="5"/>
        <v>1.93</v>
      </c>
    </row>
    <row r="31" spans="1:17" ht="8.25" customHeight="1" x14ac:dyDescent="0.35">
      <c r="O31" s="48"/>
      <c r="P31" s="48"/>
      <c r="Q31" s="48"/>
    </row>
    <row r="32" spans="1:17" s="49" customFormat="1" ht="17" x14ac:dyDescent="0.5">
      <c r="B32" s="124" t="s">
        <v>155</v>
      </c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>
        <f>O29/O30</f>
        <v>61.174031576002015</v>
      </c>
      <c r="P32" s="124">
        <f>P29/P30</f>
        <v>2792.1778227108703</v>
      </c>
      <c r="Q32" s="124">
        <f>Q29/Q30</f>
        <v>480.76282939260585</v>
      </c>
    </row>
    <row r="33" spans="2:17" ht="6" customHeight="1" x14ac:dyDescent="0.35"/>
    <row r="34" spans="2:17" ht="17" x14ac:dyDescent="0.5">
      <c r="B34" s="125" t="s">
        <v>156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126"/>
      <c r="O34" s="126" t="str">
        <f>IF(O32&gt;$D$8,"undervalued","overvalued")</f>
        <v>overvalued</v>
      </c>
      <c r="P34" s="128" t="str">
        <f>IF(P32&gt;$D$8,"undervalued","overvalued")</f>
        <v>undervalued</v>
      </c>
      <c r="Q34" s="127" t="str">
        <f>IF(Q32&gt;$D$8,"undervalued","overvalued")</f>
        <v>overvalued</v>
      </c>
    </row>
  </sheetData>
  <mergeCells count="4">
    <mergeCell ref="C5:H5"/>
    <mergeCell ref="J5:M5"/>
    <mergeCell ref="O5:P5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Front page</vt:lpstr>
      <vt:lpstr>HistoricalFS</vt:lpstr>
      <vt:lpstr>Ratio Analysis</vt:lpstr>
      <vt:lpstr>Forecasting</vt:lpstr>
      <vt:lpstr>Data Sheet</vt:lpstr>
      <vt:lpstr>Raw Data For CCA</vt:lpstr>
      <vt:lpstr>CCA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Kurmi</dc:creator>
  <cp:lastModifiedBy>NAMAHA SHIVAY</cp:lastModifiedBy>
  <cp:lastPrinted>2024-05-06T05:38:03Z</cp:lastPrinted>
  <dcterms:created xsi:type="dcterms:W3CDTF">2023-01-14T08:22:33Z</dcterms:created>
  <dcterms:modified xsi:type="dcterms:W3CDTF">2024-09-25T16:51:24Z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