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FINANCILA MODELLING\"/>
    </mc:Choice>
  </mc:AlternateContent>
  <xr:revisionPtr revIDLastSave="0" documentId="13_ncr:1_{6511702B-E510-4EB9-9B39-855418453E21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Financials&gt;" sheetId="7" r:id="rId6"/>
    <sheet name="HistoricalFS" sheetId="8" r:id="rId7"/>
    <sheet name="Ratio Analysis" sheetId="14" r:id="rId8"/>
    <sheet name="forecasting" sheetId="17" r:id="rId9"/>
    <sheet name="Data&gt;" sheetId="9" r:id="rId10"/>
    <sheet name="Data Sheet" sheetId="6" r:id="rId11"/>
    <sheet name="CFS Data" sheetId="12" r:id="rId12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" i="6" l="1"/>
  <c r="D51" i="6"/>
  <c r="E51" i="6"/>
  <c r="F51" i="6"/>
  <c r="G51" i="6"/>
  <c r="H51" i="6"/>
  <c r="I51" i="6"/>
  <c r="J51" i="6"/>
  <c r="K51" i="6"/>
  <c r="B51" i="6"/>
  <c r="C32" i="6"/>
  <c r="D32" i="6"/>
  <c r="E32" i="6"/>
  <c r="F32" i="6"/>
  <c r="G32" i="6"/>
  <c r="H32" i="6"/>
  <c r="I32" i="6"/>
  <c r="J32" i="6"/>
  <c r="K32" i="6"/>
  <c r="B32" i="6"/>
  <c r="N15" i="17"/>
  <c r="N16" i="17"/>
  <c r="N17" i="17"/>
  <c r="N18" i="17"/>
  <c r="N14" i="17"/>
  <c r="N4" i="17" a="1"/>
  <c r="N4" i="17" s="1"/>
  <c r="L2" i="17"/>
  <c r="M5" i="17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M4" i="17"/>
  <c r="G2" i="17"/>
  <c r="H4" i="17"/>
  <c r="H5" i="17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C4" i="17"/>
  <c r="B2" i="17"/>
  <c r="G5" i="17"/>
  <c r="G6" i="17" s="1"/>
  <c r="G7" i="17" s="1"/>
  <c r="G8" i="17" s="1"/>
  <c r="G9" i="17" s="1"/>
  <c r="G10" i="17" s="1"/>
  <c r="G11" i="17" s="1"/>
  <c r="G12" i="17" s="1"/>
  <c r="G13" i="17" s="1"/>
  <c r="G14" i="17" s="1"/>
  <c r="D15" i="17"/>
  <c r="D16" i="17"/>
  <c r="D17" i="17"/>
  <c r="D18" i="17"/>
  <c r="E18" i="17" s="1"/>
  <c r="D14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5" i="17"/>
  <c r="D4" i="17" a="1"/>
  <c r="D5" i="17" s="1"/>
  <c r="C5" i="17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B5" i="17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I4" i="17" l="1" a="1"/>
  <c r="I4" i="17" s="1"/>
  <c r="N10" i="17"/>
  <c r="N9" i="17"/>
  <c r="N6" i="17"/>
  <c r="N11" i="17"/>
  <c r="N8" i="17"/>
  <c r="N7" i="17"/>
  <c r="O7" i="17" s="1"/>
  <c r="N13" i="17"/>
  <c r="O13" i="17" s="1"/>
  <c r="N5" i="17"/>
  <c r="O5" i="17" s="1"/>
  <c r="N12" i="17"/>
  <c r="L15" i="17"/>
  <c r="O10" i="17"/>
  <c r="O11" i="17"/>
  <c r="G15" i="17"/>
  <c r="D8" i="17"/>
  <c r="D4" i="17"/>
  <c r="D11" i="17"/>
  <c r="D10" i="17"/>
  <c r="D6" i="17"/>
  <c r="D12" i="17"/>
  <c r="D9" i="17"/>
  <c r="D7" i="17"/>
  <c r="D13" i="17"/>
  <c r="I5" i="17" l="1"/>
  <c r="J5" i="17" s="1"/>
  <c r="I13" i="17"/>
  <c r="J13" i="17" s="1"/>
  <c r="I7" i="17"/>
  <c r="I6" i="17"/>
  <c r="I14" i="17" s="1"/>
  <c r="J14" i="17" s="1"/>
  <c r="I12" i="17"/>
  <c r="J12" i="17" s="1"/>
  <c r="I8" i="17"/>
  <c r="J8" i="17" s="1"/>
  <c r="I9" i="17"/>
  <c r="J9" i="17" s="1"/>
  <c r="I10" i="17"/>
  <c r="J10" i="17" s="1"/>
  <c r="I11" i="17"/>
  <c r="J7" i="17"/>
  <c r="I16" i="17"/>
  <c r="I17" i="17"/>
  <c r="I18" i="17"/>
  <c r="O14" i="17"/>
  <c r="O6" i="17"/>
  <c r="O8" i="17"/>
  <c r="O15" i="17"/>
  <c r="L16" i="17"/>
  <c r="O9" i="17"/>
  <c r="O12" i="17"/>
  <c r="G16" i="17"/>
  <c r="I15" i="17" l="1"/>
  <c r="J15" i="17" s="1"/>
  <c r="J6" i="17"/>
  <c r="J11" i="17"/>
  <c r="O16" i="17"/>
  <c r="L17" i="17"/>
  <c r="G17" i="17"/>
  <c r="J16" i="17" l="1"/>
  <c r="L18" i="17"/>
  <c r="O17" i="17"/>
  <c r="G18" i="17"/>
  <c r="J17" i="17"/>
  <c r="N25" i="14"/>
  <c r="O39" i="14"/>
  <c r="O40" i="14"/>
  <c r="O38" i="14"/>
  <c r="O34" i="14"/>
  <c r="O35" i="14"/>
  <c r="O36" i="14"/>
  <c r="O33" i="14"/>
  <c r="O28" i="14"/>
  <c r="O29" i="14"/>
  <c r="O30" i="14"/>
  <c r="O31" i="14"/>
  <c r="O27" i="14"/>
  <c r="O22" i="14"/>
  <c r="O23" i="14"/>
  <c r="O24" i="14"/>
  <c r="O25" i="14"/>
  <c r="O21" i="14"/>
  <c r="O18" i="14"/>
  <c r="O19" i="14"/>
  <c r="O17" i="14"/>
  <c r="O12" i="14"/>
  <c r="O13" i="14"/>
  <c r="O14" i="14"/>
  <c r="O15" i="14"/>
  <c r="O11" i="14"/>
  <c r="O9" i="14"/>
  <c r="O6" i="14"/>
  <c r="O7" i="14"/>
  <c r="O8" i="14"/>
  <c r="O5" i="14"/>
  <c r="N27" i="14"/>
  <c r="N28" i="14"/>
  <c r="N29" i="14"/>
  <c r="N30" i="14"/>
  <c r="N31" i="14"/>
  <c r="N33" i="14"/>
  <c r="N34" i="14"/>
  <c r="N35" i="14"/>
  <c r="N36" i="14"/>
  <c r="N38" i="14"/>
  <c r="N39" i="14"/>
  <c r="N40" i="14"/>
  <c r="N24" i="14"/>
  <c r="N21" i="14"/>
  <c r="N22" i="14"/>
  <c r="N23" i="14"/>
  <c r="N18" i="14"/>
  <c r="N19" i="14"/>
  <c r="N17" i="14"/>
  <c r="N12" i="14"/>
  <c r="N13" i="14"/>
  <c r="N14" i="14"/>
  <c r="N15" i="14"/>
  <c r="N11" i="14"/>
  <c r="N6" i="14"/>
  <c r="N7" i="14"/>
  <c r="N8" i="14"/>
  <c r="N9" i="14"/>
  <c r="N5" i="14"/>
  <c r="D25" i="14"/>
  <c r="E25" i="14"/>
  <c r="F25" i="14"/>
  <c r="G25" i="14"/>
  <c r="H25" i="14"/>
  <c r="I25" i="14"/>
  <c r="J25" i="14"/>
  <c r="K25" i="14"/>
  <c r="L25" i="14"/>
  <c r="C25" i="14"/>
  <c r="C38" i="14"/>
  <c r="L40" i="14"/>
  <c r="K40" i="14"/>
  <c r="J40" i="14"/>
  <c r="I40" i="14"/>
  <c r="H40" i="14"/>
  <c r="G40" i="14"/>
  <c r="F40" i="14"/>
  <c r="E40" i="14"/>
  <c r="D40" i="14"/>
  <c r="L39" i="14"/>
  <c r="K39" i="14"/>
  <c r="J39" i="14"/>
  <c r="I39" i="14"/>
  <c r="H39" i="14"/>
  <c r="G39" i="14"/>
  <c r="F39" i="14"/>
  <c r="E39" i="14"/>
  <c r="D39" i="14"/>
  <c r="L38" i="14"/>
  <c r="K38" i="14"/>
  <c r="J38" i="14"/>
  <c r="I38" i="14"/>
  <c r="H38" i="14"/>
  <c r="G38" i="14"/>
  <c r="F38" i="14"/>
  <c r="E38" i="14"/>
  <c r="D38" i="14"/>
  <c r="C40" i="14"/>
  <c r="C39" i="14"/>
  <c r="J35" i="14"/>
  <c r="I35" i="14"/>
  <c r="D28" i="14"/>
  <c r="D34" i="14" s="1"/>
  <c r="E28" i="14"/>
  <c r="E34" i="14" s="1"/>
  <c r="F28" i="14"/>
  <c r="F34" i="14" s="1"/>
  <c r="G28" i="14"/>
  <c r="G34" i="14" s="1"/>
  <c r="H28" i="14"/>
  <c r="H34" i="14" s="1"/>
  <c r="I28" i="14"/>
  <c r="I34" i="14" s="1"/>
  <c r="J28" i="14"/>
  <c r="J34" i="14" s="1"/>
  <c r="K28" i="14"/>
  <c r="K34" i="14" s="1"/>
  <c r="L28" i="14"/>
  <c r="L34" i="14" s="1"/>
  <c r="D27" i="14"/>
  <c r="D33" i="14" s="1"/>
  <c r="E27" i="14"/>
  <c r="E33" i="14" s="1"/>
  <c r="F27" i="14"/>
  <c r="F33" i="14" s="1"/>
  <c r="G27" i="14"/>
  <c r="G33" i="14" s="1"/>
  <c r="H27" i="14"/>
  <c r="H33" i="14" s="1"/>
  <c r="I27" i="14"/>
  <c r="I33" i="14" s="1"/>
  <c r="J27" i="14"/>
  <c r="J33" i="14" s="1"/>
  <c r="K27" i="14"/>
  <c r="K33" i="14" s="1"/>
  <c r="L27" i="14"/>
  <c r="L33" i="14" s="1"/>
  <c r="C28" i="14"/>
  <c r="C34" i="14" s="1"/>
  <c r="C27" i="14"/>
  <c r="C33" i="14" s="1"/>
  <c r="C36" i="14" s="1"/>
  <c r="L31" i="14"/>
  <c r="K31" i="14"/>
  <c r="J31" i="14"/>
  <c r="I31" i="14"/>
  <c r="H31" i="14"/>
  <c r="G31" i="14"/>
  <c r="F31" i="14"/>
  <c r="E31" i="14"/>
  <c r="D31" i="14"/>
  <c r="L30" i="14"/>
  <c r="K30" i="14"/>
  <c r="J30" i="14"/>
  <c r="I30" i="14"/>
  <c r="H30" i="14"/>
  <c r="G30" i="14"/>
  <c r="F30" i="14"/>
  <c r="E30" i="14"/>
  <c r="D30" i="14"/>
  <c r="L29" i="14"/>
  <c r="L35" i="14" s="1"/>
  <c r="K29" i="14"/>
  <c r="K35" i="14" s="1"/>
  <c r="J29" i="14"/>
  <c r="I29" i="14"/>
  <c r="H29" i="14"/>
  <c r="H35" i="14" s="1"/>
  <c r="G29" i="14"/>
  <c r="G35" i="14" s="1"/>
  <c r="F29" i="14"/>
  <c r="F35" i="14" s="1"/>
  <c r="E29" i="14"/>
  <c r="E35" i="14" s="1"/>
  <c r="D29" i="14"/>
  <c r="D35" i="14" s="1"/>
  <c r="C31" i="14"/>
  <c r="C30" i="14"/>
  <c r="C29" i="14"/>
  <c r="C35" i="14" s="1"/>
  <c r="D5" i="14"/>
  <c r="L23" i="14"/>
  <c r="K23" i="14"/>
  <c r="J23" i="14"/>
  <c r="I23" i="14"/>
  <c r="H23" i="14"/>
  <c r="G23" i="14"/>
  <c r="F23" i="14"/>
  <c r="E23" i="14"/>
  <c r="D23" i="14"/>
  <c r="L22" i="14"/>
  <c r="K22" i="14"/>
  <c r="J22" i="14"/>
  <c r="J24" i="14" s="1"/>
  <c r="I22" i="14"/>
  <c r="H22" i="14"/>
  <c r="H24" i="14" s="1"/>
  <c r="G22" i="14"/>
  <c r="G24" i="14" s="1"/>
  <c r="F22" i="14"/>
  <c r="E22" i="14"/>
  <c r="E24" i="14" s="1"/>
  <c r="D22" i="14"/>
  <c r="L21" i="14"/>
  <c r="K21" i="14"/>
  <c r="J21" i="14"/>
  <c r="I21" i="14"/>
  <c r="H21" i="14"/>
  <c r="G21" i="14"/>
  <c r="F21" i="14"/>
  <c r="E21" i="14"/>
  <c r="D21" i="14"/>
  <c r="C23" i="14"/>
  <c r="C22" i="14"/>
  <c r="C24" i="14" s="1"/>
  <c r="C21" i="14"/>
  <c r="L18" i="14"/>
  <c r="K18" i="14"/>
  <c r="J18" i="14"/>
  <c r="I18" i="14"/>
  <c r="H18" i="14"/>
  <c r="G18" i="14"/>
  <c r="F18" i="14"/>
  <c r="E18" i="14"/>
  <c r="D18" i="14"/>
  <c r="L17" i="14"/>
  <c r="K17" i="14"/>
  <c r="J17" i="14"/>
  <c r="I17" i="14"/>
  <c r="H17" i="14"/>
  <c r="G17" i="14"/>
  <c r="F17" i="14"/>
  <c r="E17" i="14"/>
  <c r="D17" i="14"/>
  <c r="C18" i="14"/>
  <c r="C17" i="14"/>
  <c r="L15" i="14"/>
  <c r="K15" i="14"/>
  <c r="J15" i="14"/>
  <c r="I15" i="14"/>
  <c r="H15" i="14"/>
  <c r="G15" i="14"/>
  <c r="F15" i="14"/>
  <c r="E15" i="14"/>
  <c r="D15" i="14"/>
  <c r="L14" i="14"/>
  <c r="K14" i="14"/>
  <c r="J14" i="14"/>
  <c r="I14" i="14"/>
  <c r="H14" i="14"/>
  <c r="G14" i="14"/>
  <c r="F14" i="14"/>
  <c r="E14" i="14"/>
  <c r="D14" i="14"/>
  <c r="L13" i="14"/>
  <c r="L19" i="14" s="1"/>
  <c r="K13" i="14"/>
  <c r="K19" i="14" s="1"/>
  <c r="J13" i="14"/>
  <c r="J19" i="14" s="1"/>
  <c r="I13" i="14"/>
  <c r="I19" i="14" s="1"/>
  <c r="H13" i="14"/>
  <c r="H19" i="14" s="1"/>
  <c r="G13" i="14"/>
  <c r="G19" i="14" s="1"/>
  <c r="F13" i="14"/>
  <c r="F19" i="14" s="1"/>
  <c r="E13" i="14"/>
  <c r="E19" i="14" s="1"/>
  <c r="D13" i="14"/>
  <c r="D19" i="14" s="1"/>
  <c r="L12" i="14"/>
  <c r="K12" i="14"/>
  <c r="J12" i="14"/>
  <c r="I12" i="14"/>
  <c r="H12" i="14"/>
  <c r="G12" i="14"/>
  <c r="F12" i="14"/>
  <c r="E12" i="14"/>
  <c r="D12" i="14"/>
  <c r="L11" i="14"/>
  <c r="K11" i="14"/>
  <c r="J11" i="14"/>
  <c r="I11" i="14"/>
  <c r="H11" i="14"/>
  <c r="G11" i="14"/>
  <c r="F11" i="14"/>
  <c r="E11" i="14"/>
  <c r="D11" i="14"/>
  <c r="C12" i="14"/>
  <c r="C13" i="14"/>
  <c r="C19" i="14" s="1"/>
  <c r="C14" i="14"/>
  <c r="C15" i="14"/>
  <c r="C11" i="14"/>
  <c r="E5" i="14"/>
  <c r="F5" i="14"/>
  <c r="G5" i="14"/>
  <c r="H5" i="14"/>
  <c r="I5" i="14"/>
  <c r="J5" i="14"/>
  <c r="K5" i="14"/>
  <c r="L5" i="14"/>
  <c r="E6" i="14"/>
  <c r="F6" i="14"/>
  <c r="G6" i="14"/>
  <c r="H6" i="14"/>
  <c r="I6" i="14"/>
  <c r="J6" i="14"/>
  <c r="K6" i="14"/>
  <c r="L6" i="14"/>
  <c r="E7" i="14"/>
  <c r="F7" i="14"/>
  <c r="G7" i="14"/>
  <c r="H7" i="14"/>
  <c r="I7" i="14"/>
  <c r="J7" i="14"/>
  <c r="K7" i="14"/>
  <c r="L7" i="14"/>
  <c r="E8" i="14"/>
  <c r="F8" i="14"/>
  <c r="G8" i="14"/>
  <c r="H8" i="14"/>
  <c r="I8" i="14"/>
  <c r="J8" i="14"/>
  <c r="K8" i="14"/>
  <c r="L8" i="14"/>
  <c r="E9" i="14"/>
  <c r="F9" i="14"/>
  <c r="G9" i="14"/>
  <c r="H9" i="14"/>
  <c r="I9" i="14"/>
  <c r="J9" i="14"/>
  <c r="K9" i="14"/>
  <c r="L9" i="14"/>
  <c r="D9" i="14"/>
  <c r="D8" i="14"/>
  <c r="D7" i="14"/>
  <c r="D6" i="14"/>
  <c r="L3" i="14"/>
  <c r="K3" i="14"/>
  <c r="J3" i="14"/>
  <c r="I3" i="14"/>
  <c r="H3" i="14"/>
  <c r="G3" i="14"/>
  <c r="F3" i="14"/>
  <c r="E3" i="14"/>
  <c r="D3" i="14"/>
  <c r="C3" i="14"/>
  <c r="B2" i="14"/>
  <c r="D108" i="8"/>
  <c r="E108" i="8"/>
  <c r="F108" i="8"/>
  <c r="G108" i="8"/>
  <c r="H108" i="8"/>
  <c r="I108" i="8"/>
  <c r="J108" i="8"/>
  <c r="K108" i="8"/>
  <c r="L108" i="8"/>
  <c r="C108" i="8"/>
  <c r="D106" i="8"/>
  <c r="E106" i="8"/>
  <c r="F106" i="8"/>
  <c r="G106" i="8"/>
  <c r="H106" i="8"/>
  <c r="I106" i="8"/>
  <c r="J106" i="8"/>
  <c r="K106" i="8"/>
  <c r="L106" i="8"/>
  <c r="C106" i="8"/>
  <c r="C99" i="8"/>
  <c r="D99" i="8"/>
  <c r="E99" i="8"/>
  <c r="F99" i="8"/>
  <c r="G99" i="8"/>
  <c r="H99" i="8"/>
  <c r="I99" i="8"/>
  <c r="J99" i="8"/>
  <c r="K99" i="8"/>
  <c r="L99" i="8"/>
  <c r="C100" i="8"/>
  <c r="D100" i="8"/>
  <c r="E100" i="8"/>
  <c r="F100" i="8"/>
  <c r="G100" i="8"/>
  <c r="H100" i="8"/>
  <c r="I100" i="8"/>
  <c r="J100" i="8"/>
  <c r="K100" i="8"/>
  <c r="L100" i="8"/>
  <c r="C101" i="8"/>
  <c r="D101" i="8"/>
  <c r="E101" i="8"/>
  <c r="F101" i="8"/>
  <c r="G101" i="8"/>
  <c r="H101" i="8"/>
  <c r="I101" i="8"/>
  <c r="J101" i="8"/>
  <c r="K101" i="8"/>
  <c r="L101" i="8"/>
  <c r="C102" i="8"/>
  <c r="D102" i="8"/>
  <c r="E102" i="8"/>
  <c r="F102" i="8"/>
  <c r="G102" i="8"/>
  <c r="H102" i="8"/>
  <c r="I102" i="8"/>
  <c r="J102" i="8"/>
  <c r="K102" i="8"/>
  <c r="L102" i="8"/>
  <c r="C103" i="8"/>
  <c r="D103" i="8"/>
  <c r="E103" i="8"/>
  <c r="F103" i="8"/>
  <c r="G103" i="8"/>
  <c r="H103" i="8"/>
  <c r="I103" i="8"/>
  <c r="J103" i="8"/>
  <c r="K103" i="8"/>
  <c r="L103" i="8"/>
  <c r="C104" i="8"/>
  <c r="D104" i="8"/>
  <c r="E104" i="8"/>
  <c r="F104" i="8"/>
  <c r="G104" i="8"/>
  <c r="H104" i="8"/>
  <c r="I104" i="8"/>
  <c r="J104" i="8"/>
  <c r="K104" i="8"/>
  <c r="L104" i="8"/>
  <c r="C105" i="8"/>
  <c r="D105" i="8"/>
  <c r="E105" i="8"/>
  <c r="F105" i="8"/>
  <c r="G105" i="8"/>
  <c r="H105" i="8"/>
  <c r="I105" i="8"/>
  <c r="J105" i="8"/>
  <c r="K105" i="8"/>
  <c r="L105" i="8"/>
  <c r="D98" i="8"/>
  <c r="E98" i="8"/>
  <c r="F98" i="8"/>
  <c r="G98" i="8"/>
  <c r="H98" i="8"/>
  <c r="I98" i="8"/>
  <c r="J98" i="8"/>
  <c r="K98" i="8"/>
  <c r="L98" i="8"/>
  <c r="C98" i="8"/>
  <c r="D95" i="8"/>
  <c r="E95" i="8"/>
  <c r="F95" i="8"/>
  <c r="G95" i="8"/>
  <c r="H95" i="8"/>
  <c r="I95" i="8"/>
  <c r="J95" i="8"/>
  <c r="K95" i="8"/>
  <c r="L95" i="8"/>
  <c r="C95" i="8"/>
  <c r="D84" i="8"/>
  <c r="E84" i="8"/>
  <c r="F84" i="8"/>
  <c r="G84" i="8"/>
  <c r="H84" i="8"/>
  <c r="I84" i="8"/>
  <c r="J84" i="8"/>
  <c r="K84" i="8"/>
  <c r="L84" i="8"/>
  <c r="D85" i="8"/>
  <c r="E85" i="8"/>
  <c r="F85" i="8"/>
  <c r="G85" i="8"/>
  <c r="H85" i="8"/>
  <c r="I85" i="8"/>
  <c r="J85" i="8"/>
  <c r="K85" i="8"/>
  <c r="L85" i="8"/>
  <c r="D86" i="8"/>
  <c r="E86" i="8"/>
  <c r="F86" i="8"/>
  <c r="G86" i="8"/>
  <c r="H86" i="8"/>
  <c r="I86" i="8"/>
  <c r="J86" i="8"/>
  <c r="K86" i="8"/>
  <c r="L86" i="8"/>
  <c r="D87" i="8"/>
  <c r="E87" i="8"/>
  <c r="F87" i="8"/>
  <c r="G87" i="8"/>
  <c r="H87" i="8"/>
  <c r="I87" i="8"/>
  <c r="J87" i="8"/>
  <c r="K87" i="8"/>
  <c r="L87" i="8"/>
  <c r="D88" i="8"/>
  <c r="E88" i="8"/>
  <c r="F88" i="8"/>
  <c r="G88" i="8"/>
  <c r="H88" i="8"/>
  <c r="I88" i="8"/>
  <c r="J88" i="8"/>
  <c r="K88" i="8"/>
  <c r="L88" i="8"/>
  <c r="D89" i="8"/>
  <c r="E89" i="8"/>
  <c r="F89" i="8"/>
  <c r="G89" i="8"/>
  <c r="H89" i="8"/>
  <c r="I89" i="8"/>
  <c r="J89" i="8"/>
  <c r="K89" i="8"/>
  <c r="L89" i="8"/>
  <c r="D90" i="8"/>
  <c r="E90" i="8"/>
  <c r="F90" i="8"/>
  <c r="G90" i="8"/>
  <c r="H90" i="8"/>
  <c r="I90" i="8"/>
  <c r="J90" i="8"/>
  <c r="K90" i="8"/>
  <c r="L90" i="8"/>
  <c r="D91" i="8"/>
  <c r="E91" i="8"/>
  <c r="F91" i="8"/>
  <c r="G91" i="8"/>
  <c r="H91" i="8"/>
  <c r="I91" i="8"/>
  <c r="J91" i="8"/>
  <c r="K91" i="8"/>
  <c r="L91" i="8"/>
  <c r="D92" i="8"/>
  <c r="E92" i="8"/>
  <c r="F92" i="8"/>
  <c r="G92" i="8"/>
  <c r="H92" i="8"/>
  <c r="I92" i="8"/>
  <c r="J92" i="8"/>
  <c r="K92" i="8"/>
  <c r="L92" i="8"/>
  <c r="D93" i="8"/>
  <c r="E93" i="8"/>
  <c r="F93" i="8"/>
  <c r="G93" i="8"/>
  <c r="H93" i="8"/>
  <c r="I93" i="8"/>
  <c r="J93" i="8"/>
  <c r="K93" i="8"/>
  <c r="L93" i="8"/>
  <c r="D94" i="8"/>
  <c r="E94" i="8"/>
  <c r="F94" i="8"/>
  <c r="G94" i="8"/>
  <c r="H94" i="8"/>
  <c r="I94" i="8"/>
  <c r="J94" i="8"/>
  <c r="K94" i="8"/>
  <c r="L94" i="8"/>
  <c r="C85" i="8"/>
  <c r="C86" i="8"/>
  <c r="C87" i="8"/>
  <c r="C88" i="8"/>
  <c r="C89" i="8"/>
  <c r="C90" i="8"/>
  <c r="C91" i="8"/>
  <c r="C92" i="8"/>
  <c r="C93" i="8"/>
  <c r="C94" i="8"/>
  <c r="C84" i="8"/>
  <c r="D81" i="8"/>
  <c r="E81" i="8"/>
  <c r="F81" i="8"/>
  <c r="G81" i="8"/>
  <c r="H81" i="8"/>
  <c r="I81" i="8"/>
  <c r="J81" i="8"/>
  <c r="K81" i="8"/>
  <c r="L81" i="8"/>
  <c r="C81" i="8"/>
  <c r="D73" i="8"/>
  <c r="E73" i="8"/>
  <c r="F73" i="8"/>
  <c r="G73" i="8"/>
  <c r="H73" i="8"/>
  <c r="I73" i="8"/>
  <c r="J73" i="8"/>
  <c r="K73" i="8"/>
  <c r="L73" i="8"/>
  <c r="D74" i="8"/>
  <c r="E74" i="8"/>
  <c r="F74" i="8"/>
  <c r="G74" i="8"/>
  <c r="H74" i="8"/>
  <c r="I74" i="8"/>
  <c r="J74" i="8"/>
  <c r="K74" i="8"/>
  <c r="L74" i="8"/>
  <c r="D75" i="8"/>
  <c r="E75" i="8"/>
  <c r="F75" i="8"/>
  <c r="G75" i="8"/>
  <c r="H75" i="8"/>
  <c r="I75" i="8"/>
  <c r="J75" i="8"/>
  <c r="K75" i="8"/>
  <c r="L75" i="8"/>
  <c r="D76" i="8"/>
  <c r="E76" i="8"/>
  <c r="F76" i="8"/>
  <c r="G76" i="8"/>
  <c r="H76" i="8"/>
  <c r="I76" i="8"/>
  <c r="J76" i="8"/>
  <c r="K76" i="8"/>
  <c r="L76" i="8"/>
  <c r="D77" i="8"/>
  <c r="E77" i="8"/>
  <c r="F77" i="8"/>
  <c r="G77" i="8"/>
  <c r="H77" i="8"/>
  <c r="I77" i="8"/>
  <c r="J77" i="8"/>
  <c r="K77" i="8"/>
  <c r="L77" i="8"/>
  <c r="D78" i="8"/>
  <c r="E78" i="8"/>
  <c r="F78" i="8"/>
  <c r="G78" i="8"/>
  <c r="H78" i="8"/>
  <c r="I78" i="8"/>
  <c r="J78" i="8"/>
  <c r="K78" i="8"/>
  <c r="L78" i="8"/>
  <c r="D79" i="8"/>
  <c r="E79" i="8"/>
  <c r="F79" i="8"/>
  <c r="G79" i="8"/>
  <c r="H79" i="8"/>
  <c r="I79" i="8"/>
  <c r="J79" i="8"/>
  <c r="K79" i="8"/>
  <c r="L79" i="8"/>
  <c r="D80" i="8"/>
  <c r="E80" i="8"/>
  <c r="F80" i="8"/>
  <c r="G80" i="8"/>
  <c r="H80" i="8"/>
  <c r="I80" i="8"/>
  <c r="J80" i="8"/>
  <c r="K80" i="8"/>
  <c r="L80" i="8"/>
  <c r="C74" i="8"/>
  <c r="C75" i="8"/>
  <c r="C76" i="8"/>
  <c r="C77" i="8"/>
  <c r="C78" i="8"/>
  <c r="C79" i="8"/>
  <c r="C80" i="8"/>
  <c r="C73" i="8"/>
  <c r="D69" i="8"/>
  <c r="E69" i="8"/>
  <c r="M69" i="8"/>
  <c r="D67" i="8"/>
  <c r="E67" i="8"/>
  <c r="F67" i="8"/>
  <c r="F69" i="8" s="1"/>
  <c r="G67" i="8"/>
  <c r="G69" i="8" s="1"/>
  <c r="H67" i="8"/>
  <c r="H69" i="8" s="1"/>
  <c r="I67" i="8"/>
  <c r="I69" i="8" s="1"/>
  <c r="J67" i="8"/>
  <c r="J69" i="8" s="1"/>
  <c r="K67" i="8"/>
  <c r="K69" i="8" s="1"/>
  <c r="L67" i="8"/>
  <c r="L69" i="8" s="1"/>
  <c r="D60" i="8"/>
  <c r="E60" i="8"/>
  <c r="F60" i="8"/>
  <c r="G60" i="8"/>
  <c r="H60" i="8"/>
  <c r="I60" i="8"/>
  <c r="J60" i="8"/>
  <c r="K60" i="8"/>
  <c r="L60" i="8"/>
  <c r="C60" i="8"/>
  <c r="D59" i="8"/>
  <c r="E59" i="8"/>
  <c r="F59" i="8"/>
  <c r="G59" i="8"/>
  <c r="H59" i="8"/>
  <c r="I59" i="8"/>
  <c r="J59" i="8"/>
  <c r="K59" i="8"/>
  <c r="L59" i="8"/>
  <c r="C59" i="8"/>
  <c r="C67" i="8"/>
  <c r="C69" i="8" s="1"/>
  <c r="D65" i="8"/>
  <c r="E65" i="8"/>
  <c r="F65" i="8"/>
  <c r="G65" i="8"/>
  <c r="H65" i="8"/>
  <c r="I65" i="8"/>
  <c r="J65" i="8"/>
  <c r="K65" i="8"/>
  <c r="L65" i="8"/>
  <c r="M65" i="8"/>
  <c r="C65" i="8"/>
  <c r="D62" i="8"/>
  <c r="E62" i="8"/>
  <c r="F62" i="8"/>
  <c r="G62" i="8"/>
  <c r="H62" i="8"/>
  <c r="I62" i="8"/>
  <c r="J62" i="8"/>
  <c r="K62" i="8"/>
  <c r="L62" i="8"/>
  <c r="D63" i="8"/>
  <c r="E63" i="8"/>
  <c r="F63" i="8"/>
  <c r="G63" i="8"/>
  <c r="H63" i="8"/>
  <c r="I63" i="8"/>
  <c r="J63" i="8"/>
  <c r="K63" i="8"/>
  <c r="L63" i="8"/>
  <c r="D64" i="8"/>
  <c r="E64" i="8"/>
  <c r="F64" i="8"/>
  <c r="G64" i="8"/>
  <c r="H64" i="8"/>
  <c r="I64" i="8"/>
  <c r="J64" i="8"/>
  <c r="K64" i="8"/>
  <c r="L64" i="8"/>
  <c r="C63" i="8"/>
  <c r="C64" i="8"/>
  <c r="C62" i="8"/>
  <c r="D56" i="8"/>
  <c r="E56" i="8"/>
  <c r="F56" i="8"/>
  <c r="G56" i="8"/>
  <c r="H56" i="8"/>
  <c r="I56" i="8"/>
  <c r="J56" i="8"/>
  <c r="K56" i="8"/>
  <c r="L56" i="8"/>
  <c r="D57" i="8"/>
  <c r="E57" i="8"/>
  <c r="F57" i="8"/>
  <c r="G57" i="8"/>
  <c r="H57" i="8"/>
  <c r="I57" i="8"/>
  <c r="J57" i="8"/>
  <c r="K57" i="8"/>
  <c r="L57" i="8"/>
  <c r="D58" i="8"/>
  <c r="E58" i="8"/>
  <c r="F58" i="8"/>
  <c r="G58" i="8"/>
  <c r="H58" i="8"/>
  <c r="I58" i="8"/>
  <c r="J58" i="8"/>
  <c r="K58" i="8"/>
  <c r="L58" i="8"/>
  <c r="C57" i="8"/>
  <c r="C58" i="8"/>
  <c r="C56" i="8"/>
  <c r="D50" i="8"/>
  <c r="E50" i="8"/>
  <c r="F50" i="8"/>
  <c r="G50" i="8"/>
  <c r="H50" i="8"/>
  <c r="I50" i="8"/>
  <c r="J50" i="8"/>
  <c r="K50" i="8"/>
  <c r="L50" i="8"/>
  <c r="M50" i="8"/>
  <c r="D51" i="8"/>
  <c r="E51" i="8"/>
  <c r="F51" i="8"/>
  <c r="G51" i="8"/>
  <c r="H51" i="8"/>
  <c r="I51" i="8"/>
  <c r="J51" i="8"/>
  <c r="K51" i="8"/>
  <c r="L51" i="8"/>
  <c r="M51" i="8"/>
  <c r="D52" i="8"/>
  <c r="E52" i="8"/>
  <c r="F52" i="8"/>
  <c r="G52" i="8"/>
  <c r="H52" i="8"/>
  <c r="I52" i="8"/>
  <c r="J52" i="8"/>
  <c r="K52" i="8"/>
  <c r="L52" i="8"/>
  <c r="M52" i="8"/>
  <c r="D53" i="8"/>
  <c r="E53" i="8"/>
  <c r="F53" i="8"/>
  <c r="G53" i="8"/>
  <c r="H53" i="8"/>
  <c r="I53" i="8"/>
  <c r="J53" i="8"/>
  <c r="K53" i="8"/>
  <c r="L53" i="8"/>
  <c r="M53" i="8"/>
  <c r="D54" i="8"/>
  <c r="E54" i="8"/>
  <c r="F54" i="8"/>
  <c r="G54" i="8"/>
  <c r="H54" i="8"/>
  <c r="I54" i="8"/>
  <c r="J54" i="8"/>
  <c r="K54" i="8"/>
  <c r="L54" i="8"/>
  <c r="M54" i="8"/>
  <c r="C51" i="8"/>
  <c r="C52" i="8"/>
  <c r="C53" i="8"/>
  <c r="C54" i="8"/>
  <c r="C50" i="8"/>
  <c r="D37" i="8"/>
  <c r="E37" i="8"/>
  <c r="F37" i="8"/>
  <c r="G37" i="8"/>
  <c r="H37" i="8"/>
  <c r="I37" i="8"/>
  <c r="J37" i="8"/>
  <c r="K37" i="8"/>
  <c r="L37" i="8"/>
  <c r="M37" i="8" s="1"/>
  <c r="C37" i="8"/>
  <c r="M31" i="8"/>
  <c r="D31" i="8"/>
  <c r="E31" i="8"/>
  <c r="F31" i="8"/>
  <c r="G31" i="8"/>
  <c r="H31" i="8"/>
  <c r="I31" i="8"/>
  <c r="J31" i="8"/>
  <c r="K31" i="8"/>
  <c r="L31" i="8"/>
  <c r="C31" i="8"/>
  <c r="M25" i="8"/>
  <c r="D25" i="8"/>
  <c r="E25" i="8"/>
  <c r="F25" i="8"/>
  <c r="G25" i="8"/>
  <c r="H25" i="8"/>
  <c r="I25" i="8"/>
  <c r="J25" i="8"/>
  <c r="K25" i="8"/>
  <c r="L25" i="8"/>
  <c r="C25" i="8"/>
  <c r="M22" i="8"/>
  <c r="D22" i="8"/>
  <c r="E22" i="8"/>
  <c r="F22" i="8"/>
  <c r="G22" i="8"/>
  <c r="H22" i="8"/>
  <c r="I22" i="8"/>
  <c r="J22" i="8"/>
  <c r="K22" i="8"/>
  <c r="L22" i="8"/>
  <c r="C22" i="8"/>
  <c r="M19" i="8"/>
  <c r="B7" i="1"/>
  <c r="D16" i="8"/>
  <c r="E16" i="8"/>
  <c r="F16" i="8"/>
  <c r="G16" i="8"/>
  <c r="H16" i="8"/>
  <c r="I16" i="8"/>
  <c r="J16" i="8"/>
  <c r="K16" i="8"/>
  <c r="L16" i="8"/>
  <c r="M16" i="8"/>
  <c r="C16" i="8"/>
  <c r="M10" i="8"/>
  <c r="D10" i="8"/>
  <c r="E10" i="8"/>
  <c r="F10" i="8"/>
  <c r="G10" i="8"/>
  <c r="H10" i="8"/>
  <c r="I10" i="8"/>
  <c r="J10" i="8"/>
  <c r="K10" i="8"/>
  <c r="L10" i="8"/>
  <c r="C10" i="8"/>
  <c r="M7" i="8"/>
  <c r="D7" i="8"/>
  <c r="E7" i="8"/>
  <c r="F7" i="8"/>
  <c r="G7" i="8"/>
  <c r="H7" i="8"/>
  <c r="I7" i="8"/>
  <c r="J7" i="8"/>
  <c r="K7" i="8"/>
  <c r="L7" i="8"/>
  <c r="C7" i="8"/>
  <c r="B2" i="8"/>
  <c r="L3" i="8"/>
  <c r="J3" i="8"/>
  <c r="K3" i="8"/>
  <c r="D3" i="8"/>
  <c r="E3" i="8"/>
  <c r="F3" i="8"/>
  <c r="G3" i="8"/>
  <c r="H3" i="8"/>
  <c r="I3" i="8"/>
  <c r="C3" i="8"/>
  <c r="C6" i="3"/>
  <c r="D6" i="3"/>
  <c r="E6" i="3"/>
  <c r="F6" i="3"/>
  <c r="G6" i="3"/>
  <c r="H6" i="3"/>
  <c r="I6" i="3"/>
  <c r="J6" i="3"/>
  <c r="L6" i="1" s="1"/>
  <c r="K6" i="3"/>
  <c r="B6" i="3"/>
  <c r="C5" i="1"/>
  <c r="D5" i="1"/>
  <c r="E5" i="1"/>
  <c r="F5" i="1"/>
  <c r="G5" i="1"/>
  <c r="H5" i="1"/>
  <c r="I5" i="1"/>
  <c r="J5" i="1"/>
  <c r="K5" i="1"/>
  <c r="B5" i="1"/>
  <c r="C13" i="1"/>
  <c r="G13" i="1"/>
  <c r="G14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F21" i="2" s="1"/>
  <c r="G18" i="2"/>
  <c r="H18" i="2"/>
  <c r="I18" i="2"/>
  <c r="J18" i="2"/>
  <c r="K18" i="2"/>
  <c r="B17" i="2"/>
  <c r="C4" i="2"/>
  <c r="D4" i="2"/>
  <c r="E24" i="2" s="1"/>
  <c r="E4" i="2"/>
  <c r="E5" i="2"/>
  <c r="E23" i="2"/>
  <c r="F4" i="2"/>
  <c r="G4" i="2"/>
  <c r="H4" i="2"/>
  <c r="I4" i="2"/>
  <c r="I5" i="2"/>
  <c r="I23" i="2" s="1"/>
  <c r="J4" i="2"/>
  <c r="J5" i="2"/>
  <c r="J23" i="2" s="1"/>
  <c r="K4" i="2"/>
  <c r="K23" i="2" s="1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C16" i="2" s="1"/>
  <c r="D7" i="2"/>
  <c r="E7" i="2"/>
  <c r="F7" i="2"/>
  <c r="G7" i="2"/>
  <c r="G16" i="2" s="1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H16" i="2" s="1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E14" i="3" s="1"/>
  <c r="F4" i="3"/>
  <c r="F14" i="3" s="1"/>
  <c r="G4" i="3"/>
  <c r="H4" i="3"/>
  <c r="H14" i="3" s="1"/>
  <c r="I4" i="3"/>
  <c r="I14" i="3" s="1"/>
  <c r="J4" i="3"/>
  <c r="K4" i="3"/>
  <c r="K14" i="3" s="1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L11" i="1" s="1"/>
  <c r="I11" i="3"/>
  <c r="J11" i="3"/>
  <c r="K11" i="3"/>
  <c r="C12" i="3"/>
  <c r="D12" i="3"/>
  <c r="E12" i="3"/>
  <c r="F12" i="3"/>
  <c r="G12" i="3"/>
  <c r="H12" i="3"/>
  <c r="I12" i="3"/>
  <c r="L12" i="1" s="1"/>
  <c r="L13" i="1" s="1"/>
  <c r="L14" i="1" s="1"/>
  <c r="L25" i="1" s="1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D6" i="1" s="1"/>
  <c r="D19" i="1" s="1"/>
  <c r="E4" i="1"/>
  <c r="F4" i="1"/>
  <c r="F20" i="2" s="1"/>
  <c r="G4" i="1"/>
  <c r="H4" i="1"/>
  <c r="I4" i="1"/>
  <c r="J4" i="1"/>
  <c r="J6" i="1" s="1"/>
  <c r="J19" i="1" s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F13" i="1" s="1"/>
  <c r="G12" i="1"/>
  <c r="H12" i="1"/>
  <c r="H13" i="1" s="1"/>
  <c r="I12" i="1"/>
  <c r="J12" i="1"/>
  <c r="J13" i="1" s="1"/>
  <c r="J14" i="1" s="1"/>
  <c r="K12" i="1"/>
  <c r="K13" i="1" s="1"/>
  <c r="C15" i="1"/>
  <c r="C14" i="1" s="1"/>
  <c r="D15" i="1"/>
  <c r="E15" i="1"/>
  <c r="F15" i="1"/>
  <c r="F14" i="1" s="1"/>
  <c r="G15" i="1"/>
  <c r="H15" i="1"/>
  <c r="I15" i="1"/>
  <c r="J15" i="1"/>
  <c r="K15" i="1"/>
  <c r="K14" i="1" s="1"/>
  <c r="B15" i="1"/>
  <c r="I13" i="1"/>
  <c r="B4" i="1"/>
  <c r="B20" i="2" s="1"/>
  <c r="A1" i="1"/>
  <c r="A1" i="3" s="1"/>
  <c r="E1" i="6"/>
  <c r="H1" i="1" s="1"/>
  <c r="D16" i="2"/>
  <c r="F23" i="2"/>
  <c r="C23" i="2"/>
  <c r="K16" i="2"/>
  <c r="D23" i="2"/>
  <c r="K6" i="1"/>
  <c r="K19" i="1" s="1"/>
  <c r="G6" i="1"/>
  <c r="G19" i="1" s="1"/>
  <c r="C6" i="1"/>
  <c r="C19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D21" i="2"/>
  <c r="C21" i="2"/>
  <c r="B18" i="2"/>
  <c r="B13" i="2"/>
  <c r="B16" i="2" s="1"/>
  <c r="B12" i="2"/>
  <c r="B11" i="2"/>
  <c r="B10" i="2"/>
  <c r="B8" i="2"/>
  <c r="B7" i="2"/>
  <c r="B6" i="2"/>
  <c r="B3" i="2"/>
  <c r="J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G14" i="3"/>
  <c r="G20" i="2"/>
  <c r="K20" i="2"/>
  <c r="J20" i="2"/>
  <c r="C20" i="2"/>
  <c r="E20" i="2"/>
  <c r="A1" i="2"/>
  <c r="A1" i="4"/>
  <c r="O18" i="17" l="1"/>
  <c r="J18" i="17"/>
  <c r="I24" i="14"/>
  <c r="K24" i="14"/>
  <c r="F24" i="14"/>
  <c r="D24" i="14"/>
  <c r="L24" i="14"/>
  <c r="D36" i="14"/>
  <c r="L36" i="14"/>
  <c r="K36" i="14"/>
  <c r="J36" i="14"/>
  <c r="I36" i="14"/>
  <c r="E36" i="14"/>
  <c r="F36" i="14"/>
  <c r="G36" i="14"/>
  <c r="H36" i="14"/>
  <c r="C11" i="8"/>
  <c r="G23" i="8"/>
  <c r="M28" i="8"/>
  <c r="M29" i="8" s="1"/>
  <c r="L13" i="8"/>
  <c r="L19" i="8" s="1"/>
  <c r="D13" i="8"/>
  <c r="D19" i="8" s="1"/>
  <c r="I8" i="8"/>
  <c r="F23" i="8"/>
  <c r="H8" i="8"/>
  <c r="E23" i="8"/>
  <c r="J11" i="8"/>
  <c r="G8" i="8"/>
  <c r="C26" i="8"/>
  <c r="E26" i="8"/>
  <c r="G11" i="8"/>
  <c r="L26" i="8"/>
  <c r="D26" i="8"/>
  <c r="K8" i="8"/>
  <c r="M20" i="8"/>
  <c r="M26" i="8"/>
  <c r="C17" i="8"/>
  <c r="F17" i="8"/>
  <c r="L23" i="8"/>
  <c r="D23" i="8"/>
  <c r="J26" i="8"/>
  <c r="C13" i="8"/>
  <c r="E13" i="8"/>
  <c r="E17" i="8"/>
  <c r="K23" i="8"/>
  <c r="I26" i="8"/>
  <c r="J23" i="8"/>
  <c r="C23" i="8"/>
  <c r="H26" i="8"/>
  <c r="M8" i="8"/>
  <c r="I23" i="8"/>
  <c r="G26" i="8"/>
  <c r="J8" i="8"/>
  <c r="F11" i="8"/>
  <c r="H23" i="8"/>
  <c r="F26" i="8"/>
  <c r="M17" i="8"/>
  <c r="K26" i="8"/>
  <c r="E11" i="8"/>
  <c r="L17" i="8"/>
  <c r="D17" i="8"/>
  <c r="M13" i="8"/>
  <c r="M14" i="8" s="1"/>
  <c r="L11" i="8"/>
  <c r="D11" i="8"/>
  <c r="M23" i="8"/>
  <c r="G13" i="8"/>
  <c r="K11" i="8"/>
  <c r="J17" i="8"/>
  <c r="F13" i="8"/>
  <c r="I17" i="8"/>
  <c r="I11" i="8"/>
  <c r="H17" i="8"/>
  <c r="D8" i="8"/>
  <c r="H11" i="8"/>
  <c r="G17" i="8"/>
  <c r="K17" i="8"/>
  <c r="F8" i="8"/>
  <c r="K13" i="8"/>
  <c r="E8" i="8"/>
  <c r="J13" i="8"/>
  <c r="L8" i="8"/>
  <c r="I13" i="8"/>
  <c r="H13" i="8"/>
  <c r="M11" i="8"/>
  <c r="B21" i="2"/>
  <c r="N11" i="1"/>
  <c r="M11" i="1"/>
  <c r="L19" i="1"/>
  <c r="L24" i="1" s="1"/>
  <c r="J24" i="2"/>
  <c r="D24" i="2"/>
  <c r="H23" i="2"/>
  <c r="D14" i="1"/>
  <c r="I24" i="2"/>
  <c r="L4" i="1"/>
  <c r="L23" i="1"/>
  <c r="E6" i="1"/>
  <c r="E19" i="1" s="1"/>
  <c r="I24" i="1" s="1"/>
  <c r="I14" i="1"/>
  <c r="K25" i="1" s="1"/>
  <c r="M25" i="1" s="1"/>
  <c r="M14" i="1" s="1"/>
  <c r="C24" i="2"/>
  <c r="H24" i="2"/>
  <c r="E14" i="1"/>
  <c r="B23" i="2"/>
  <c r="H14" i="1"/>
  <c r="G24" i="2"/>
  <c r="D13" i="1"/>
  <c r="E13" i="1" s="1"/>
  <c r="I23" i="1"/>
  <c r="E21" i="2"/>
  <c r="B6" i="1"/>
  <c r="B19" i="1" s="1"/>
  <c r="H24" i="1" s="1"/>
  <c r="L9" i="1"/>
  <c r="L8" i="1"/>
  <c r="L7" i="1"/>
  <c r="E16" i="2"/>
  <c r="H23" i="1"/>
  <c r="D20" i="2"/>
  <c r="G23" i="2"/>
  <c r="E1" i="3"/>
  <c r="B14" i="1"/>
  <c r="I16" i="2"/>
  <c r="K24" i="2"/>
  <c r="J23" i="1"/>
  <c r="I6" i="1"/>
  <c r="I19" i="1" s="1"/>
  <c r="K24" i="1" s="1"/>
  <c r="M24" i="1" s="1"/>
  <c r="E1" i="2"/>
  <c r="F24" i="2"/>
  <c r="J25" i="1"/>
  <c r="M9" i="1"/>
  <c r="N9" i="1"/>
  <c r="N8" i="1"/>
  <c r="M8" i="1"/>
  <c r="N23" i="1"/>
  <c r="N4" i="1" s="1"/>
  <c r="H25" i="1"/>
  <c r="I25" i="1"/>
  <c r="I20" i="2"/>
  <c r="H20" i="2"/>
  <c r="K23" i="1"/>
  <c r="M23" i="1" s="1"/>
  <c r="M4" i="1" s="1"/>
  <c r="H6" i="1"/>
  <c r="H19" i="1" s="1"/>
  <c r="J24" i="1" s="1"/>
  <c r="F6" i="1"/>
  <c r="F19" i="1" s="1"/>
  <c r="E1" i="4"/>
  <c r="M32" i="8" l="1"/>
  <c r="M34" i="8"/>
  <c r="D14" i="8"/>
  <c r="L20" i="8"/>
  <c r="L28" i="8"/>
  <c r="L14" i="8"/>
  <c r="M39" i="8"/>
  <c r="M35" i="8"/>
  <c r="D20" i="8"/>
  <c r="D28" i="8"/>
  <c r="C19" i="8"/>
  <c r="C14" i="8"/>
  <c r="K19" i="8"/>
  <c r="K14" i="8"/>
  <c r="J19" i="8"/>
  <c r="J14" i="8"/>
  <c r="F19" i="8"/>
  <c r="F14" i="8"/>
  <c r="H19" i="8"/>
  <c r="H14" i="8"/>
  <c r="I19" i="8"/>
  <c r="I14" i="8"/>
  <c r="G19" i="8"/>
  <c r="G14" i="8"/>
  <c r="E19" i="8"/>
  <c r="E14" i="8"/>
  <c r="N24" i="1"/>
  <c r="N6" i="1" s="1"/>
  <c r="N10" i="1" s="1"/>
  <c r="N12" i="1" s="1"/>
  <c r="N13" i="1" s="1"/>
  <c r="N25" i="1"/>
  <c r="N14" i="1" s="1"/>
  <c r="M6" i="1"/>
  <c r="M10" i="1" s="1"/>
  <c r="M12" i="1" s="1"/>
  <c r="M13" i="1" s="1"/>
  <c r="M15" i="1" s="1"/>
  <c r="H20" i="8" l="1"/>
  <c r="H28" i="8"/>
  <c r="C20" i="8"/>
  <c r="C28" i="8"/>
  <c r="E20" i="8"/>
  <c r="E28" i="8"/>
  <c r="G20" i="8"/>
  <c r="G28" i="8"/>
  <c r="M42" i="8"/>
  <c r="M43" i="8" s="1"/>
  <c r="I20" i="8"/>
  <c r="I28" i="8"/>
  <c r="K20" i="8"/>
  <c r="K28" i="8"/>
  <c r="L34" i="8"/>
  <c r="L32" i="8"/>
  <c r="L29" i="8"/>
  <c r="D32" i="8"/>
  <c r="D34" i="8"/>
  <c r="D29" i="8"/>
  <c r="F20" i="8"/>
  <c r="F28" i="8"/>
  <c r="J20" i="8"/>
  <c r="J28" i="8"/>
  <c r="N5" i="1"/>
  <c r="N15" i="1"/>
  <c r="M5" i="1"/>
  <c r="M45" i="8" l="1"/>
  <c r="F34" i="8"/>
  <c r="F32" i="8"/>
  <c r="F29" i="8"/>
  <c r="K34" i="8"/>
  <c r="K29" i="8"/>
  <c r="K32" i="8"/>
  <c r="E29" i="8"/>
  <c r="E34" i="8"/>
  <c r="E32" i="8"/>
  <c r="I29" i="8"/>
  <c r="I32" i="8"/>
  <c r="I34" i="8"/>
  <c r="L39" i="8"/>
  <c r="L35" i="8"/>
  <c r="C29" i="8"/>
  <c r="C34" i="8"/>
  <c r="C32" i="8"/>
  <c r="H34" i="8"/>
  <c r="H29" i="8"/>
  <c r="H32" i="8"/>
  <c r="G29" i="8"/>
  <c r="G34" i="8"/>
  <c r="G32" i="8"/>
  <c r="D39" i="8"/>
  <c r="D35" i="8"/>
  <c r="J29" i="8"/>
  <c r="J34" i="8"/>
  <c r="J32" i="8"/>
  <c r="D42" i="8" l="1"/>
  <c r="D43" i="8" s="1"/>
  <c r="C35" i="8"/>
  <c r="C39" i="8"/>
  <c r="E39" i="8"/>
  <c r="E35" i="8"/>
  <c r="G35" i="8"/>
  <c r="G39" i="8"/>
  <c r="L40" i="8"/>
  <c r="L42" i="8"/>
  <c r="L43" i="8" s="1"/>
  <c r="M40" i="8"/>
  <c r="I39" i="8"/>
  <c r="I35" i="8"/>
  <c r="K35" i="8"/>
  <c r="K39" i="8"/>
  <c r="J35" i="8"/>
  <c r="J39" i="8"/>
  <c r="H39" i="8"/>
  <c r="H35" i="8"/>
  <c r="F35" i="8"/>
  <c r="F39" i="8"/>
  <c r="E42" i="8" l="1"/>
  <c r="E43" i="8" s="1"/>
  <c r="E45" i="8"/>
  <c r="E40" i="8"/>
  <c r="C42" i="8"/>
  <c r="C43" i="8" s="1"/>
  <c r="H42" i="8"/>
  <c r="H43" i="8" s="1"/>
  <c r="H45" i="8"/>
  <c r="H40" i="8"/>
  <c r="D40" i="8"/>
  <c r="F42" i="8"/>
  <c r="F43" i="8" s="1"/>
  <c r="F40" i="8"/>
  <c r="I42" i="8"/>
  <c r="I43" i="8" s="1"/>
  <c r="I40" i="8"/>
  <c r="J40" i="8"/>
  <c r="J42" i="8"/>
  <c r="J43" i="8" s="1"/>
  <c r="J45" i="8"/>
  <c r="L45" i="8"/>
  <c r="K40" i="8"/>
  <c r="K42" i="8"/>
  <c r="K43" i="8" s="1"/>
  <c r="G40" i="8"/>
  <c r="G42" i="8"/>
  <c r="G43" i="8" s="1"/>
  <c r="D45" i="8"/>
  <c r="C45" i="8" l="1"/>
  <c r="G45" i="8"/>
  <c r="F45" i="8"/>
  <c r="I45" i="8"/>
  <c r="K45" i="8"/>
</calcChain>
</file>

<file path=xl/sharedStrings.xml><?xml version="1.0" encoding="utf-8"?>
<sst xmlns="http://schemas.openxmlformats.org/spreadsheetml/2006/main" count="311" uniqueCount="192">
  <si>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</si>
  <si>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</si>
  <si>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</si>
  <si>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</si>
  <si>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</si>
  <si>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</si>
  <si>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</si>
  <si>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</si>
  <si>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</si>
  <si>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</si>
  <si>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</si>
  <si>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</si>
  <si>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</si>
  <si>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</si>
  <si>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</si>
  <si>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</si>
  <si>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</si>
  <si>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</si>
  <si>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</si>
  <si>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</si>
  <si>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</si>
  <si>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</si>
  <si>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</si>
  <si>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</si>
  <si>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</si>
  <si>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</si>
  <si>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</si>
  <si>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</si>
  <si>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</si>
  <si>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</si>
  <si>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</si>
  <si>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</si>
  <si>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</si>
  <si>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</si>
  <si>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</si>
  <si>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</si>
  <si>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</si>
  <si>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</si>
  <si>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</si>
  <si>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</si>
  <si>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</si>
  <si>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</si>
  <si>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</si>
  <si>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</si>
  <si>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</si>
  <si>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</si>
  <si>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</si>
  <si>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</si>
  <si>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</si>
  <si>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</si>
  <si>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</si>
  <si>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</si>
  <si>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</si>
  <si>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</si>
  <si>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</si>
  <si>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</si>
  <si>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</si>
  <si>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</si>
  <si>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</si>
  <si>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</si>
  <si>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</si>
  <si>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</si>
  <si>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</si>
  <si>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</si>
  <si>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</si>
  <si>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</si>
  <si>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</si>
  <si>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</si>
  <si>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</si>
  <si>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</si>
  <si>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</si>
  <si>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</si>
  <si>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</si>
  <si>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</si>
  <si>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</si>
  <si>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</si>
  <si>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</si>
  <si>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</si>
  <si>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</si>
  <si>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</si>
  <si>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</si>
  <si>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</si>
  <si>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</si>
  <si>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</si>
  <si>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</si>
  <si>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</si>
  <si>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</si>
  <si>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</si>
  <si>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</si>
  <si>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</si>
  <si>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</si>
  <si>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</si>
  <si>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</si>
  <si>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 xml:space="preserve">   </t>
  </si>
  <si>
    <t>Years</t>
  </si>
  <si>
    <t>LTM</t>
  </si>
  <si>
    <t>#</t>
  </si>
  <si>
    <t>Income Statement</t>
  </si>
  <si>
    <t>-</t>
  </si>
  <si>
    <t>COGS</t>
  </si>
  <si>
    <t>COGS % Sales</t>
  </si>
  <si>
    <t>Gross profit</t>
  </si>
  <si>
    <t>Selling &amp; General Expenses</t>
  </si>
  <si>
    <t>S&amp;G Exp % sales</t>
  </si>
  <si>
    <t>EBIDTA</t>
  </si>
  <si>
    <t>Interest % sales</t>
  </si>
  <si>
    <t>Depreciation % Sales</t>
  </si>
  <si>
    <t>EBIDTA Margin</t>
  </si>
  <si>
    <t>Gross margin</t>
  </si>
  <si>
    <t>EBT % Sales</t>
  </si>
  <si>
    <t>Effective Tax Rate</t>
  </si>
  <si>
    <t>Net margin</t>
  </si>
  <si>
    <t>No. of Equity share</t>
  </si>
  <si>
    <t>Earning per share</t>
  </si>
  <si>
    <t>EPS Growth %</t>
  </si>
  <si>
    <t>Dividend per Share</t>
  </si>
  <si>
    <t>Dividend payout ratio</t>
  </si>
  <si>
    <t>Retained Earning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</si>
  <si>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</si>
  <si>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</si>
  <si>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</si>
  <si>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</si>
  <si>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</si>
  <si>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</si>
  <si>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</si>
  <si>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</si>
  <si>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</si>
  <si>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</si>
  <si>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</si>
  <si>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</si>
  <si>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</si>
  <si>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</si>
  <si>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</si>
  <si>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</si>
  <si>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</si>
  <si>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</si>
  <si>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</si>
  <si>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</si>
  <si>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</si>
  <si>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</si>
  <si>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</si>
  <si>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</si>
  <si>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</si>
  <si>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</si>
  <si>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</si>
  <si>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</si>
  <si>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</si>
  <si>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</si>
  <si>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</si>
  <si>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</si>
  <si>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</si>
  <si>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</si>
  <si>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Statement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</si>
  <si>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</si>
  <si>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</si>
  <si>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</si>
  <si>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</si>
  <si>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</si>
  <si>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feom Financing Activities</t>
  </si>
  <si>
    <t>Net Cash FLOW</t>
  </si>
  <si>
    <t>Gross Margin</t>
  </si>
  <si>
    <t>EBIT Growth</t>
  </si>
  <si>
    <t>Net Profit Growth</t>
  </si>
  <si>
    <t>Dividend Growth</t>
  </si>
  <si>
    <t>EBIDTA Growth</t>
  </si>
  <si>
    <t>EBIT Margin</t>
  </si>
  <si>
    <t>EBT Margin</t>
  </si>
  <si>
    <t>Net Profit Margin</t>
  </si>
  <si>
    <t>Sales Expenses % Sales</t>
  </si>
  <si>
    <t>Return on capital Employed</t>
  </si>
  <si>
    <t>Retained Earning %</t>
  </si>
  <si>
    <t>Return on Equity%</t>
  </si>
  <si>
    <t>Self Sustained Growth Rate</t>
  </si>
  <si>
    <t>Interest coverage Ratio</t>
  </si>
  <si>
    <t>Debtor Turnover Ratio</t>
  </si>
  <si>
    <t>Creditor Turnover Ratio</t>
  </si>
  <si>
    <t>Fixed Asset Turnover</t>
  </si>
  <si>
    <t>Capital Turnover Ratio</t>
  </si>
  <si>
    <t>Payable Days</t>
  </si>
  <si>
    <t>Inventory Days</t>
  </si>
  <si>
    <t>Earning Before Tax</t>
  </si>
  <si>
    <t>Operating income % sales</t>
  </si>
  <si>
    <t>CFO/Sales</t>
  </si>
  <si>
    <t>CFO/Total Assets</t>
  </si>
  <si>
    <t>CFO/Total Debt</t>
  </si>
  <si>
    <t>Cash Conversion Cycle(in days)</t>
  </si>
  <si>
    <t>Mean</t>
  </si>
  <si>
    <t>Median</t>
  </si>
  <si>
    <t>Trend</t>
  </si>
  <si>
    <t>Year weight</t>
  </si>
  <si>
    <t>Year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</si>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</sst>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\(&quot;₹&quot;\ #,##0.0\)"/>
    <numFmt numFmtId="167" formatCode="&quot;₹&quot;\ #,##0.00;\(&quot;₹&quot;\ #,##0.00\);\-"/>
    <numFmt numFmtId="168" formatCode="&quot;₹&quot;\ #,##0.0;\(&quot;₹&quot;\ #,##0.0\);\-"/>
    <numFmt numFmtId="169" formatCode="0.00&quot;x&quot;"/>
    <numFmt numFmtId="170" formatCode="#,##0.0"/>
    <numFmt numFmtId="171" formatCode="yyyy"/>
    <numFmt numFmtId="172" formatCode="yyyy&quot;A&quot;"/>
    <numFmt numFmtId="173" formatCode="yyyy&quot;E&quot;"/>
    <numFmt numFmtId="17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329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71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0" fontId="2" fillId="6" borderId="0" xfId="0" applyFont="1" applyFill="1"/>
    <xf numFmtId="17" fontId="2" fillId="6" borderId="0" xfId="0" applyNumberFormat="1" applyFont="1" applyFill="1"/>
    <xf numFmtId="17" fontId="2" fillId="6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0" fontId="10" fillId="0" borderId="0" xfId="6" applyNumberFormat="1" applyFont="1"/>
    <xf numFmtId="0" fontId="11" fillId="0" borderId="0" xfId="0" applyFont="1"/>
    <xf numFmtId="166" fontId="11" fillId="0" borderId="0" xfId="0" applyNumberFormat="1" applyFont="1"/>
    <xf numFmtId="0" fontId="12" fillId="0" borderId="0" xfId="0" applyFont="1"/>
    <xf numFmtId="167" fontId="0" fillId="0" borderId="0" xfId="0" applyNumberFormat="1"/>
    <xf numFmtId="168" fontId="11" fillId="0" borderId="0" xfId="0" applyNumberFormat="1" applyFont="1"/>
    <xf numFmtId="168" fontId="1" fillId="0" borderId="0" xfId="0" applyNumberFormat="1" applyFont="1"/>
    <xf numFmtId="0" fontId="1" fillId="7" borderId="0" xfId="0" applyFont="1" applyFill="1"/>
    <xf numFmtId="0" fontId="0" fillId="7" borderId="0" xfId="0" applyFill="1"/>
    <xf numFmtId="168" fontId="0" fillId="0" borderId="0" xfId="0" applyNumberFormat="1"/>
    <xf numFmtId="0" fontId="13" fillId="0" borderId="0" xfId="0" applyFont="1"/>
    <xf numFmtId="17" fontId="0" fillId="0" borderId="0" xfId="0" applyNumberFormat="1"/>
    <xf numFmtId="3" fontId="0" fillId="0" borderId="0" xfId="0" applyNumberFormat="1"/>
    <xf numFmtId="0" fontId="1" fillId="0" borderId="1" xfId="0" applyFont="1" applyBorder="1"/>
    <xf numFmtId="168" fontId="1" fillId="0" borderId="1" xfId="0" applyNumberFormat="1" applyFont="1" applyBorder="1"/>
    <xf numFmtId="10" fontId="0" fillId="0" borderId="0" xfId="6" applyNumberFormat="1" applyFont="1"/>
    <xf numFmtId="169" fontId="0" fillId="0" borderId="0" xfId="0" applyNumberFormat="1"/>
    <xf numFmtId="0" fontId="0" fillId="0" borderId="2" xfId="0" applyBorder="1"/>
    <xf numFmtId="10" fontId="0" fillId="0" borderId="2" xfId="6" applyNumberFormat="1" applyFont="1" applyBorder="1"/>
    <xf numFmtId="10" fontId="0" fillId="0" borderId="0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69" fontId="0" fillId="0" borderId="2" xfId="0" applyNumberFormat="1" applyBorder="1"/>
    <xf numFmtId="169" fontId="0" fillId="0" borderId="3" xfId="0" applyNumberFormat="1" applyBorder="1"/>
    <xf numFmtId="1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171" fontId="0" fillId="0" borderId="0" xfId="0" applyNumberFormat="1"/>
    <xf numFmtId="172" fontId="0" fillId="0" borderId="0" xfId="0" applyNumberFormat="1"/>
    <xf numFmtId="170" fontId="0" fillId="0" borderId="0" xfId="0" applyNumberFormat="1"/>
    <xf numFmtId="0" fontId="0" fillId="9" borderId="0" xfId="0" applyFill="1" applyAlignment="1">
      <alignment horizontal="left"/>
    </xf>
    <xf numFmtId="173" fontId="0" fillId="9" borderId="0" xfId="0" applyNumberFormat="1" applyFill="1"/>
    <xf numFmtId="0" fontId="0" fillId="9" borderId="0" xfId="0" applyFill="1"/>
    <xf numFmtId="10" fontId="0" fillId="9" borderId="0" xfId="6" applyNumberFormat="1" applyFont="1" applyFill="1"/>
    <xf numFmtId="174" fontId="0" fillId="9" borderId="0" xfId="0" applyNumberFormat="1" applyFill="1"/>
    <xf numFmtId="0" fontId="2" fillId="6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  <color rgb="FF003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B5" activePane="bottomRight" state="frozen"/>
      <selection activeCell="I2" sqref="I2"/>
      <selection pane="topRight" activeCell="I2" sqref="I2"/>
      <selection pane="bottomLeft" activeCell="I2" sqref="I2"/>
      <selection pane="bottomRight" activeCell="B8" sqref="B8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TATA MOTORS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443739.38</v>
      </c>
      <c r="M4" s="1">
        <f>$K4+M23*K4</f>
        <v>554332.48941993783</v>
      </c>
      <c r="N4" s="1">
        <f>$K4+N23*L4</f>
        <v>463762.34922181582</v>
      </c>
    </row>
    <row r="5" spans="1:14" x14ac:dyDescent="0.3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381634.07</v>
      </c>
      <c r="M5" s="6">
        <f t="shared" ref="M5:N5" si="0">M4-M6</f>
        <v>476748.68088237476</v>
      </c>
      <c r="N5" s="6">
        <f t="shared" si="0"/>
        <v>416144.51799449825</v>
      </c>
    </row>
    <row r="6" spans="1:14" s="2" customFormat="1" x14ac:dyDescent="0.35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62105.31</v>
      </c>
      <c r="M6" s="1">
        <f>M4*M24</f>
        <v>77583.808537563105</v>
      </c>
      <c r="N6" s="1">
        <f>N4*N24</f>
        <v>47617.831227317583</v>
      </c>
    </row>
    <row r="7" spans="1:14" x14ac:dyDescent="0.3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6476.8099999999995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27211.42</v>
      </c>
      <c r="M8" s="6">
        <f>+$L8</f>
        <v>27211.42</v>
      </c>
      <c r="N8" s="6">
        <f>+$L8</f>
        <v>27211.42</v>
      </c>
    </row>
    <row r="9" spans="1:14" x14ac:dyDescent="0.3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9458.6</v>
      </c>
      <c r="M9" s="6">
        <f>+$L9</f>
        <v>9458.6</v>
      </c>
      <c r="N9" s="6">
        <f>+$L9</f>
        <v>9458.6</v>
      </c>
    </row>
    <row r="10" spans="1:14" x14ac:dyDescent="0.3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31912.1</v>
      </c>
      <c r="M10" s="6">
        <f>M6+M7-SUM(M8:M9)</f>
        <v>40913.788537563109</v>
      </c>
      <c r="N10" s="6">
        <f>N6+N7-SUM(N8:N9)</f>
        <v>10947.811227317587</v>
      </c>
    </row>
    <row r="11" spans="1:14" x14ac:dyDescent="0.3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-2237.37</v>
      </c>
      <c r="M11" s="7">
        <f>IF($L10&gt;0,$L11/$L10,0)</f>
        <v>-7.0110396996750451E-2</v>
      </c>
      <c r="N11" s="7">
        <f>IF($L10&gt;0,$L11/$L10,0)</f>
        <v>-7.0110396996750451E-2</v>
      </c>
    </row>
    <row r="12" spans="1:14" s="2" customFormat="1" x14ac:dyDescent="0.3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33762.11</v>
      </c>
      <c r="M12" s="1">
        <f>M10-M11*M10</f>
        <v>43782.270494572753</v>
      </c>
      <c r="N12" s="1">
        <f>N10-N11*N10</f>
        <v>11715.366618710304</v>
      </c>
    </row>
    <row r="13" spans="1:14" x14ac:dyDescent="0.35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91.72014419232066</v>
      </c>
      <c r="M13" s="6">
        <f>IF('Data Sheet'!$B6&gt;0,'Profit &amp; Loss'!M12/'Data Sheet'!$B6,0)</f>
        <v>118.94150462839553</v>
      </c>
      <c r="N13" s="6">
        <f>IF('Data Sheet'!$B6&gt;0,'Profit &amp; Loss'!N12/'Data Sheet'!$B6,0)</f>
        <v>31.826657621043509</v>
      </c>
    </row>
    <row r="14" spans="1:14" x14ac:dyDescent="0.35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9.9231200301166016</v>
      </c>
      <c r="M14" s="6">
        <f>M25</f>
        <v>26.107008254733845</v>
      </c>
      <c r="N14" s="6">
        <f>N25</f>
        <v>9.9231200301166016</v>
      </c>
    </row>
    <row r="15" spans="1:14" s="2" customFormat="1" x14ac:dyDescent="0.35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910.15</v>
      </c>
      <c r="M15" s="8">
        <f>M13*M14</f>
        <v>3105.2068431639859</v>
      </c>
      <c r="N15" s="9">
        <f>N13*N14</f>
        <v>315.81974373104003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0.14891036651062178</v>
      </c>
    </row>
    <row r="19" spans="1:14" x14ac:dyDescent="0.35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0.13995897772246402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3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0.13995897772246402</v>
      </c>
      <c r="M24" s="16">
        <f>MAX(K24:L24)</f>
        <v>0.13995897772246402</v>
      </c>
      <c r="N24" s="16">
        <f>MIN(H24:L24)</f>
        <v>0.10267722532288223</v>
      </c>
    </row>
    <row r="25" spans="1:14" x14ac:dyDescent="0.35">
      <c r="G25" t="s">
        <v>23</v>
      </c>
      <c r="H25" s="6">
        <f>IF(ISERROR(AVERAGEIF(B14:$L14,"&gt;0")),"",AVERAGEIF(B14:$L14,"&gt;0"))</f>
        <v>18.2487485157903</v>
      </c>
      <c r="I25" s="6">
        <f>IF(ISERROR(AVERAGEIF(E14:$L14,"&gt;0")),"",AVERAGEIF(E14:$L14,"&gt;0"))</f>
        <v>22.204918149508085</v>
      </c>
      <c r="J25" s="6">
        <f>IF(ISERROR(AVERAGEIF(G14:$L14,"&gt;0")),"",AVERAGEIF(G14:$L14,"&gt;0"))</f>
        <v>26.107008254733845</v>
      </c>
      <c r="K25" s="6">
        <f>IF(ISERROR(AVERAGEIF(I14:$L14,"&gt;0")),"",AVERAGEIF(I14:$L14,"&gt;0"))</f>
        <v>26.107008254733845</v>
      </c>
      <c r="L25" s="6">
        <f>L14</f>
        <v>9.9231200301166016</v>
      </c>
      <c r="M25" s="1">
        <f>MAX(K25:L25)</f>
        <v>26.107008254733845</v>
      </c>
      <c r="N25" s="1">
        <f>MIN(H25:L25)</f>
        <v>9.9231200301166016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44651</v>
      </c>
      <c r="C3" s="12">
        <f>'Data Sheet'!C41</f>
        <v>44742</v>
      </c>
      <c r="D3" s="12">
        <f>'Data Sheet'!D41</f>
        <v>44834</v>
      </c>
      <c r="E3" s="12">
        <f>'Data Sheet'!E41</f>
        <v>44926</v>
      </c>
      <c r="F3" s="12">
        <f>'Data Sheet'!F41</f>
        <v>45016</v>
      </c>
      <c r="G3" s="12">
        <f>'Data Sheet'!G41</f>
        <v>45107</v>
      </c>
      <c r="H3" s="12">
        <f>'Data Sheet'!H41</f>
        <v>45199</v>
      </c>
      <c r="I3" s="12">
        <f>'Data Sheet'!I41</f>
        <v>45291</v>
      </c>
      <c r="J3" s="12">
        <f>'Data Sheet'!J41</f>
        <v>45382</v>
      </c>
      <c r="K3" s="12">
        <f>'Data Sheet'!K41</f>
        <v>45473</v>
      </c>
    </row>
    <row r="4" spans="1:11" s="2" customFormat="1" x14ac:dyDescent="0.35">
      <c r="A4" s="2" t="s">
        <v>6</v>
      </c>
      <c r="B4" s="1">
        <f>'Data Sheet'!B42</f>
        <v>78439.06</v>
      </c>
      <c r="C4" s="1">
        <f>'Data Sheet'!C42</f>
        <v>71934.66</v>
      </c>
      <c r="D4" s="1">
        <f>'Data Sheet'!D42</f>
        <v>79611.37</v>
      </c>
      <c r="E4" s="1">
        <f>'Data Sheet'!E42</f>
        <v>88488.59</v>
      </c>
      <c r="F4" s="1">
        <f>'Data Sheet'!F42</f>
        <v>105932.35</v>
      </c>
      <c r="G4" s="1">
        <f>'Data Sheet'!G42</f>
        <v>102236</v>
      </c>
      <c r="H4" s="1">
        <f>'Data Sheet'!H42</f>
        <v>105128.24</v>
      </c>
      <c r="I4" s="1">
        <f>'Data Sheet'!I42</f>
        <v>110577.14</v>
      </c>
      <c r="J4" s="1">
        <f>'Data Sheet'!J42</f>
        <v>119986</v>
      </c>
      <c r="K4" s="1">
        <f>'Data Sheet'!K42</f>
        <v>108048</v>
      </c>
    </row>
    <row r="5" spans="1:11" x14ac:dyDescent="0.35">
      <c r="A5" t="s">
        <v>7</v>
      </c>
      <c r="B5" s="6">
        <f>'Data Sheet'!B43</f>
        <v>70156.27</v>
      </c>
      <c r="C5" s="6">
        <f>'Data Sheet'!C43</f>
        <v>69521.929999999993</v>
      </c>
      <c r="D5" s="6">
        <f>'Data Sheet'!D43</f>
        <v>74039.06</v>
      </c>
      <c r="E5" s="6">
        <f>'Data Sheet'!E43</f>
        <v>77668.350000000006</v>
      </c>
      <c r="F5" s="6">
        <f>'Data Sheet'!F43</f>
        <v>92817.95</v>
      </c>
      <c r="G5" s="6">
        <f>'Data Sheet'!G43</f>
        <v>89019</v>
      </c>
      <c r="H5" s="6">
        <f>'Data Sheet'!H43</f>
        <v>91361.3</v>
      </c>
      <c r="I5" s="6">
        <f>'Data Sheet'!I43</f>
        <v>95158.77</v>
      </c>
      <c r="J5" s="6">
        <f>'Data Sheet'!J43</f>
        <v>102851</v>
      </c>
      <c r="K5" s="6">
        <f>'Data Sheet'!K43</f>
        <v>92263</v>
      </c>
    </row>
    <row r="6" spans="1:11" s="2" customFormat="1" x14ac:dyDescent="0.35">
      <c r="A6" s="2" t="s">
        <v>8</v>
      </c>
      <c r="B6" s="1">
        <f>'Data Sheet'!B50</f>
        <v>8282.7900000000009</v>
      </c>
      <c r="C6" s="1">
        <f>'Data Sheet'!C50</f>
        <v>2412.73</v>
      </c>
      <c r="D6" s="1">
        <f>'Data Sheet'!D50</f>
        <v>5572.31</v>
      </c>
      <c r="E6" s="1">
        <f>'Data Sheet'!E50</f>
        <v>10820.24</v>
      </c>
      <c r="F6" s="1">
        <f>'Data Sheet'!F50</f>
        <v>13114.4</v>
      </c>
      <c r="G6" s="1">
        <f>'Data Sheet'!G50</f>
        <v>13217</v>
      </c>
      <c r="H6" s="1">
        <f>'Data Sheet'!H50</f>
        <v>13766.94</v>
      </c>
      <c r="I6" s="1">
        <f>'Data Sheet'!I50</f>
        <v>15418.37</v>
      </c>
      <c r="J6" s="1">
        <f>'Data Sheet'!J50</f>
        <v>17135</v>
      </c>
      <c r="K6" s="1">
        <f>'Data Sheet'!K50</f>
        <v>15785</v>
      </c>
    </row>
    <row r="7" spans="1:11" x14ac:dyDescent="0.35">
      <c r="A7" t="s">
        <v>9</v>
      </c>
      <c r="B7" s="6">
        <f>'Data Sheet'!B44</f>
        <v>188.74</v>
      </c>
      <c r="C7" s="6">
        <f>'Data Sheet'!C44</f>
        <v>2380.98</v>
      </c>
      <c r="D7" s="6">
        <f>'Data Sheet'!D44</f>
        <v>1351.14</v>
      </c>
      <c r="E7" s="6">
        <f>'Data Sheet'!E44</f>
        <v>1129.98</v>
      </c>
      <c r="F7" s="6">
        <f>'Data Sheet'!F44</f>
        <v>1452.86</v>
      </c>
      <c r="G7" s="6">
        <f>'Data Sheet'!G44</f>
        <v>895</v>
      </c>
      <c r="H7" s="6">
        <f>'Data Sheet'!H44</f>
        <v>1507.05</v>
      </c>
      <c r="I7" s="6">
        <f>'Data Sheet'!I44</f>
        <v>1603.76</v>
      </c>
      <c r="J7" s="6">
        <f>'Data Sheet'!J44</f>
        <v>1619</v>
      </c>
      <c r="K7" s="6">
        <f>'Data Sheet'!K44</f>
        <v>1747</v>
      </c>
    </row>
    <row r="8" spans="1:11" x14ac:dyDescent="0.35">
      <c r="A8" t="s">
        <v>10</v>
      </c>
      <c r="B8" s="6">
        <f>'Data Sheet'!B45</f>
        <v>6432.11</v>
      </c>
      <c r="C8" s="6">
        <f>'Data Sheet'!C45</f>
        <v>5841.04</v>
      </c>
      <c r="D8" s="6">
        <f>'Data Sheet'!D45</f>
        <v>5897.34</v>
      </c>
      <c r="E8" s="6">
        <f>'Data Sheet'!E45</f>
        <v>6071.78</v>
      </c>
      <c r="F8" s="6">
        <f>'Data Sheet'!F45</f>
        <v>7050.2</v>
      </c>
      <c r="G8" s="6">
        <f>'Data Sheet'!G45</f>
        <v>6633</v>
      </c>
      <c r="H8" s="6">
        <f>'Data Sheet'!H45</f>
        <v>6636.42</v>
      </c>
      <c r="I8" s="6">
        <f>'Data Sheet'!I45</f>
        <v>6850</v>
      </c>
      <c r="J8" s="6">
        <f>'Data Sheet'!J45</f>
        <v>7151</v>
      </c>
      <c r="K8" s="6">
        <f>'Data Sheet'!K45</f>
        <v>6574</v>
      </c>
    </row>
    <row r="9" spans="1:11" x14ac:dyDescent="0.35">
      <c r="A9" t="s">
        <v>11</v>
      </c>
      <c r="B9" s="6">
        <f>'Data Sheet'!B46</f>
        <v>2380.52</v>
      </c>
      <c r="C9" s="6">
        <f>'Data Sheet'!C46</f>
        <v>2420.7199999999998</v>
      </c>
      <c r="D9" s="6">
        <f>'Data Sheet'!D46</f>
        <v>2487.2600000000002</v>
      </c>
      <c r="E9" s="6">
        <f>'Data Sheet'!E46</f>
        <v>2675.83</v>
      </c>
      <c r="F9" s="6">
        <f>'Data Sheet'!F46</f>
        <v>2641.67</v>
      </c>
      <c r="G9" s="6">
        <f>'Data Sheet'!G46</f>
        <v>2615</v>
      </c>
      <c r="H9" s="6">
        <f>'Data Sheet'!H46</f>
        <v>2651.69</v>
      </c>
      <c r="I9" s="6">
        <f>'Data Sheet'!I46</f>
        <v>2484.91</v>
      </c>
      <c r="J9" s="6">
        <f>'Data Sheet'!J46</f>
        <v>2234</v>
      </c>
      <c r="K9" s="6">
        <f>'Data Sheet'!K46</f>
        <v>2088</v>
      </c>
    </row>
    <row r="10" spans="1:11" x14ac:dyDescent="0.35">
      <c r="A10" t="s">
        <v>12</v>
      </c>
      <c r="B10" s="6">
        <f>'Data Sheet'!B47</f>
        <v>-341.1</v>
      </c>
      <c r="C10" s="6">
        <f>'Data Sheet'!C47</f>
        <v>-3468.05</v>
      </c>
      <c r="D10" s="6">
        <f>'Data Sheet'!D47</f>
        <v>-1461.15</v>
      </c>
      <c r="E10" s="6">
        <f>'Data Sheet'!E47</f>
        <v>3202.61</v>
      </c>
      <c r="F10" s="6">
        <f>'Data Sheet'!F47</f>
        <v>4875.3900000000003</v>
      </c>
      <c r="G10" s="6">
        <f>'Data Sheet'!G47</f>
        <v>4864</v>
      </c>
      <c r="H10" s="6">
        <f>'Data Sheet'!H47</f>
        <v>5985.88</v>
      </c>
      <c r="I10" s="6">
        <f>'Data Sheet'!I47</f>
        <v>7687.22</v>
      </c>
      <c r="J10" s="6">
        <f>'Data Sheet'!J47</f>
        <v>9369</v>
      </c>
      <c r="K10" s="6">
        <f>'Data Sheet'!K47</f>
        <v>8870</v>
      </c>
    </row>
    <row r="11" spans="1:11" x14ac:dyDescent="0.35">
      <c r="A11" t="s">
        <v>13</v>
      </c>
      <c r="B11" s="6">
        <f>'Data Sheet'!B48</f>
        <v>758.22</v>
      </c>
      <c r="C11" s="6">
        <f>'Data Sheet'!C48</f>
        <v>1518.96</v>
      </c>
      <c r="D11" s="6">
        <f>'Data Sheet'!D48</f>
        <v>-457.08</v>
      </c>
      <c r="E11" s="6">
        <f>'Data Sheet'!E48</f>
        <v>262.83</v>
      </c>
      <c r="F11" s="6">
        <f>'Data Sheet'!F48</f>
        <v>-620.65</v>
      </c>
      <c r="G11" s="6">
        <f>'Data Sheet'!G48</f>
        <v>1563</v>
      </c>
      <c r="H11" s="6">
        <f>'Data Sheet'!H48</f>
        <v>2202.84</v>
      </c>
      <c r="I11" s="6">
        <f>'Data Sheet'!I48</f>
        <v>541.79</v>
      </c>
      <c r="J11" s="6">
        <f>'Data Sheet'!J48</f>
        <v>-8160</v>
      </c>
      <c r="K11" s="6">
        <f>'Data Sheet'!K48</f>
        <v>3178</v>
      </c>
    </row>
    <row r="12" spans="1:11" s="2" customFormat="1" x14ac:dyDescent="0.35">
      <c r="A12" s="2" t="s">
        <v>14</v>
      </c>
      <c r="B12" s="1">
        <f>'Data Sheet'!B49</f>
        <v>-1032.8399999999999</v>
      </c>
      <c r="C12" s="1">
        <f>'Data Sheet'!C49</f>
        <v>-5006.6000000000004</v>
      </c>
      <c r="D12" s="1">
        <f>'Data Sheet'!D49</f>
        <v>-944.61</v>
      </c>
      <c r="E12" s="1">
        <f>'Data Sheet'!E49</f>
        <v>2957.71</v>
      </c>
      <c r="F12" s="1">
        <f>'Data Sheet'!F49</f>
        <v>5407.79</v>
      </c>
      <c r="G12" s="1">
        <f>'Data Sheet'!G49</f>
        <v>3203</v>
      </c>
      <c r="H12" s="1">
        <f>'Data Sheet'!H49</f>
        <v>3764</v>
      </c>
      <c r="I12" s="1">
        <f>'Data Sheet'!I49</f>
        <v>7025.11</v>
      </c>
      <c r="J12" s="1">
        <f>'Data Sheet'!J49</f>
        <v>17407</v>
      </c>
      <c r="K12" s="1">
        <f>'Data Sheet'!K49</f>
        <v>5566</v>
      </c>
    </row>
    <row r="14" spans="1:11" s="2" customFormat="1" x14ac:dyDescent="0.35">
      <c r="A14" s="2" t="s">
        <v>18</v>
      </c>
      <c r="B14" s="10">
        <f>IF(B4&gt;0,B6/B4,"")</f>
        <v>0.10559522258425842</v>
      </c>
      <c r="C14" s="10">
        <f t="shared" ref="C14:K14" si="0">IF(C4&gt;0,C6/C4,"")</f>
        <v>3.3540576962482339E-2</v>
      </c>
      <c r="D14" s="10">
        <f t="shared" si="0"/>
        <v>6.9993896600447914E-2</v>
      </c>
      <c r="E14" s="10">
        <f t="shared" si="0"/>
        <v>0.12227836379808968</v>
      </c>
      <c r="F14" s="10">
        <f t="shared" si="0"/>
        <v>0.1237997646611257</v>
      </c>
      <c r="G14" s="10">
        <f t="shared" si="0"/>
        <v>0.12927931452717242</v>
      </c>
      <c r="H14" s="10">
        <f t="shared" si="0"/>
        <v>0.1309537760738694</v>
      </c>
      <c r="I14" s="10">
        <f t="shared" si="0"/>
        <v>0.13943542037712317</v>
      </c>
      <c r="J14" s="10">
        <f t="shared" si="0"/>
        <v>0.14280832763822446</v>
      </c>
      <c r="K14" s="10">
        <f t="shared" si="0"/>
        <v>0.14609247741744411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19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TATA MOTORS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35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35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61491.49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35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35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133180.72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35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35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35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35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35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7960.7600000000093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35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35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35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35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-0.19403070484446247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-1.888561646624937E-2</v>
      </c>
      <c r="H24" s="10">
        <f>IF((G4+G5+G6+H4+H5+H6)&gt;0,('Profit &amp; Loss'!H10+'Profit &amp; Loss'!H9)*2/(G4+G5+G6+H4+H5+H6),"")</f>
        <v>-1.2368671547513017E-2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TATA MOTORS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35">
      <c r="A4" s="2" t="s">
        <v>32</v>
      </c>
      <c r="B4" s="1">
        <f>'Data Sheet'!B82</f>
        <v>35531.26</v>
      </c>
      <c r="C4" s="1">
        <f>'Data Sheet'!C82</f>
        <v>37899.54</v>
      </c>
      <c r="D4" s="1">
        <f>'Data Sheet'!D82</f>
        <v>30199.25</v>
      </c>
      <c r="E4" s="1">
        <f>'Data Sheet'!E82</f>
        <v>23857.42</v>
      </c>
      <c r="F4" s="1">
        <f>'Data Sheet'!F82</f>
        <v>18890.75</v>
      </c>
      <c r="G4" s="1">
        <f>'Data Sheet'!G82</f>
        <v>26632.94</v>
      </c>
      <c r="H4" s="1">
        <f>'Data Sheet'!H82</f>
        <v>29000.51</v>
      </c>
      <c r="I4" s="1">
        <f>'Data Sheet'!I82</f>
        <v>14282.83</v>
      </c>
      <c r="J4" s="1">
        <f>'Data Sheet'!J82</f>
        <v>35388.01</v>
      </c>
      <c r="K4" s="1">
        <f>'Data Sheet'!K82</f>
        <v>67915.360000000001</v>
      </c>
    </row>
    <row r="5" spans="1:11" x14ac:dyDescent="0.35">
      <c r="A5" t="s">
        <v>33</v>
      </c>
      <c r="B5" s="6">
        <f>'Data Sheet'!B83</f>
        <v>-36232.35</v>
      </c>
      <c r="C5" s="6">
        <f>'Data Sheet'!C83</f>
        <v>-36693.9</v>
      </c>
      <c r="D5" s="6">
        <f>'Data Sheet'!D83</f>
        <v>-39571.4</v>
      </c>
      <c r="E5" s="6">
        <f>'Data Sheet'!E83</f>
        <v>-25139.14</v>
      </c>
      <c r="F5" s="6">
        <f>'Data Sheet'!F83</f>
        <v>-20878.07</v>
      </c>
      <c r="G5" s="6">
        <f>'Data Sheet'!G83</f>
        <v>-33114.550000000003</v>
      </c>
      <c r="H5" s="6">
        <f>'Data Sheet'!H83</f>
        <v>-25672.5</v>
      </c>
      <c r="I5" s="6">
        <f>'Data Sheet'!I83</f>
        <v>-4443.66</v>
      </c>
      <c r="J5" s="6">
        <f>'Data Sheet'!J83</f>
        <v>-15417.17</v>
      </c>
      <c r="K5" s="6">
        <f>'Data Sheet'!K83</f>
        <v>-22781.56</v>
      </c>
    </row>
    <row r="6" spans="1:11" x14ac:dyDescent="0.35">
      <c r="A6" t="s">
        <v>34</v>
      </c>
      <c r="B6" s="6">
        <f>'Data Sheet'!B84</f>
        <v>5201.4399999999996</v>
      </c>
      <c r="C6" s="6">
        <f>'Data Sheet'!C84</f>
        <v>-3795.12</v>
      </c>
      <c r="D6" s="6">
        <f>'Data Sheet'!D84</f>
        <v>6205.3</v>
      </c>
      <c r="E6" s="6">
        <f>'Data Sheet'!E84</f>
        <v>2011.71</v>
      </c>
      <c r="F6" s="6">
        <f>'Data Sheet'!F84</f>
        <v>8830.3700000000008</v>
      </c>
      <c r="G6" s="6">
        <f>'Data Sheet'!G84</f>
        <v>3389.61</v>
      </c>
      <c r="H6" s="6">
        <f>'Data Sheet'!H84</f>
        <v>9904.2000000000007</v>
      </c>
      <c r="I6" s="6">
        <f>'Data Sheet'!I84</f>
        <v>-3380.17</v>
      </c>
      <c r="J6" s="6">
        <f>'Data Sheet'!J84</f>
        <v>-26242.9</v>
      </c>
      <c r="K6" s="6">
        <f>'Data Sheet'!K84</f>
        <v>-37005.99</v>
      </c>
    </row>
    <row r="7" spans="1:11" s="2" customFormat="1" x14ac:dyDescent="0.35">
      <c r="A7" s="2" t="s">
        <v>35</v>
      </c>
      <c r="B7" s="1">
        <f>'Data Sheet'!B85</f>
        <v>4500.3500000000004</v>
      </c>
      <c r="C7" s="1">
        <f>'Data Sheet'!C85</f>
        <v>-2589.48</v>
      </c>
      <c r="D7" s="1">
        <f>'Data Sheet'!D85</f>
        <v>-3166.85</v>
      </c>
      <c r="E7" s="1">
        <f>'Data Sheet'!E85</f>
        <v>729.99</v>
      </c>
      <c r="F7" s="1">
        <f>'Data Sheet'!F85</f>
        <v>6843.05</v>
      </c>
      <c r="G7" s="1">
        <f>'Data Sheet'!G85</f>
        <v>-3092</v>
      </c>
      <c r="H7" s="1">
        <f>'Data Sheet'!H85</f>
        <v>13232.21</v>
      </c>
      <c r="I7" s="1">
        <f>'Data Sheet'!I85</f>
        <v>6459</v>
      </c>
      <c r="J7" s="1">
        <f>'Data Sheet'!J85</f>
        <v>-6272.06</v>
      </c>
      <c r="K7" s="1">
        <f>'Data Sheet'!K85</f>
        <v>8127.81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24" customFormat="1" x14ac:dyDescent="0.35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topLeftCell="A6"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0B94-3833-4A8E-BC48-F12B558F4653}">
  <sheetPr>
    <tabColor rgb="FF002060"/>
  </sheetPr>
  <dimension ref="A1"/>
  <sheetViews>
    <sheetView showGridLines="0" workbookViewId="0">
      <selection activeCell="D2" sqref="D2"/>
    </sheetView>
  </sheetViews>
  <sheetFormatPr defaultRowHeight="14.5" x14ac:dyDescent="0.35"/>
  <cols>
    <col min="1" max="1" width="1.816406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72D3-D0C1-4CAF-A90A-6F4F8949EB1D}">
  <dimension ref="A2:R116"/>
  <sheetViews>
    <sheetView showGridLines="0" topLeftCell="B1" zoomScale="90" zoomScaleNormal="90" workbookViewId="0">
      <pane ySplit="3" topLeftCell="A24" activePane="bottomLeft" state="frozen"/>
      <selection pane="bottomLeft" activeCell="C81" sqref="C81"/>
    </sheetView>
  </sheetViews>
  <sheetFormatPr defaultRowHeight="14.5" x14ac:dyDescent="0.35"/>
  <cols>
    <col min="1" max="1" width="1.81640625" customWidth="1"/>
    <col min="2" max="2" width="29.26953125" customWidth="1"/>
    <col min="3" max="13" width="14.1796875" customWidth="1"/>
  </cols>
  <sheetData>
    <row r="2" spans="1:16" x14ac:dyDescent="0.35">
      <c r="B2" s="66" t="str">
        <f>"Historical Financial statement- "&amp;'Data Sheet'!B1</f>
        <v>Historical Financial statement- TATA MOTORS LTD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6" x14ac:dyDescent="0.35">
      <c r="B3" s="25" t="s">
        <v>94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27" t="s">
        <v>95</v>
      </c>
    </row>
    <row r="5" spans="1:16" x14ac:dyDescent="0.35">
      <c r="A5" t="s">
        <v>96</v>
      </c>
      <c r="B5" s="36" t="s">
        <v>97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7" spans="1:16" x14ac:dyDescent="0.35">
      <c r="A7" t="s">
        <v>93</v>
      </c>
      <c r="B7" s="30" t="s">
        <v>6</v>
      </c>
      <c r="C7" s="31">
        <f>IFERROR('Data Sheet'!B17,0)</f>
        <v>263158.98</v>
      </c>
      <c r="D7" s="31">
        <f>IFERROR('Data Sheet'!C17,0)</f>
        <v>273045.59999999998</v>
      </c>
      <c r="E7" s="31">
        <f>IFERROR('Data Sheet'!D17,0)</f>
        <v>269692.51</v>
      </c>
      <c r="F7" s="31">
        <f>IFERROR('Data Sheet'!E17,0)</f>
        <v>291550.48</v>
      </c>
      <c r="G7" s="31">
        <f>IFERROR('Data Sheet'!F17,0)</f>
        <v>301938.40000000002</v>
      </c>
      <c r="H7" s="31">
        <f>IFERROR('Data Sheet'!G17,0)</f>
        <v>261067.97</v>
      </c>
      <c r="I7" s="31">
        <f>IFERROR('Data Sheet'!H17,0)</f>
        <v>249794.75</v>
      </c>
      <c r="J7" s="31">
        <f>IFERROR('Data Sheet'!I17,0)</f>
        <v>278453.62</v>
      </c>
      <c r="K7" s="31">
        <f>IFERROR('Data Sheet'!J17,0)</f>
        <v>345966.97</v>
      </c>
      <c r="L7" s="31">
        <f>IFERROR('Data Sheet'!K17,0)</f>
        <v>437927.77</v>
      </c>
      <c r="M7" s="31">
        <f>IFERROR(SUM('Data Sheet'!H42:K42),0)</f>
        <v>443739.38</v>
      </c>
    </row>
    <row r="8" spans="1:16" x14ac:dyDescent="0.35">
      <c r="B8" s="32" t="s">
        <v>22</v>
      </c>
      <c r="C8" s="28" t="s">
        <v>98</v>
      </c>
      <c r="D8" s="29">
        <f>D7/C7-1</f>
        <v>3.75690010654397E-2</v>
      </c>
      <c r="E8" s="29">
        <f t="shared" ref="E8:M8" si="0">E7/D7-1</f>
        <v>-1.2280329732469508E-2</v>
      </c>
      <c r="F8" s="29">
        <f t="shared" si="0"/>
        <v>8.104774581985974E-2</v>
      </c>
      <c r="G8" s="29">
        <f t="shared" si="0"/>
        <v>3.5629919045237157E-2</v>
      </c>
      <c r="H8" s="29">
        <f t="shared" si="0"/>
        <v>-0.135360159555724</v>
      </c>
      <c r="I8" s="29">
        <f t="shared" si="0"/>
        <v>-4.3181168490336042E-2</v>
      </c>
      <c r="J8" s="29">
        <f t="shared" si="0"/>
        <v>0.11472967306158344</v>
      </c>
      <c r="K8" s="29">
        <f t="shared" si="0"/>
        <v>0.24245815155859707</v>
      </c>
      <c r="L8" s="29">
        <f t="shared" si="0"/>
        <v>0.26580803363974326</v>
      </c>
      <c r="M8" s="29">
        <f t="shared" si="0"/>
        <v>1.3270704436030512E-2</v>
      </c>
    </row>
    <row r="10" spans="1:16" x14ac:dyDescent="0.35">
      <c r="B10" s="2" t="s">
        <v>99</v>
      </c>
      <c r="C10" s="34">
        <f>IFERROR(SUM('Data Sheet'!B18,'Data Sheet'!B20:B22)-1*'Data Sheet'!B19,0)</f>
        <v>202856.88</v>
      </c>
      <c r="D10" s="34">
        <f>IFERROR(SUM('Data Sheet'!C18,'Data Sheet'!C20:C22)-1*'Data Sheet'!C19,0)</f>
        <v>205509.07</v>
      </c>
      <c r="E10" s="34">
        <f>IFERROR(SUM('Data Sheet'!D18,'Data Sheet'!D20:D22)-1*'Data Sheet'!D19,0)</f>
        <v>205454.23999999996</v>
      </c>
      <c r="F10" s="34">
        <f>IFERROR(SUM('Data Sheet'!E18,'Data Sheet'!E20:E22)-1*'Data Sheet'!E19,0)</f>
        <v>228429.83</v>
      </c>
      <c r="G10" s="34">
        <f>IFERROR(SUM('Data Sheet'!F18,'Data Sheet'!F20:F22)-1*'Data Sheet'!F19,0)</f>
        <v>242845.53</v>
      </c>
      <c r="H10" s="34">
        <f>IFERROR(SUM('Data Sheet'!G18,'Data Sheet'!G20:G22)-1*'Data Sheet'!G19,0)</f>
        <v>210376.07000000004</v>
      </c>
      <c r="I10" s="34">
        <f>IFERROR(SUM('Data Sheet'!H18,'Data Sheet'!H20:H22)-1*'Data Sheet'!H19,0)</f>
        <v>195326.04</v>
      </c>
      <c r="J10" s="34">
        <f>IFERROR(SUM('Data Sheet'!I18,'Data Sheet'!I20:I22)-1*'Data Sheet'!I19,0)</f>
        <v>223300.00999999998</v>
      </c>
      <c r="K10" s="34">
        <f>IFERROR(SUM('Data Sheet'!J18,'Data Sheet'!J20:J22)-1*'Data Sheet'!J19,0)</f>
        <v>274403.64</v>
      </c>
      <c r="L10" s="34">
        <f>IFERROR(SUM('Data Sheet'!K18,'Data Sheet'!K20:K22)-1*'Data Sheet'!K19,0)</f>
        <v>334551.78999999998</v>
      </c>
      <c r="M10" s="34">
        <f>IFERROR(SUM('Data Sheet'!H43:K43),0)</f>
        <v>381634.07</v>
      </c>
    </row>
    <row r="11" spans="1:16" x14ac:dyDescent="0.35">
      <c r="B11" s="32" t="s">
        <v>100</v>
      </c>
      <c r="C11" s="29">
        <f>C10/C7</f>
        <v>0.77085296500237244</v>
      </c>
      <c r="D11" s="29">
        <f t="shared" ref="D11:M11" si="1">D10/D7</f>
        <v>0.75265475803309057</v>
      </c>
      <c r="E11" s="29">
        <f t="shared" si="1"/>
        <v>0.76180921746770036</v>
      </c>
      <c r="F11" s="29">
        <f t="shared" si="1"/>
        <v>0.78350009919380004</v>
      </c>
      <c r="G11" s="29">
        <f t="shared" si="1"/>
        <v>0.80428832503583503</v>
      </c>
      <c r="H11" s="29">
        <f t="shared" si="1"/>
        <v>0.80582872728508226</v>
      </c>
      <c r="I11" s="29">
        <f t="shared" si="1"/>
        <v>0.7819461377791167</v>
      </c>
      <c r="J11" s="29">
        <f t="shared" si="1"/>
        <v>0.80192891728252624</v>
      </c>
      <c r="K11" s="29">
        <f t="shared" si="1"/>
        <v>0.79314982005363122</v>
      </c>
      <c r="L11" s="29">
        <f t="shared" si="1"/>
        <v>0.76394285295038489</v>
      </c>
      <c r="M11" s="29">
        <f t="shared" si="1"/>
        <v>0.86004102227753598</v>
      </c>
    </row>
    <row r="13" spans="1:16" x14ac:dyDescent="0.35">
      <c r="B13" s="42" t="s">
        <v>101</v>
      </c>
      <c r="C13" s="43">
        <f>C7-C10</f>
        <v>60302.099999999977</v>
      </c>
      <c r="D13" s="43">
        <f t="shared" ref="D13:L13" si="2">D7-D10</f>
        <v>67536.52999999997</v>
      </c>
      <c r="E13" s="43">
        <f t="shared" si="2"/>
        <v>64238.270000000048</v>
      </c>
      <c r="F13" s="43">
        <f t="shared" si="2"/>
        <v>63120.649999999994</v>
      </c>
      <c r="G13" s="43">
        <f t="shared" si="2"/>
        <v>59092.870000000024</v>
      </c>
      <c r="H13" s="43">
        <f t="shared" si="2"/>
        <v>50691.899999999965</v>
      </c>
      <c r="I13" s="43">
        <f t="shared" si="2"/>
        <v>54468.709999999992</v>
      </c>
      <c r="J13" s="43">
        <f t="shared" si="2"/>
        <v>55153.610000000015</v>
      </c>
      <c r="K13" s="43">
        <f t="shared" si="2"/>
        <v>71563.329999999958</v>
      </c>
      <c r="L13" s="43">
        <f t="shared" si="2"/>
        <v>103375.98000000004</v>
      </c>
      <c r="M13" s="43">
        <f>M7-M10</f>
        <v>62105.31</v>
      </c>
    </row>
    <row r="14" spans="1:16" x14ac:dyDescent="0.35">
      <c r="B14" s="29" t="s">
        <v>108</v>
      </c>
      <c r="C14" s="29">
        <f>C13/C7</f>
        <v>0.22914703499762759</v>
      </c>
      <c r="D14" s="29">
        <f t="shared" ref="D14:M14" si="3">D13/D7</f>
        <v>0.24734524196690946</v>
      </c>
      <c r="E14" s="29">
        <f t="shared" si="3"/>
        <v>0.23819078253229964</v>
      </c>
      <c r="F14" s="29">
        <f t="shared" si="3"/>
        <v>0.21649990080619999</v>
      </c>
      <c r="G14" s="29">
        <f t="shared" si="3"/>
        <v>0.19571167496416494</v>
      </c>
      <c r="H14" s="29">
        <f t="shared" si="3"/>
        <v>0.19417127271491774</v>
      </c>
      <c r="I14" s="29">
        <f t="shared" si="3"/>
        <v>0.2180538622208833</v>
      </c>
      <c r="J14" s="29">
        <f t="shared" si="3"/>
        <v>0.19807108271747378</v>
      </c>
      <c r="K14" s="29">
        <f t="shared" si="3"/>
        <v>0.20685017994636876</v>
      </c>
      <c r="L14" s="29">
        <f t="shared" si="3"/>
        <v>0.23605714704961514</v>
      </c>
      <c r="M14" s="29">
        <f t="shared" si="3"/>
        <v>0.13995897772246402</v>
      </c>
      <c r="N14" s="29"/>
      <c r="O14" s="29"/>
      <c r="P14" s="29"/>
    </row>
    <row r="15" spans="1:16" x14ac:dyDescent="0.35">
      <c r="D15" s="33"/>
    </row>
    <row r="16" spans="1:16" x14ac:dyDescent="0.35">
      <c r="B16" s="2" t="s">
        <v>102</v>
      </c>
      <c r="C16" s="35">
        <f>IFERROR(SUM('Data Sheet'!B23:B24),0)</f>
        <v>21063.449999999997</v>
      </c>
      <c r="D16" s="35">
        <f>IFERROR(SUM('Data Sheet'!C23:C24),0)</f>
        <v>29141.280000000002</v>
      </c>
      <c r="E16" s="35">
        <f>IFERROR(SUM('Data Sheet'!D23:D24),0)</f>
        <v>34649.58</v>
      </c>
      <c r="F16" s="35">
        <f>IFERROR(SUM('Data Sheet'!E23:E24),0)</f>
        <v>31662.97</v>
      </c>
      <c r="G16" s="35">
        <f>IFERROR(SUM('Data Sheet'!F23:F24),0)</f>
        <v>34428.54</v>
      </c>
      <c r="H16" s="35">
        <f>IFERROR(SUM('Data Sheet'!G23:G24),0)</f>
        <v>32704.83</v>
      </c>
      <c r="I16" s="35">
        <f>IFERROR(SUM('Data Sheet'!H23:H24),0)</f>
        <v>22181.280000000002</v>
      </c>
      <c r="J16" s="35">
        <f>IFERROR(SUM('Data Sheet'!I23:I24),0)</f>
        <v>30433.52</v>
      </c>
      <c r="K16" s="35">
        <f>IFERROR(SUM('Data Sheet'!J23:J24),0)</f>
        <v>39747.53</v>
      </c>
      <c r="L16" s="35">
        <f>IFERROR(SUM('Data Sheet'!K23:K24),0)</f>
        <v>43837.64</v>
      </c>
      <c r="M16" s="35">
        <f>IFERROR(SUM('Data Sheet'!L23:L24),0)</f>
        <v>0</v>
      </c>
    </row>
    <row r="17" spans="2:18" x14ac:dyDescent="0.35">
      <c r="B17" s="32" t="s">
        <v>103</v>
      </c>
      <c r="C17" s="29">
        <f>C16/C7</f>
        <v>8.0040779911823637E-2</v>
      </c>
      <c r="D17" s="29">
        <f t="shared" ref="D17:M17" si="4">D16/D7</f>
        <v>0.10672678849247161</v>
      </c>
      <c r="E17" s="29">
        <f t="shared" si="4"/>
        <v>0.12847809529452636</v>
      </c>
      <c r="F17" s="29">
        <f t="shared" si="4"/>
        <v>0.10860201636437025</v>
      </c>
      <c r="G17" s="29">
        <f t="shared" si="4"/>
        <v>0.11402504616835751</v>
      </c>
      <c r="H17" s="29">
        <f t="shared" si="4"/>
        <v>0.12527323822987554</v>
      </c>
      <c r="I17" s="29">
        <f t="shared" si="4"/>
        <v>8.8798023177028354E-2</v>
      </c>
      <c r="J17" s="29">
        <f t="shared" si="4"/>
        <v>0.10929475436519734</v>
      </c>
      <c r="K17" s="29">
        <f t="shared" si="4"/>
        <v>0.11488822184383672</v>
      </c>
      <c r="L17" s="29">
        <f t="shared" si="4"/>
        <v>0.10010244383451636</v>
      </c>
      <c r="M17" s="29">
        <f t="shared" si="4"/>
        <v>0</v>
      </c>
    </row>
    <row r="19" spans="2:18" x14ac:dyDescent="0.35">
      <c r="B19" s="42" t="s">
        <v>104</v>
      </c>
      <c r="C19" s="43">
        <f t="shared" ref="C19:L19" si="5">C13-C16</f>
        <v>39238.64999999998</v>
      </c>
      <c r="D19" s="43">
        <f t="shared" si="5"/>
        <v>38395.249999999971</v>
      </c>
      <c r="E19" s="43">
        <f t="shared" si="5"/>
        <v>29588.690000000046</v>
      </c>
      <c r="F19" s="43">
        <f t="shared" si="5"/>
        <v>31457.679999999993</v>
      </c>
      <c r="G19" s="43">
        <f t="shared" si="5"/>
        <v>24664.330000000024</v>
      </c>
      <c r="H19" s="43">
        <f t="shared" si="5"/>
        <v>17987.069999999963</v>
      </c>
      <c r="I19" s="43">
        <f t="shared" si="5"/>
        <v>32287.429999999989</v>
      </c>
      <c r="J19" s="43">
        <f t="shared" si="5"/>
        <v>24720.090000000015</v>
      </c>
      <c r="K19" s="43">
        <f t="shared" si="5"/>
        <v>31815.799999999959</v>
      </c>
      <c r="L19" s="43">
        <f t="shared" si="5"/>
        <v>59538.34000000004</v>
      </c>
      <c r="M19" s="43">
        <f>IFERROR(SUM('Data Sheet'!H51:K51),0)</f>
        <v>68194.759999999995</v>
      </c>
    </row>
    <row r="20" spans="2:18" x14ac:dyDescent="0.35">
      <c r="B20" s="29" t="s">
        <v>107</v>
      </c>
      <c r="C20" s="29">
        <f>C19/C7</f>
        <v>0.14910625508580397</v>
      </c>
      <c r="D20" s="29">
        <f t="shared" ref="D20:M20" si="6">D19/D7</f>
        <v>0.14061845347443788</v>
      </c>
      <c r="E20" s="29">
        <f t="shared" si="6"/>
        <v>0.10971268723777329</v>
      </c>
      <c r="F20" s="29">
        <f t="shared" si="6"/>
        <v>0.10789788444182975</v>
      </c>
      <c r="G20" s="29">
        <f t="shared" si="6"/>
        <v>8.1686628795807431E-2</v>
      </c>
      <c r="H20" s="29">
        <f t="shared" si="6"/>
        <v>6.8898034485042198E-2</v>
      </c>
      <c r="I20" s="29">
        <f t="shared" si="6"/>
        <v>0.12925583904385496</v>
      </c>
      <c r="J20" s="29">
        <f t="shared" si="6"/>
        <v>8.877632835227646E-2</v>
      </c>
      <c r="K20" s="29">
        <f t="shared" si="6"/>
        <v>9.1961958102532049E-2</v>
      </c>
      <c r="L20" s="29">
        <f t="shared" si="6"/>
        <v>0.13595470321509878</v>
      </c>
      <c r="M20" s="29">
        <f t="shared" si="6"/>
        <v>0.15368201037284543</v>
      </c>
    </row>
    <row r="22" spans="2:18" x14ac:dyDescent="0.35">
      <c r="B22" s="35" t="s">
        <v>11</v>
      </c>
      <c r="C22" s="35">
        <f>IFERROR('Data Sheet'!B27,0)</f>
        <v>4861.49</v>
      </c>
      <c r="D22" s="35">
        <f>IFERROR('Data Sheet'!C27,0)</f>
        <v>4889.08</v>
      </c>
      <c r="E22" s="35">
        <f>IFERROR('Data Sheet'!D27,0)</f>
        <v>4238.01</v>
      </c>
      <c r="F22" s="35">
        <f>IFERROR('Data Sheet'!E27,0)</f>
        <v>4681.79</v>
      </c>
      <c r="G22" s="35">
        <f>IFERROR('Data Sheet'!F27,0)</f>
        <v>5758.6</v>
      </c>
      <c r="H22" s="35">
        <f>IFERROR('Data Sheet'!G27,0)</f>
        <v>7243.33</v>
      </c>
      <c r="I22" s="35">
        <f>IFERROR('Data Sheet'!H27,0)</f>
        <v>8097.17</v>
      </c>
      <c r="J22" s="35">
        <f>IFERROR('Data Sheet'!I27,0)</f>
        <v>9311.86</v>
      </c>
      <c r="K22" s="35">
        <f>IFERROR('Data Sheet'!J27,0)</f>
        <v>10225.48</v>
      </c>
      <c r="L22" s="35">
        <f>IFERROR('Data Sheet'!K27,0)</f>
        <v>9985.76</v>
      </c>
      <c r="M22" s="35">
        <f>IFERROR(SUM('Data Sheet'!H46:K46),0)</f>
        <v>9458.6</v>
      </c>
    </row>
    <row r="23" spans="2:18" x14ac:dyDescent="0.35">
      <c r="B23" s="29" t="s">
        <v>105</v>
      </c>
      <c r="C23" s="29">
        <f>C22/C7</f>
        <v>1.8473585814932098E-2</v>
      </c>
      <c r="D23" s="29">
        <f t="shared" ref="D23:M23" si="7">D22/D7</f>
        <v>1.7905727101993223E-2</v>
      </c>
      <c r="E23" s="29">
        <f t="shared" si="7"/>
        <v>1.5714229512714312E-2</v>
      </c>
      <c r="F23" s="29">
        <f t="shared" si="7"/>
        <v>1.605824830060304E-2</v>
      </c>
      <c r="G23" s="29">
        <f t="shared" si="7"/>
        <v>1.9072102124141878E-2</v>
      </c>
      <c r="H23" s="29">
        <f t="shared" si="7"/>
        <v>2.7744996829752802E-2</v>
      </c>
      <c r="I23" s="29">
        <f t="shared" si="7"/>
        <v>3.2415292955516477E-2</v>
      </c>
      <c r="J23" s="29">
        <f t="shared" si="7"/>
        <v>3.3441332168710897E-2</v>
      </c>
      <c r="K23" s="29">
        <f t="shared" si="7"/>
        <v>2.9556231914277829E-2</v>
      </c>
      <c r="L23" s="29">
        <f t="shared" si="7"/>
        <v>2.2802299109736749E-2</v>
      </c>
      <c r="M23" s="29">
        <f t="shared" si="7"/>
        <v>2.1315665064479968E-2</v>
      </c>
    </row>
    <row r="25" spans="2:18" x14ac:dyDescent="0.35">
      <c r="B25" s="35" t="s">
        <v>10</v>
      </c>
      <c r="C25" s="35">
        <f>IFERROR('Data Sheet'!B26,0)</f>
        <v>13388.63</v>
      </c>
      <c r="D25" s="35">
        <f>IFERROR('Data Sheet'!C26,0)</f>
        <v>16710.78</v>
      </c>
      <c r="E25" s="35">
        <f>IFERROR('Data Sheet'!D26,0)</f>
        <v>17904.990000000002</v>
      </c>
      <c r="F25" s="35">
        <f>IFERROR('Data Sheet'!E26,0)</f>
        <v>21553.59</v>
      </c>
      <c r="G25" s="35">
        <f>IFERROR('Data Sheet'!F26,0)</f>
        <v>23590.63</v>
      </c>
      <c r="H25" s="35">
        <f>IFERROR('Data Sheet'!G26,0)</f>
        <v>21425.43</v>
      </c>
      <c r="I25" s="35">
        <f>IFERROR('Data Sheet'!H26,0)</f>
        <v>23546.71</v>
      </c>
      <c r="J25" s="35">
        <f>IFERROR('Data Sheet'!I26,0)</f>
        <v>24835.69</v>
      </c>
      <c r="K25" s="35">
        <f>IFERROR('Data Sheet'!J26,0)</f>
        <v>24860.36</v>
      </c>
      <c r="L25" s="35">
        <f>IFERROR('Data Sheet'!K26,0)</f>
        <v>27270.13</v>
      </c>
      <c r="M25" s="35">
        <f>IFERROR(SUM('Data Sheet'!H45:K45),0)</f>
        <v>27211.42</v>
      </c>
    </row>
    <row r="26" spans="2:18" x14ac:dyDescent="0.35">
      <c r="B26" s="29" t="s">
        <v>106</v>
      </c>
      <c r="C26" s="29">
        <f>C25/C7</f>
        <v>5.0876584184966822E-2</v>
      </c>
      <c r="D26" s="29">
        <f t="shared" ref="D26:M26" si="8">D25/D7</f>
        <v>6.1201425695927715E-2</v>
      </c>
      <c r="E26" s="29">
        <f t="shared" si="8"/>
        <v>6.63903865924938E-2</v>
      </c>
      <c r="F26" s="29">
        <f t="shared" si="8"/>
        <v>7.3927472182518786E-2</v>
      </c>
      <c r="G26" s="29">
        <f t="shared" si="8"/>
        <v>7.8130605447998658E-2</v>
      </c>
      <c r="H26" s="29">
        <f t="shared" si="8"/>
        <v>8.206839774331566E-2</v>
      </c>
      <c r="I26" s="29">
        <f t="shared" si="8"/>
        <v>9.4264230933596482E-2</v>
      </c>
      <c r="J26" s="29">
        <f t="shared" si="8"/>
        <v>8.9191478279219347E-2</v>
      </c>
      <c r="K26" s="29">
        <f t="shared" si="8"/>
        <v>7.1857611147098821E-2</v>
      </c>
      <c r="L26" s="29">
        <f t="shared" si="8"/>
        <v>6.2270839777984394E-2</v>
      </c>
      <c r="M26" s="29">
        <f t="shared" si="8"/>
        <v>6.1322977464835324E-2</v>
      </c>
    </row>
    <row r="28" spans="2:18" x14ac:dyDescent="0.35">
      <c r="B28" s="42" t="s">
        <v>180</v>
      </c>
      <c r="C28" s="43">
        <f>IFERROR(C19-SUM(C22,C25),0)</f>
        <v>20988.529999999981</v>
      </c>
      <c r="D28" s="43">
        <f t="shared" ref="D28:M28" si="9">IFERROR(D19-SUM(D22,D25),0)</f>
        <v>16795.38999999997</v>
      </c>
      <c r="E28" s="43">
        <f t="shared" si="9"/>
        <v>7445.690000000046</v>
      </c>
      <c r="F28" s="43">
        <f t="shared" si="9"/>
        <v>5222.299999999992</v>
      </c>
      <c r="G28" s="43">
        <f t="shared" si="9"/>
        <v>-4684.8999999999796</v>
      </c>
      <c r="H28" s="43">
        <f t="shared" si="9"/>
        <v>-10681.690000000039</v>
      </c>
      <c r="I28" s="43">
        <f t="shared" si="9"/>
        <v>643.549999999992</v>
      </c>
      <c r="J28" s="43">
        <f t="shared" si="9"/>
        <v>-9427.4599999999882</v>
      </c>
      <c r="K28" s="43">
        <f t="shared" si="9"/>
        <v>-3270.0400000000373</v>
      </c>
      <c r="L28" s="43">
        <f t="shared" si="9"/>
        <v>22282.450000000041</v>
      </c>
      <c r="M28" s="43">
        <f t="shared" si="9"/>
        <v>31524.739999999998</v>
      </c>
      <c r="N28" s="35"/>
      <c r="O28" s="35"/>
    </row>
    <row r="29" spans="2:18" x14ac:dyDescent="0.35">
      <c r="B29" s="29" t="s">
        <v>109</v>
      </c>
      <c r="C29" s="29">
        <f>C28/C7</f>
        <v>7.9756085085905037E-2</v>
      </c>
      <c r="D29" s="29">
        <f t="shared" ref="D29:M29" si="10">D28/D7</f>
        <v>6.1511300676516931E-2</v>
      </c>
      <c r="E29" s="29">
        <f t="shared" si="10"/>
        <v>2.7608071132565179E-2</v>
      </c>
      <c r="F29" s="29">
        <f t="shared" si="10"/>
        <v>1.7912163958707913E-2</v>
      </c>
      <c r="G29" s="29">
        <f t="shared" si="10"/>
        <v>-1.5516078776333117E-2</v>
      </c>
      <c r="H29" s="29">
        <f t="shared" si="10"/>
        <v>-4.0915360088026265E-2</v>
      </c>
      <c r="I29" s="29">
        <f t="shared" si="10"/>
        <v>2.5763151547420113E-3</v>
      </c>
      <c r="J29" s="29">
        <f t="shared" si="10"/>
        <v>-3.3856482095653805E-2</v>
      </c>
      <c r="K29" s="29">
        <f t="shared" si="10"/>
        <v>-9.4518849588445895E-3</v>
      </c>
      <c r="L29" s="29">
        <f t="shared" si="10"/>
        <v>5.0881564327377643E-2</v>
      </c>
      <c r="M29" s="29">
        <f t="shared" si="10"/>
        <v>7.1043367843530131E-2</v>
      </c>
      <c r="N29" s="29"/>
      <c r="O29" s="29"/>
      <c r="P29" s="29"/>
    </row>
    <row r="31" spans="2:18" x14ac:dyDescent="0.35">
      <c r="B31" s="35" t="s">
        <v>13</v>
      </c>
      <c r="C31" s="35">
        <f>IFERROR('Data Sheet'!B29,0)</f>
        <v>7642.91</v>
      </c>
      <c r="D31" s="35">
        <f>IFERROR('Data Sheet'!C29,0)</f>
        <v>3025.05</v>
      </c>
      <c r="E31" s="35">
        <f>IFERROR('Data Sheet'!D29,0)</f>
        <v>3251.23</v>
      </c>
      <c r="F31" s="35">
        <f>IFERROR('Data Sheet'!E29,0)</f>
        <v>4341.93</v>
      </c>
      <c r="G31" s="35">
        <f>IFERROR('Data Sheet'!F29,0)</f>
        <v>-2437.4499999999998</v>
      </c>
      <c r="H31" s="35">
        <f>IFERROR('Data Sheet'!G29,0)</f>
        <v>395.25</v>
      </c>
      <c r="I31" s="35">
        <f>IFERROR('Data Sheet'!H29,0)</f>
        <v>2541.86</v>
      </c>
      <c r="J31" s="35">
        <f>IFERROR('Data Sheet'!I29,0)</f>
        <v>4231.29</v>
      </c>
      <c r="K31" s="35">
        <f>IFERROR('Data Sheet'!J29,0)</f>
        <v>704.06</v>
      </c>
      <c r="L31" s="35">
        <f>IFERROR('Data Sheet'!K29,0)</f>
        <v>-3851.64</v>
      </c>
      <c r="M31" s="35">
        <f>IFERROR(SUM('Data Sheet'!H48:K48),0)</f>
        <v>-2237.37</v>
      </c>
      <c r="N31" s="35"/>
      <c r="O31" s="35"/>
      <c r="P31" s="35"/>
      <c r="Q31" s="35"/>
      <c r="R31" s="35"/>
    </row>
    <row r="32" spans="2:18" x14ac:dyDescent="0.35">
      <c r="B32" s="29" t="s">
        <v>110</v>
      </c>
      <c r="C32" s="29">
        <f>C31/C28</f>
        <v>0.3641469888553418</v>
      </c>
      <c r="D32" s="29">
        <f t="shared" ref="D32:M32" si="11">D31/D28</f>
        <v>0.18011192356950362</v>
      </c>
      <c r="E32" s="29">
        <f t="shared" si="11"/>
        <v>0.43665932908836924</v>
      </c>
      <c r="F32" s="29">
        <f t="shared" si="11"/>
        <v>0.8314210213890445</v>
      </c>
      <c r="G32" s="29">
        <f t="shared" si="11"/>
        <v>0.52027791414971725</v>
      </c>
      <c r="H32" s="29">
        <f t="shared" si="11"/>
        <v>-3.7002571690434617E-2</v>
      </c>
      <c r="I32" s="29">
        <f t="shared" si="11"/>
        <v>3.9497474943672315</v>
      </c>
      <c r="J32" s="29">
        <f t="shared" si="11"/>
        <v>-0.4488260888935095</v>
      </c>
      <c r="K32" s="29">
        <f t="shared" si="11"/>
        <v>-0.21530623478611635</v>
      </c>
      <c r="L32" s="29">
        <f t="shared" si="11"/>
        <v>-0.17285531887202676</v>
      </c>
      <c r="M32" s="29">
        <f t="shared" si="11"/>
        <v>-7.0971877959976837E-2</v>
      </c>
    </row>
    <row r="34" spans="1:15" x14ac:dyDescent="0.35">
      <c r="B34" s="42" t="s">
        <v>14</v>
      </c>
      <c r="C34" s="43">
        <f>IFERROR(C28-C31,0)</f>
        <v>13345.619999999981</v>
      </c>
      <c r="D34" s="43">
        <f t="shared" ref="D34:M34" si="12">IFERROR(D28-D31,0)</f>
        <v>13770.339999999971</v>
      </c>
      <c r="E34" s="43">
        <f t="shared" si="12"/>
        <v>4194.4600000000464</v>
      </c>
      <c r="F34" s="43">
        <f t="shared" si="12"/>
        <v>880.36999999999171</v>
      </c>
      <c r="G34" s="43">
        <f t="shared" si="12"/>
        <v>-2247.4499999999798</v>
      </c>
      <c r="H34" s="43">
        <f t="shared" si="12"/>
        <v>-11076.940000000039</v>
      </c>
      <c r="I34" s="43">
        <f t="shared" si="12"/>
        <v>-1898.3100000000081</v>
      </c>
      <c r="J34" s="43">
        <f t="shared" si="12"/>
        <v>-13658.749999999989</v>
      </c>
      <c r="K34" s="43">
        <f t="shared" si="12"/>
        <v>-3974.1000000000372</v>
      </c>
      <c r="L34" s="43">
        <f t="shared" si="12"/>
        <v>26134.09000000004</v>
      </c>
      <c r="M34" s="43">
        <f t="shared" si="12"/>
        <v>33762.11</v>
      </c>
    </row>
    <row r="35" spans="1:15" x14ac:dyDescent="0.35">
      <c r="B35" s="29" t="s">
        <v>111</v>
      </c>
      <c r="C35" s="29">
        <f>C34/C7</f>
        <v>5.0713146858982282E-2</v>
      </c>
      <c r="D35" s="29">
        <f t="shared" ref="D35:M35" si="13">D34/D7</f>
        <v>5.0432381990407359E-2</v>
      </c>
      <c r="E35" s="29">
        <f t="shared" si="13"/>
        <v>1.5552749314395296E-2</v>
      </c>
      <c r="F35" s="29">
        <f t="shared" si="13"/>
        <v>3.01961430487095E-3</v>
      </c>
      <c r="G35" s="29">
        <f t="shared" si="13"/>
        <v>-7.4434056747998256E-3</v>
      </c>
      <c r="H35" s="29">
        <f t="shared" si="13"/>
        <v>-4.2429333632923408E-2</v>
      </c>
      <c r="I35" s="29">
        <f t="shared" si="13"/>
        <v>-7.5994791724005731E-3</v>
      </c>
      <c r="J35" s="29">
        <f t="shared" si="13"/>
        <v>-4.9052154538339235E-2</v>
      </c>
      <c r="K35" s="29">
        <f t="shared" si="13"/>
        <v>-1.1486934720964945E-2</v>
      </c>
      <c r="L35" s="29">
        <f t="shared" si="13"/>
        <v>5.9676713353894045E-2</v>
      </c>
      <c r="M35" s="29">
        <f t="shared" si="13"/>
        <v>7.6085449075986897E-2</v>
      </c>
    </row>
    <row r="37" spans="1:15" x14ac:dyDescent="0.35">
      <c r="B37" t="s">
        <v>112</v>
      </c>
      <c r="C37">
        <f>IFERROR('Data Sheet'!B93,0)</f>
        <v>288.74</v>
      </c>
      <c r="D37">
        <f>IFERROR('Data Sheet'!C93,0)</f>
        <v>288.72000000000003</v>
      </c>
      <c r="E37">
        <f>IFERROR('Data Sheet'!D93,0)</f>
        <v>288.73</v>
      </c>
      <c r="F37">
        <f>IFERROR('Data Sheet'!E93,0)</f>
        <v>288.73</v>
      </c>
      <c r="G37">
        <f>IFERROR('Data Sheet'!F93,0)</f>
        <v>288.73</v>
      </c>
      <c r="H37">
        <f>IFERROR('Data Sheet'!G93,0)</f>
        <v>308.89999999999998</v>
      </c>
      <c r="I37">
        <f>IFERROR('Data Sheet'!H93,0)</f>
        <v>332.03</v>
      </c>
      <c r="J37">
        <f>IFERROR('Data Sheet'!I93,0)</f>
        <v>332.07</v>
      </c>
      <c r="K37">
        <f>IFERROR('Data Sheet'!J93,0)</f>
        <v>332.13</v>
      </c>
      <c r="L37">
        <f>IFERROR('Data Sheet'!K93,0)</f>
        <v>332.37</v>
      </c>
      <c r="M37">
        <f>IFERROR(L37,0)</f>
        <v>332.37</v>
      </c>
    </row>
    <row r="39" spans="1:15" x14ac:dyDescent="0.35">
      <c r="B39" s="35" t="s">
        <v>113</v>
      </c>
      <c r="C39" s="35">
        <f>IFERROR(C34/C37,0)</f>
        <v>46.220198102098706</v>
      </c>
      <c r="D39" s="35">
        <f t="shared" ref="D39:M39" si="14">IFERROR(D34/D37,0)</f>
        <v>47.694444444444336</v>
      </c>
      <c r="E39" s="35">
        <f t="shared" si="14"/>
        <v>14.527274616423808</v>
      </c>
      <c r="F39" s="35">
        <f t="shared" si="14"/>
        <v>3.049111626779315</v>
      </c>
      <c r="G39" s="35">
        <f t="shared" si="14"/>
        <v>-7.7839157690575265</v>
      </c>
      <c r="H39" s="35">
        <f t="shared" si="14"/>
        <v>-35.859307219164904</v>
      </c>
      <c r="I39" s="35">
        <f t="shared" si="14"/>
        <v>-5.7172845827184542</v>
      </c>
      <c r="J39" s="35">
        <f t="shared" si="14"/>
        <v>-41.132140813683833</v>
      </c>
      <c r="K39" s="35">
        <f t="shared" si="14"/>
        <v>-11.965495438533218</v>
      </c>
      <c r="L39" s="35">
        <f t="shared" si="14"/>
        <v>78.629509281824596</v>
      </c>
      <c r="M39" s="35">
        <f t="shared" si="14"/>
        <v>101.57989589914854</v>
      </c>
      <c r="N39" s="35"/>
    </row>
    <row r="40" spans="1:15" x14ac:dyDescent="0.35">
      <c r="B40" s="29" t="s">
        <v>114</v>
      </c>
      <c r="C40" s="29"/>
      <c r="D40" s="29">
        <f>D39/C39-1</f>
        <v>3.189614936502605E-2</v>
      </c>
      <c r="E40" s="29">
        <f t="shared" ref="E40:M40" si="15">E39/D39-1</f>
        <v>-0.69540950134463697</v>
      </c>
      <c r="F40" s="29">
        <f t="shared" si="15"/>
        <v>-0.79011124197155724</v>
      </c>
      <c r="G40" s="29">
        <f t="shared" si="15"/>
        <v>-3.5528470983790919</v>
      </c>
      <c r="H40" s="29">
        <f t="shared" si="15"/>
        <v>3.6068467700681115</v>
      </c>
      <c r="I40" s="29">
        <f t="shared" si="15"/>
        <v>-0.84056344011958861</v>
      </c>
      <c r="J40" s="29">
        <f t="shared" si="15"/>
        <v>6.194349033807641</v>
      </c>
      <c r="K40" s="29">
        <f t="shared" si="15"/>
        <v>-0.70909621522659627</v>
      </c>
      <c r="L40" s="29">
        <f t="shared" si="15"/>
        <v>-7.5713542482001346</v>
      </c>
      <c r="M40" s="29">
        <f t="shared" si="15"/>
        <v>0.29188006928880816</v>
      </c>
      <c r="N40" s="29"/>
    </row>
    <row r="42" spans="1:15" x14ac:dyDescent="0.35">
      <c r="B42" s="35" t="s">
        <v>115</v>
      </c>
      <c r="C42" s="35">
        <f>IFERROR('Data Sheet'!B31/HistoricalFS!C39,0)</f>
        <v>0</v>
      </c>
      <c r="D42" s="35">
        <f>IFERROR('Data Sheet'!C31/HistoricalFS!D39,0)</f>
        <v>1.4240652300524204</v>
      </c>
      <c r="E42" s="35">
        <f>IFERROR('Data Sheet'!D31/HistoricalFS!E39,0)</f>
        <v>0</v>
      </c>
      <c r="F42" s="35">
        <f>IFERROR('Data Sheet'!E31/HistoricalFS!F39,0)</f>
        <v>0</v>
      </c>
      <c r="G42" s="35">
        <f>IFERROR('Data Sheet'!F31/HistoricalFS!G39,0)</f>
        <v>0</v>
      </c>
      <c r="H42" s="35">
        <f>IFERROR('Data Sheet'!G31/HistoricalFS!H39,0)</f>
        <v>0</v>
      </c>
      <c r="I42" s="35">
        <f>IFERROR('Data Sheet'!H31/HistoricalFS!I39,0)</f>
        <v>0</v>
      </c>
      <c r="J42" s="35">
        <f>IFERROR('Data Sheet'!I31/HistoricalFS!J39,0)</f>
        <v>0</v>
      </c>
      <c r="K42" s="35">
        <f>IFERROR('Data Sheet'!J31/HistoricalFS!K39,0)</f>
        <v>-64.019079187740019</v>
      </c>
      <c r="L42" s="35">
        <f>IFERROR('Data Sheet'!K31/HistoricalFS!L39,0)</f>
        <v>59.464316167121083</v>
      </c>
      <c r="M42" s="35">
        <f>IFERROR('Data Sheet'!L31/HistoricalFS!M39,0)</f>
        <v>0</v>
      </c>
      <c r="N42" s="35"/>
    </row>
    <row r="43" spans="1:15" x14ac:dyDescent="0.35">
      <c r="B43" s="29" t="s">
        <v>116</v>
      </c>
      <c r="C43" s="29">
        <f>IFERROR(C42/C39,0)</f>
        <v>0</v>
      </c>
      <c r="D43" s="29">
        <f t="shared" ref="D43:M43" si="16">IFERROR(D42/D39,0)</f>
        <v>2.9858094514785816E-2</v>
      </c>
      <c r="E43" s="29">
        <f t="shared" si="16"/>
        <v>0</v>
      </c>
      <c r="F43" s="29">
        <f t="shared" si="16"/>
        <v>0</v>
      </c>
      <c r="G43" s="29">
        <f t="shared" si="16"/>
        <v>0</v>
      </c>
      <c r="H43" s="29">
        <f t="shared" si="16"/>
        <v>0</v>
      </c>
      <c r="I43" s="29">
        <f t="shared" si="16"/>
        <v>0</v>
      </c>
      <c r="J43" s="29">
        <f t="shared" si="16"/>
        <v>0</v>
      </c>
      <c r="K43" s="29">
        <f t="shared" si="16"/>
        <v>5.3503074332865026</v>
      </c>
      <c r="L43" s="29">
        <f t="shared" si="16"/>
        <v>0.7562595355134234</v>
      </c>
      <c r="M43" s="29">
        <f t="shared" si="16"/>
        <v>0</v>
      </c>
      <c r="N43" s="29"/>
      <c r="O43" s="29"/>
    </row>
    <row r="45" spans="1:15" x14ac:dyDescent="0.35">
      <c r="B45" s="29" t="s">
        <v>117</v>
      </c>
      <c r="C45" s="29">
        <f>IFERROR(IF(C39&gt;C42,1-C43,0),0)</f>
        <v>1</v>
      </c>
      <c r="D45" s="29">
        <f t="shared" ref="D45:M45" si="17">IFERROR(IF(D39&gt;D42,1-D43,0),0)</f>
        <v>0.97014190548521417</v>
      </c>
      <c r="E45" s="29">
        <f t="shared" si="17"/>
        <v>1</v>
      </c>
      <c r="F45" s="29">
        <f t="shared" si="17"/>
        <v>1</v>
      </c>
      <c r="G45" s="29">
        <f t="shared" si="17"/>
        <v>0</v>
      </c>
      <c r="H45" s="29">
        <f t="shared" si="17"/>
        <v>0</v>
      </c>
      <c r="I45" s="29">
        <f t="shared" si="17"/>
        <v>0</v>
      </c>
      <c r="J45" s="29">
        <f t="shared" si="17"/>
        <v>0</v>
      </c>
      <c r="K45" s="29">
        <f t="shared" si="17"/>
        <v>-4.3503074332865026</v>
      </c>
      <c r="L45" s="29">
        <f t="shared" si="17"/>
        <v>0.2437404644865766</v>
      </c>
      <c r="M45" s="29">
        <f t="shared" si="17"/>
        <v>1</v>
      </c>
      <c r="N45" s="29"/>
    </row>
    <row r="48" spans="1:15" x14ac:dyDescent="0.35">
      <c r="A48" t="s">
        <v>96</v>
      </c>
      <c r="B48" s="36" t="s">
        <v>40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50" spans="2:14" x14ac:dyDescent="0.35">
      <c r="B50" s="6" t="s">
        <v>24</v>
      </c>
      <c r="C50" s="38">
        <f>IFERROR('Data Sheet'!B57,0)</f>
        <v>643.78</v>
      </c>
      <c r="D50" s="38">
        <f>IFERROR('Data Sheet'!C57,0)</f>
        <v>679.18</v>
      </c>
      <c r="E50" s="38">
        <f>IFERROR('Data Sheet'!D57,0)</f>
        <v>679.22</v>
      </c>
      <c r="F50" s="38">
        <f>IFERROR('Data Sheet'!E57,0)</f>
        <v>679.22</v>
      </c>
      <c r="G50" s="38">
        <f>IFERROR('Data Sheet'!F57,0)</f>
        <v>679.22</v>
      </c>
      <c r="H50" s="38">
        <f>IFERROR('Data Sheet'!G57,0)</f>
        <v>719.54</v>
      </c>
      <c r="I50" s="38">
        <f>IFERROR('Data Sheet'!H57,0)</f>
        <v>765.81</v>
      </c>
      <c r="J50" s="38">
        <f>IFERROR('Data Sheet'!I57,0)</f>
        <v>765.88</v>
      </c>
      <c r="K50" s="38">
        <f>IFERROR('Data Sheet'!J57,0)</f>
        <v>766.02</v>
      </c>
      <c r="L50" s="38">
        <f>IFERROR('Data Sheet'!K57,0)</f>
        <v>766.5</v>
      </c>
      <c r="M50" s="38">
        <f>IFERROR('Data Sheet'!L57,0)</f>
        <v>0</v>
      </c>
      <c r="N50" s="35"/>
    </row>
    <row r="51" spans="2:14" x14ac:dyDescent="0.35">
      <c r="B51" s="6" t="s">
        <v>25</v>
      </c>
      <c r="C51" s="38">
        <f>IFERROR('Data Sheet'!B58,0)</f>
        <v>55618.14</v>
      </c>
      <c r="D51" s="38">
        <f>IFERROR('Data Sheet'!C58,0)</f>
        <v>78273.23</v>
      </c>
      <c r="E51" s="38">
        <f>IFERROR('Data Sheet'!D58,0)</f>
        <v>57382.67</v>
      </c>
      <c r="F51" s="38">
        <f>IFERROR('Data Sheet'!E58,0)</f>
        <v>94748.69</v>
      </c>
      <c r="G51" s="38">
        <f>IFERROR('Data Sheet'!F58,0)</f>
        <v>59500.34</v>
      </c>
      <c r="H51" s="38">
        <f>IFERROR('Data Sheet'!G58,0)</f>
        <v>61491.49</v>
      </c>
      <c r="I51" s="38">
        <f>IFERROR('Data Sheet'!H58,0)</f>
        <v>54480.91</v>
      </c>
      <c r="J51" s="38">
        <f>IFERROR('Data Sheet'!I58,0)</f>
        <v>43795.360000000001</v>
      </c>
      <c r="K51" s="38">
        <f>IFERROR('Data Sheet'!J58,0)</f>
        <v>44555.77</v>
      </c>
      <c r="L51" s="38">
        <f>IFERROR('Data Sheet'!K58,0)</f>
        <v>84151.52</v>
      </c>
      <c r="M51" s="38">
        <f>IFERROR('Data Sheet'!L58,0)</f>
        <v>0</v>
      </c>
      <c r="N51" s="35"/>
    </row>
    <row r="52" spans="2:14" x14ac:dyDescent="0.35">
      <c r="B52" s="6" t="s">
        <v>71</v>
      </c>
      <c r="C52" s="38">
        <f>IFERROR('Data Sheet'!B59,0)</f>
        <v>73610.39</v>
      </c>
      <c r="D52" s="38">
        <f>IFERROR('Data Sheet'!C59,0)</f>
        <v>69359.960000000006</v>
      </c>
      <c r="E52" s="38">
        <f>IFERROR('Data Sheet'!D59,0)</f>
        <v>78603.98</v>
      </c>
      <c r="F52" s="38">
        <f>IFERROR('Data Sheet'!E59,0)</f>
        <v>88950.47</v>
      </c>
      <c r="G52" s="38">
        <f>IFERROR('Data Sheet'!F59,0)</f>
        <v>106175.34</v>
      </c>
      <c r="H52" s="38">
        <f>IFERROR('Data Sheet'!G59,0)</f>
        <v>124787.64</v>
      </c>
      <c r="I52" s="38">
        <f>IFERROR('Data Sheet'!H59,0)</f>
        <v>142130.57</v>
      </c>
      <c r="J52" s="38">
        <f>IFERROR('Data Sheet'!I59,0)</f>
        <v>146449.03</v>
      </c>
      <c r="K52" s="38">
        <f>IFERROR('Data Sheet'!J59,0)</f>
        <v>134113.44</v>
      </c>
      <c r="L52" s="38">
        <f>IFERROR('Data Sheet'!K59,0)</f>
        <v>107262.5</v>
      </c>
      <c r="M52" s="38">
        <f>IFERROR('Data Sheet'!L59,0)</f>
        <v>0</v>
      </c>
      <c r="N52" s="35"/>
    </row>
    <row r="53" spans="2:14" x14ac:dyDescent="0.35">
      <c r="B53" s="6" t="s">
        <v>72</v>
      </c>
      <c r="C53" s="38">
        <f>IFERROR('Data Sheet'!B60,0)</f>
        <v>107442.48</v>
      </c>
      <c r="D53" s="38">
        <f>IFERROR('Data Sheet'!C60,0)</f>
        <v>114871.75</v>
      </c>
      <c r="E53" s="38">
        <f>IFERROR('Data Sheet'!D60,0)</f>
        <v>135914.49</v>
      </c>
      <c r="F53" s="38">
        <f>IFERROR('Data Sheet'!E60,0)</f>
        <v>142813.43</v>
      </c>
      <c r="G53" s="38">
        <f>IFERROR('Data Sheet'!F60,0)</f>
        <v>139348.59</v>
      </c>
      <c r="H53" s="38">
        <f>IFERROR('Data Sheet'!G60,0)</f>
        <v>133180.72</v>
      </c>
      <c r="I53" s="38">
        <f>IFERROR('Data Sheet'!H60,0)</f>
        <v>144192.62</v>
      </c>
      <c r="J53" s="38">
        <f>IFERROR('Data Sheet'!I60,0)</f>
        <v>138051.22</v>
      </c>
      <c r="K53" s="38">
        <f>IFERROR('Data Sheet'!J60,0)</f>
        <v>155239.20000000001</v>
      </c>
      <c r="L53" s="38">
        <f>IFERROR('Data Sheet'!K60,0)</f>
        <v>177340.09</v>
      </c>
      <c r="M53" s="38">
        <f>IFERROR('Data Sheet'!L60,0)</f>
        <v>0</v>
      </c>
      <c r="N53" s="35"/>
    </row>
    <row r="54" spans="2:14" s="2" customFormat="1" x14ac:dyDescent="0.35">
      <c r="B54" s="42" t="s">
        <v>118</v>
      </c>
      <c r="C54" s="43">
        <f>IFERROR('Data Sheet'!B61,0)</f>
        <v>237314.79</v>
      </c>
      <c r="D54" s="43">
        <f>IFERROR('Data Sheet'!C61,0)</f>
        <v>263184.12</v>
      </c>
      <c r="E54" s="43">
        <f>IFERROR('Data Sheet'!D61,0)</f>
        <v>272580.36</v>
      </c>
      <c r="F54" s="43">
        <f>IFERROR('Data Sheet'!E61,0)</f>
        <v>327191.81</v>
      </c>
      <c r="G54" s="43">
        <f>IFERROR('Data Sheet'!F61,0)</f>
        <v>305703.49</v>
      </c>
      <c r="H54" s="43">
        <f>IFERROR('Data Sheet'!G61,0)</f>
        <v>320179.39</v>
      </c>
      <c r="I54" s="43">
        <f>IFERROR('Data Sheet'!H61,0)</f>
        <v>341569.91</v>
      </c>
      <c r="J54" s="43">
        <f>IFERROR('Data Sheet'!I61,0)</f>
        <v>329061.49</v>
      </c>
      <c r="K54" s="43">
        <f>IFERROR('Data Sheet'!J61,0)</f>
        <v>334674.43</v>
      </c>
      <c r="L54" s="43">
        <f>IFERROR('Data Sheet'!K61,0)</f>
        <v>369520.61</v>
      </c>
      <c r="M54" s="43">
        <f>IFERROR('Data Sheet'!L61,0)</f>
        <v>0</v>
      </c>
      <c r="N54" s="35"/>
    </row>
    <row r="55" spans="2:14" x14ac:dyDescent="0.35">
      <c r="B55" s="1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5"/>
    </row>
    <row r="56" spans="2:14" x14ac:dyDescent="0.35">
      <c r="B56" s="6" t="s">
        <v>119</v>
      </c>
      <c r="C56" s="38">
        <f>IFERROR('Data Sheet'!B62,0)</f>
        <v>88479.49</v>
      </c>
      <c r="D56" s="38">
        <f>IFERROR('Data Sheet'!C62,0)</f>
        <v>107231.76</v>
      </c>
      <c r="E56" s="38">
        <f>IFERROR('Data Sheet'!D62,0)</f>
        <v>95944.08</v>
      </c>
      <c r="F56" s="38">
        <f>IFERROR('Data Sheet'!E62,0)</f>
        <v>121413.86</v>
      </c>
      <c r="G56" s="38">
        <f>IFERROR('Data Sheet'!F62,0)</f>
        <v>111234.47</v>
      </c>
      <c r="H56" s="38">
        <f>IFERROR('Data Sheet'!G62,0)</f>
        <v>127107.14</v>
      </c>
      <c r="I56" s="38">
        <f>IFERROR('Data Sheet'!H62,0)</f>
        <v>138707.60999999999</v>
      </c>
      <c r="J56" s="38">
        <f>IFERROR('Data Sheet'!I62,0)</f>
        <v>138855.45000000001</v>
      </c>
      <c r="K56" s="38">
        <f>IFERROR('Data Sheet'!J62,0)</f>
        <v>132079.76</v>
      </c>
      <c r="L56" s="38">
        <f>IFERROR('Data Sheet'!K62,0)</f>
        <v>121285.46</v>
      </c>
      <c r="M56" s="38"/>
      <c r="N56" s="35"/>
    </row>
    <row r="57" spans="2:14" x14ac:dyDescent="0.35">
      <c r="B57" s="6" t="s">
        <v>28</v>
      </c>
      <c r="C57" s="38">
        <f>IFERROR('Data Sheet'!B63,0)</f>
        <v>28640.09</v>
      </c>
      <c r="D57" s="38">
        <f>IFERROR('Data Sheet'!C63,0)</f>
        <v>25918.94</v>
      </c>
      <c r="E57" s="38">
        <f>IFERROR('Data Sheet'!D63,0)</f>
        <v>33698.839999999997</v>
      </c>
      <c r="F57" s="38">
        <f>IFERROR('Data Sheet'!E63,0)</f>
        <v>40033.5</v>
      </c>
      <c r="G57" s="38">
        <f>IFERROR('Data Sheet'!F63,0)</f>
        <v>31883.84</v>
      </c>
      <c r="H57" s="38">
        <f>IFERROR('Data Sheet'!G63,0)</f>
        <v>35622.29</v>
      </c>
      <c r="I57" s="38">
        <f>IFERROR('Data Sheet'!H63,0)</f>
        <v>20963.93</v>
      </c>
      <c r="J57" s="38">
        <f>IFERROR('Data Sheet'!I63,0)</f>
        <v>10251.09</v>
      </c>
      <c r="K57" s="38">
        <f>IFERROR('Data Sheet'!J63,0)</f>
        <v>14274.5</v>
      </c>
      <c r="L57" s="38">
        <f>IFERROR('Data Sheet'!K63,0)</f>
        <v>35698.43</v>
      </c>
      <c r="M57" s="38"/>
      <c r="N57" s="35"/>
    </row>
    <row r="58" spans="2:14" x14ac:dyDescent="0.35">
      <c r="B58" s="6" t="s">
        <v>29</v>
      </c>
      <c r="C58" s="38">
        <f>IFERROR('Data Sheet'!B64,0)</f>
        <v>15336.74</v>
      </c>
      <c r="D58" s="38">
        <f>IFERROR('Data Sheet'!C64,0)</f>
        <v>23767.02</v>
      </c>
      <c r="E58" s="38">
        <f>IFERROR('Data Sheet'!D64,0)</f>
        <v>20337.919999999998</v>
      </c>
      <c r="F58" s="38">
        <f>IFERROR('Data Sheet'!E64,0)</f>
        <v>20812.75</v>
      </c>
      <c r="G58" s="38">
        <f>IFERROR('Data Sheet'!F64,0)</f>
        <v>15770.72</v>
      </c>
      <c r="H58" s="38">
        <f>IFERROR('Data Sheet'!G64,0)</f>
        <v>16308.48</v>
      </c>
      <c r="I58" s="38">
        <f>IFERROR('Data Sheet'!H64,0)</f>
        <v>24620.28</v>
      </c>
      <c r="J58" s="38">
        <f>IFERROR('Data Sheet'!I64,0)</f>
        <v>29379.53</v>
      </c>
      <c r="K58" s="38">
        <f>IFERROR('Data Sheet'!J64,0)</f>
        <v>26379.16</v>
      </c>
      <c r="L58" s="38">
        <f>IFERROR('Data Sheet'!K64,0)</f>
        <v>22971.07</v>
      </c>
      <c r="M58" s="38"/>
      <c r="N58" s="35"/>
    </row>
    <row r="59" spans="2:14" x14ac:dyDescent="0.35">
      <c r="B59" s="6" t="s">
        <v>73</v>
      </c>
      <c r="C59" s="38">
        <f>IFERROR('Data Sheet'!B65-SUM('Data Sheet'!B67:B69),0)</f>
        <v>30891.17</v>
      </c>
      <c r="D59" s="38">
        <f>IFERROR('Data Sheet'!C65-SUM('Data Sheet'!C67:C69),0)</f>
        <v>29579.359999999986</v>
      </c>
      <c r="E59" s="38">
        <f>IFERROR('Data Sheet'!D65-SUM('Data Sheet'!D67:D69),0)</f>
        <v>37360.780000000013</v>
      </c>
      <c r="F59" s="38">
        <f>IFERROR('Data Sheet'!E65-SUM('Data Sheet'!E67:E69),0)</f>
        <v>48286.860000000015</v>
      </c>
      <c r="G59" s="38">
        <f>IFERROR('Data Sheet'!F65-SUM('Data Sheet'!F67:F69),0)</f>
        <v>56155.739999999991</v>
      </c>
      <c r="H59" s="38">
        <f>IFERROR('Data Sheet'!G65-SUM('Data Sheet'!G67:G69),0)</f>
        <v>58784.94</v>
      </c>
      <c r="I59" s="38">
        <f>IFERROR('Data Sheet'!H65-SUM('Data Sheet'!H67:H69),0)</f>
        <v>61717.959999999992</v>
      </c>
      <c r="J59" s="38">
        <f>IFERROR('Data Sheet'!I65-SUM('Data Sheet'!I67:I69),0)</f>
        <v>62223.770000000019</v>
      </c>
      <c r="K59" s="38">
        <f>IFERROR('Data Sheet'!J65-SUM('Data Sheet'!J67:J69),0)</f>
        <v>68432.090000000011</v>
      </c>
      <c r="L59" s="38">
        <f>IFERROR('Data Sheet'!K65-SUM('Data Sheet'!K67:K69),0)</f>
        <v>79018.859999999986</v>
      </c>
      <c r="M59" s="38"/>
      <c r="N59" s="35"/>
    </row>
    <row r="60" spans="2:14" s="2" customFormat="1" x14ac:dyDescent="0.35">
      <c r="B60" s="42" t="s">
        <v>120</v>
      </c>
      <c r="C60" s="43">
        <f>SUM(C56:C59)</f>
        <v>163347.49</v>
      </c>
      <c r="D60" s="43">
        <f t="shared" ref="D60:L60" si="18">SUM(D56:D59)</f>
        <v>186497.07999999996</v>
      </c>
      <c r="E60" s="43">
        <f t="shared" si="18"/>
        <v>187341.62</v>
      </c>
      <c r="F60" s="43">
        <f t="shared" si="18"/>
        <v>230546.97</v>
      </c>
      <c r="G60" s="43">
        <f t="shared" si="18"/>
        <v>215044.77</v>
      </c>
      <c r="H60" s="43">
        <f t="shared" si="18"/>
        <v>237822.85</v>
      </c>
      <c r="I60" s="43">
        <f t="shared" si="18"/>
        <v>246009.77999999997</v>
      </c>
      <c r="J60" s="43">
        <f t="shared" si="18"/>
        <v>240709.84000000003</v>
      </c>
      <c r="K60" s="43">
        <f t="shared" si="18"/>
        <v>241165.51</v>
      </c>
      <c r="L60" s="43">
        <f t="shared" si="18"/>
        <v>258973.82</v>
      </c>
      <c r="M60" s="43"/>
      <c r="N60" s="35"/>
    </row>
    <row r="61" spans="2:14" x14ac:dyDescent="0.35">
      <c r="B61" s="1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5"/>
    </row>
    <row r="62" spans="2:14" x14ac:dyDescent="0.35">
      <c r="B62" s="6" t="s">
        <v>78</v>
      </c>
      <c r="C62" s="38">
        <f>IFERROR('Data Sheet'!B67,0)</f>
        <v>12579.2</v>
      </c>
      <c r="D62" s="38">
        <f>IFERROR('Data Sheet'!C67,0)</f>
        <v>13570.91</v>
      </c>
      <c r="E62" s="38">
        <f>IFERROR('Data Sheet'!D67,0)</f>
        <v>14075.55</v>
      </c>
      <c r="F62" s="38">
        <f>IFERROR('Data Sheet'!E67,0)</f>
        <v>19893.3</v>
      </c>
      <c r="G62" s="38">
        <f>IFERROR('Data Sheet'!F67,0)</f>
        <v>18996.169999999998</v>
      </c>
      <c r="H62" s="38">
        <f>IFERROR('Data Sheet'!G67,0)</f>
        <v>11172.69</v>
      </c>
      <c r="I62" s="38">
        <f>IFERROR('Data Sheet'!H67,0)</f>
        <v>12679.08</v>
      </c>
      <c r="J62" s="38">
        <f>IFERROR('Data Sheet'!I67,0)</f>
        <v>12442.12</v>
      </c>
      <c r="K62" s="38">
        <f>IFERROR('Data Sheet'!J67,0)</f>
        <v>15737.97</v>
      </c>
      <c r="L62" s="38">
        <f>IFERROR('Data Sheet'!K67,0)</f>
        <v>16951.810000000001</v>
      </c>
      <c r="M62" s="38"/>
      <c r="N62" s="35"/>
    </row>
    <row r="63" spans="2:14" x14ac:dyDescent="0.35">
      <c r="B63" s="6" t="s">
        <v>45</v>
      </c>
      <c r="C63" s="38">
        <f>IFERROR('Data Sheet'!B68,0)</f>
        <v>29272.34</v>
      </c>
      <c r="D63" s="38">
        <f>IFERROR('Data Sheet'!C68,0)</f>
        <v>32655.73</v>
      </c>
      <c r="E63" s="38">
        <f>IFERROR('Data Sheet'!D68,0)</f>
        <v>35085.31</v>
      </c>
      <c r="F63" s="38">
        <f>IFERROR('Data Sheet'!E68,0)</f>
        <v>42137.63</v>
      </c>
      <c r="G63" s="38">
        <f>IFERROR('Data Sheet'!F68,0)</f>
        <v>39013.730000000003</v>
      </c>
      <c r="H63" s="38">
        <f>IFERROR('Data Sheet'!G68,0)</f>
        <v>37456.879999999997</v>
      </c>
      <c r="I63" s="38">
        <f>IFERROR('Data Sheet'!H68,0)</f>
        <v>36088.589999999997</v>
      </c>
      <c r="J63" s="38">
        <f>IFERROR('Data Sheet'!I68,0)</f>
        <v>35240.339999999997</v>
      </c>
      <c r="K63" s="38">
        <f>IFERROR('Data Sheet'!J68,0)</f>
        <v>40755.39</v>
      </c>
      <c r="L63" s="38">
        <f>IFERROR('Data Sheet'!K68,0)</f>
        <v>47788.29</v>
      </c>
      <c r="M63" s="38"/>
      <c r="N63" s="35"/>
    </row>
    <row r="64" spans="2:14" x14ac:dyDescent="0.35">
      <c r="B64" s="4" t="s">
        <v>87</v>
      </c>
      <c r="C64" s="38">
        <f>IFERROR('Data Sheet'!B69,0)</f>
        <v>32115.759999999998</v>
      </c>
      <c r="D64" s="38">
        <f>IFERROR('Data Sheet'!C69,0)</f>
        <v>30460.400000000001</v>
      </c>
      <c r="E64" s="38">
        <f>IFERROR('Data Sheet'!D69,0)</f>
        <v>36077.879999999997</v>
      </c>
      <c r="F64" s="38">
        <f>IFERROR('Data Sheet'!E69,0)</f>
        <v>34613.910000000003</v>
      </c>
      <c r="G64" s="38">
        <f>IFERROR('Data Sheet'!F69,0)</f>
        <v>32648.82</v>
      </c>
      <c r="H64" s="38">
        <f>IFERROR('Data Sheet'!G69,0)</f>
        <v>33726.97</v>
      </c>
      <c r="I64" s="38">
        <f>IFERROR('Data Sheet'!H69,0)</f>
        <v>46792.46</v>
      </c>
      <c r="J64" s="38">
        <f>IFERROR('Data Sheet'!I69,0)</f>
        <v>40669.19</v>
      </c>
      <c r="K64" s="38">
        <f>IFERROR('Data Sheet'!J69,0)</f>
        <v>37015.56</v>
      </c>
      <c r="L64" s="38">
        <f>IFERROR('Data Sheet'!K69,0)</f>
        <v>45806.69</v>
      </c>
      <c r="M64" s="38"/>
      <c r="N64" s="35"/>
    </row>
    <row r="65" spans="1:14" s="2" customFormat="1" x14ac:dyDescent="0.35">
      <c r="B65" s="42" t="s">
        <v>121</v>
      </c>
      <c r="C65" s="43">
        <f>IFERROR(SUM(C62:C64),0)</f>
        <v>73967.3</v>
      </c>
      <c r="D65" s="43">
        <f t="shared" ref="D65:M65" si="19">IFERROR(SUM(D62:D64),0)</f>
        <v>76687.040000000008</v>
      </c>
      <c r="E65" s="43">
        <f t="shared" si="19"/>
        <v>85238.739999999991</v>
      </c>
      <c r="F65" s="43">
        <f t="shared" si="19"/>
        <v>96644.84</v>
      </c>
      <c r="G65" s="43">
        <f t="shared" si="19"/>
        <v>90658.72</v>
      </c>
      <c r="H65" s="43">
        <f t="shared" si="19"/>
        <v>82356.540000000008</v>
      </c>
      <c r="I65" s="43">
        <f t="shared" si="19"/>
        <v>95560.13</v>
      </c>
      <c r="J65" s="43">
        <f t="shared" si="19"/>
        <v>88351.65</v>
      </c>
      <c r="K65" s="43">
        <f t="shared" si="19"/>
        <v>93508.92</v>
      </c>
      <c r="L65" s="43">
        <f t="shared" si="19"/>
        <v>110546.79000000001</v>
      </c>
      <c r="M65" s="43">
        <f t="shared" si="19"/>
        <v>0</v>
      </c>
      <c r="N65" s="35"/>
    </row>
    <row r="66" spans="1:14" x14ac:dyDescent="0.35"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5"/>
    </row>
    <row r="67" spans="1:14" s="2" customFormat="1" x14ac:dyDescent="0.35">
      <c r="B67" s="42" t="s">
        <v>122</v>
      </c>
      <c r="C67" s="43">
        <f>IFERROR(C65+C60,0)</f>
        <v>237314.78999999998</v>
      </c>
      <c r="D67" s="43">
        <f t="shared" ref="D67:L67" si="20">IFERROR(D65+D60,0)</f>
        <v>263184.12</v>
      </c>
      <c r="E67" s="43">
        <f t="shared" si="20"/>
        <v>272580.36</v>
      </c>
      <c r="F67" s="43">
        <f t="shared" si="20"/>
        <v>327191.81</v>
      </c>
      <c r="G67" s="43">
        <f t="shared" si="20"/>
        <v>305703.49</v>
      </c>
      <c r="H67" s="43">
        <f t="shared" si="20"/>
        <v>320179.39</v>
      </c>
      <c r="I67" s="43">
        <f t="shared" si="20"/>
        <v>341569.91</v>
      </c>
      <c r="J67" s="43">
        <f t="shared" si="20"/>
        <v>329061.49</v>
      </c>
      <c r="K67" s="43">
        <f t="shared" si="20"/>
        <v>334674.43</v>
      </c>
      <c r="L67" s="43">
        <f t="shared" si="20"/>
        <v>369520.61</v>
      </c>
      <c r="M67" s="43"/>
      <c r="N67" s="35"/>
    </row>
    <row r="68" spans="1:14" x14ac:dyDescent="0.35"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5"/>
    </row>
    <row r="69" spans="1:14" s="39" customFormat="1" x14ac:dyDescent="0.35">
      <c r="B69" s="39" t="s">
        <v>123</v>
      </c>
      <c r="C69" s="39" t="b">
        <f>C67=C54</f>
        <v>1</v>
      </c>
      <c r="D69" s="39" t="b">
        <f t="shared" ref="D69:M69" si="21">D67=D54</f>
        <v>1</v>
      </c>
      <c r="E69" s="39" t="b">
        <f t="shared" si="21"/>
        <v>1</v>
      </c>
      <c r="F69" s="39" t="b">
        <f t="shared" si="21"/>
        <v>1</v>
      </c>
      <c r="G69" s="39" t="b">
        <f t="shared" si="21"/>
        <v>1</v>
      </c>
      <c r="H69" s="39" t="b">
        <f t="shared" si="21"/>
        <v>1</v>
      </c>
      <c r="I69" s="39" t="b">
        <f t="shared" si="21"/>
        <v>1</v>
      </c>
      <c r="J69" s="39" t="b">
        <f t="shared" si="21"/>
        <v>1</v>
      </c>
      <c r="K69" s="39" t="b">
        <f t="shared" si="21"/>
        <v>1</v>
      </c>
      <c r="L69" s="39" t="b">
        <f t="shared" si="21"/>
        <v>1</v>
      </c>
      <c r="M69" s="39" t="b">
        <f t="shared" si="21"/>
        <v>1</v>
      </c>
    </row>
    <row r="71" spans="1:14" x14ac:dyDescent="0.35">
      <c r="A71" t="s">
        <v>96</v>
      </c>
      <c r="B71" s="36" t="s">
        <v>152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</row>
    <row r="72" spans="1:14" x14ac:dyDescent="0.35">
      <c r="B72" s="2" t="s">
        <v>154</v>
      </c>
    </row>
    <row r="73" spans="1:14" x14ac:dyDescent="0.35">
      <c r="B73" t="s">
        <v>125</v>
      </c>
      <c r="C73" s="38">
        <f>IFERROR('CFS Data'!C4,0)</f>
        <v>43397</v>
      </c>
      <c r="D73" s="38">
        <f>IFERROR('CFS Data'!D4,0)</f>
        <v>38626</v>
      </c>
      <c r="E73" s="38">
        <f>IFERROR('CFS Data'!E4,0)</f>
        <v>28840</v>
      </c>
      <c r="F73" s="38">
        <f>IFERROR('CFS Data'!F4,0)</f>
        <v>33312</v>
      </c>
      <c r="G73" s="38">
        <f>IFERROR('CFS Data'!G4,0)</f>
        <v>28771</v>
      </c>
      <c r="H73" s="38">
        <f>IFERROR('CFS Data'!H4,0)</f>
        <v>23352</v>
      </c>
      <c r="I73" s="38">
        <f>IFERROR('CFS Data'!I4,0)</f>
        <v>31198</v>
      </c>
      <c r="J73" s="38">
        <f>IFERROR('CFS Data'!J4,0)</f>
        <v>26943</v>
      </c>
      <c r="K73" s="38">
        <f>IFERROR('CFS Data'!K4,0)</f>
        <v>41694</v>
      </c>
      <c r="L73" s="38">
        <f>IFERROR('CFS Data'!L4,0)</f>
        <v>65106</v>
      </c>
      <c r="M73" s="38"/>
    </row>
    <row r="74" spans="1:14" x14ac:dyDescent="0.35">
      <c r="B74" t="s">
        <v>78</v>
      </c>
      <c r="C74" s="38">
        <f>IFERROR('CFS Data'!C5,0)</f>
        <v>-3179</v>
      </c>
      <c r="D74" s="38">
        <f>IFERROR('CFS Data'!D5,0)</f>
        <v>-2223</v>
      </c>
      <c r="E74" s="38">
        <f>IFERROR('CFS Data'!E5,0)</f>
        <v>-4152</v>
      </c>
      <c r="F74" s="38">
        <f>IFERROR('CFS Data'!F5,0)</f>
        <v>-10688</v>
      </c>
      <c r="G74" s="38">
        <f>IFERROR('CFS Data'!G5,0)</f>
        <v>-9109</v>
      </c>
      <c r="H74" s="38">
        <f>IFERROR('CFS Data'!H5,0)</f>
        <v>9950</v>
      </c>
      <c r="I74" s="38">
        <f>IFERROR('CFS Data'!I5,0)</f>
        <v>-5505</v>
      </c>
      <c r="J74" s="38">
        <f>IFERROR('CFS Data'!J5,0)</f>
        <v>185</v>
      </c>
      <c r="K74" s="38">
        <f>IFERROR('CFS Data'!K5,0)</f>
        <v>-2213</v>
      </c>
      <c r="L74" s="38">
        <f>IFERROR('CFS Data'!L5,0)</f>
        <v>-1875</v>
      </c>
      <c r="M74" s="38"/>
    </row>
    <row r="75" spans="1:14" x14ac:dyDescent="0.35">
      <c r="B75" t="s">
        <v>45</v>
      </c>
      <c r="C75" s="38">
        <f>IFERROR('CFS Data'!C6,0)</f>
        <v>-3692</v>
      </c>
      <c r="D75" s="38">
        <f>IFERROR('CFS Data'!D6,0)</f>
        <v>-5743</v>
      </c>
      <c r="E75" s="38">
        <f>IFERROR('CFS Data'!E6,0)</f>
        <v>-6621</v>
      </c>
      <c r="F75" s="38">
        <f>IFERROR('CFS Data'!F6,0)</f>
        <v>-3560</v>
      </c>
      <c r="G75" s="38">
        <f>IFERROR('CFS Data'!G6,0)</f>
        <v>2069</v>
      </c>
      <c r="H75" s="38">
        <f>IFERROR('CFS Data'!H6,0)</f>
        <v>2326</v>
      </c>
      <c r="I75" s="38">
        <f>IFERROR('CFS Data'!I6,0)</f>
        <v>3814</v>
      </c>
      <c r="J75" s="38">
        <f>IFERROR('CFS Data'!J6,0)</f>
        <v>472</v>
      </c>
      <c r="K75" s="38">
        <f>IFERROR('CFS Data'!K6,0)</f>
        <v>-5665</v>
      </c>
      <c r="L75" s="38">
        <f>IFERROR('CFS Data'!L6,0)</f>
        <v>-7265</v>
      </c>
      <c r="M75" s="38"/>
    </row>
    <row r="76" spans="1:14" x14ac:dyDescent="0.35">
      <c r="B76" t="s">
        <v>126</v>
      </c>
      <c r="C76" s="38">
        <f>IFERROR('CFS Data'!C7,0)</f>
        <v>3598</v>
      </c>
      <c r="D76" s="38">
        <f>IFERROR('CFS Data'!D7,0)</f>
        <v>3947</v>
      </c>
      <c r="E76" s="38">
        <f>IFERROR('CFS Data'!E7,0)</f>
        <v>9301</v>
      </c>
      <c r="F76" s="38">
        <f>IFERROR('CFS Data'!F7,0)</f>
        <v>7320</v>
      </c>
      <c r="G76" s="38">
        <f>IFERROR('CFS Data'!G7,0)</f>
        <v>-4692</v>
      </c>
      <c r="H76" s="38">
        <f>IFERROR('CFS Data'!H7,0)</f>
        <v>-8085</v>
      </c>
      <c r="I76" s="38">
        <f>IFERROR('CFS Data'!I7,0)</f>
        <v>5748</v>
      </c>
      <c r="J76" s="38">
        <f>IFERROR('CFS Data'!J7,0)</f>
        <v>-7012</v>
      </c>
      <c r="K76" s="38">
        <f>IFERROR('CFS Data'!K7,0)</f>
        <v>6945</v>
      </c>
      <c r="L76" s="38">
        <f>IFERROR('CFS Data'!L7,0)</f>
        <v>13706</v>
      </c>
      <c r="M76" s="38"/>
    </row>
    <row r="77" spans="1:14" x14ac:dyDescent="0.35">
      <c r="B77" t="s">
        <v>127</v>
      </c>
      <c r="C77" s="38">
        <f>IFERROR('CFS Data'!C8,0)</f>
        <v>0</v>
      </c>
      <c r="D77" s="38">
        <f>IFERROR('CFS Data'!D8,0)</f>
        <v>-520</v>
      </c>
      <c r="E77" s="38">
        <f>IFERROR('CFS Data'!E8,0)</f>
        <v>0</v>
      </c>
      <c r="F77" s="38">
        <f>IFERROR('CFS Data'!F8,0)</f>
        <v>0</v>
      </c>
      <c r="G77" s="38">
        <f>IFERROR('CFS Data'!G8,0)</f>
        <v>0</v>
      </c>
      <c r="H77" s="38">
        <f>IFERROR('CFS Data'!H8,0)</f>
        <v>0</v>
      </c>
      <c r="I77" s="38">
        <f>IFERROR('CFS Data'!I8,0)</f>
        <v>0</v>
      </c>
      <c r="J77" s="38">
        <f>IFERROR('CFS Data'!J8,0)</f>
        <v>0</v>
      </c>
      <c r="K77" s="38">
        <f>IFERROR('CFS Data'!K8,0)</f>
        <v>0</v>
      </c>
      <c r="L77" s="38">
        <f>IFERROR('CFS Data'!L8,0)</f>
        <v>0</v>
      </c>
      <c r="M77" s="38"/>
    </row>
    <row r="78" spans="1:14" x14ac:dyDescent="0.35">
      <c r="B78" t="s">
        <v>128</v>
      </c>
      <c r="C78" s="38">
        <f>IFERROR('CFS Data'!C9,0)</f>
        <v>-398</v>
      </c>
      <c r="D78" s="38">
        <f>IFERROR('CFS Data'!D9,0)</f>
        <v>5852</v>
      </c>
      <c r="E78" s="38">
        <f>IFERROR('CFS Data'!E9,0)</f>
        <v>4727</v>
      </c>
      <c r="F78" s="38">
        <f>IFERROR('CFS Data'!F9,0)</f>
        <v>494</v>
      </c>
      <c r="G78" s="38">
        <f>IFERROR('CFS Data'!G9,0)</f>
        <v>4512</v>
      </c>
      <c r="H78" s="38">
        <f>IFERROR('CFS Data'!H9,0)</f>
        <v>875</v>
      </c>
      <c r="I78" s="38">
        <f>IFERROR('CFS Data'!I9,0)</f>
        <v>-4150</v>
      </c>
      <c r="J78" s="38">
        <f>IFERROR('CFS Data'!J9,0)</f>
        <v>-4396</v>
      </c>
      <c r="K78" s="38">
        <f>IFERROR('CFS Data'!K9,0)</f>
        <v>-2194</v>
      </c>
      <c r="L78" s="38">
        <f>IFERROR('CFS Data'!L9,0)</f>
        <v>2760</v>
      </c>
      <c r="M78" s="38"/>
    </row>
    <row r="79" spans="1:14" x14ac:dyDescent="0.35">
      <c r="B79" t="s">
        <v>129</v>
      </c>
      <c r="C79" s="38">
        <f>IFERROR('CFS Data'!C10,0)</f>
        <v>-3672</v>
      </c>
      <c r="D79" s="38">
        <f>IFERROR('CFS Data'!D10,0)</f>
        <v>1313</v>
      </c>
      <c r="E79" s="38">
        <f>IFERROR('CFS Data'!E10,0)</f>
        <v>3254</v>
      </c>
      <c r="F79" s="38">
        <f>IFERROR('CFS Data'!F10,0)</f>
        <v>-6434</v>
      </c>
      <c r="G79" s="38">
        <f>IFERROR('CFS Data'!G10,0)</f>
        <v>-7221</v>
      </c>
      <c r="H79" s="38">
        <f>IFERROR('CFS Data'!H10,0)</f>
        <v>5065</v>
      </c>
      <c r="I79" s="38">
        <f>IFERROR('CFS Data'!I10,0)</f>
        <v>-93</v>
      </c>
      <c r="J79" s="38">
        <f>IFERROR('CFS Data'!J10,0)</f>
        <v>-10750</v>
      </c>
      <c r="K79" s="38">
        <f>IFERROR('CFS Data'!K10,0)</f>
        <v>-3127</v>
      </c>
      <c r="L79" s="38">
        <f>IFERROR('CFS Data'!L10,0)</f>
        <v>7325</v>
      </c>
      <c r="M79" s="38"/>
    </row>
    <row r="80" spans="1:14" x14ac:dyDescent="0.35">
      <c r="B80" t="s">
        <v>130</v>
      </c>
      <c r="C80" s="38">
        <f>IFERROR('CFS Data'!C11,0)</f>
        <v>-4194</v>
      </c>
      <c r="D80" s="38">
        <f>IFERROR('CFS Data'!D11,0)</f>
        <v>-2040</v>
      </c>
      <c r="E80" s="38">
        <f>IFERROR('CFS Data'!E11,0)</f>
        <v>-1895</v>
      </c>
      <c r="F80" s="38">
        <f>IFERROR('CFS Data'!F11,0)</f>
        <v>-3021</v>
      </c>
      <c r="G80" s="38">
        <f>IFERROR('CFS Data'!G11,0)</f>
        <v>-2659</v>
      </c>
      <c r="H80" s="38">
        <f>IFERROR('CFS Data'!H11,0)</f>
        <v>-1785</v>
      </c>
      <c r="I80" s="38">
        <f>IFERROR('CFS Data'!I11,0)</f>
        <v>-2105</v>
      </c>
      <c r="J80" s="38">
        <f>IFERROR('CFS Data'!J11,0)</f>
        <v>-1910</v>
      </c>
      <c r="K80" s="38">
        <f>IFERROR('CFS Data'!K11,0)</f>
        <v>-3179</v>
      </c>
      <c r="L80" s="38">
        <f>IFERROR('CFS Data'!L11,0)</f>
        <v>-4516</v>
      </c>
      <c r="M80" s="38"/>
    </row>
    <row r="81" spans="2:13" x14ac:dyDescent="0.35">
      <c r="B81" s="2" t="s">
        <v>153</v>
      </c>
      <c r="C81" s="35">
        <f>SUM(C73:C80)</f>
        <v>31860</v>
      </c>
      <c r="D81" s="35">
        <f t="shared" ref="D81:L81" si="22">SUM(D73:D80)</f>
        <v>39212</v>
      </c>
      <c r="E81" s="35">
        <f t="shared" si="22"/>
        <v>33454</v>
      </c>
      <c r="F81" s="35">
        <f t="shared" si="22"/>
        <v>17423</v>
      </c>
      <c r="G81" s="35">
        <f t="shared" si="22"/>
        <v>11671</v>
      </c>
      <c r="H81" s="35">
        <f t="shared" si="22"/>
        <v>31698</v>
      </c>
      <c r="I81" s="35">
        <f t="shared" si="22"/>
        <v>28907</v>
      </c>
      <c r="J81" s="35">
        <f t="shared" si="22"/>
        <v>3532</v>
      </c>
      <c r="K81" s="35">
        <f t="shared" si="22"/>
        <v>32261</v>
      </c>
      <c r="L81" s="35">
        <f t="shared" si="22"/>
        <v>75241</v>
      </c>
      <c r="M81" s="38"/>
    </row>
    <row r="82" spans="2:13" x14ac:dyDescent="0.35"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2:13" x14ac:dyDescent="0.35">
      <c r="B83" s="2" t="s">
        <v>155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2:13" x14ac:dyDescent="0.35">
      <c r="B84" t="s">
        <v>132</v>
      </c>
      <c r="C84" s="38">
        <f>IFERROR('CFS Data'!C13,0)</f>
        <v>-31962</v>
      </c>
      <c r="D84" s="38">
        <f>IFERROR('CFS Data'!D13,0)</f>
        <v>-31503</v>
      </c>
      <c r="E84" s="38">
        <f>IFERROR('CFS Data'!E13,0)</f>
        <v>-16072</v>
      </c>
      <c r="F84" s="38">
        <f>IFERROR('CFS Data'!F13,0)</f>
        <v>-35079</v>
      </c>
      <c r="G84" s="38">
        <f>IFERROR('CFS Data'!G13,0)</f>
        <v>-35304</v>
      </c>
      <c r="H84" s="38">
        <f>IFERROR('CFS Data'!H13,0)</f>
        <v>-29702</v>
      </c>
      <c r="I84" s="38">
        <f>IFERROR('CFS Data'!I13,0)</f>
        <v>-20205</v>
      </c>
      <c r="J84" s="38">
        <f>IFERROR('CFS Data'!J13,0)</f>
        <v>-15168</v>
      </c>
      <c r="K84" s="38">
        <f>IFERROR('CFS Data'!K13,0)</f>
        <v>-19230</v>
      </c>
      <c r="L84" s="38">
        <f>IFERROR('CFS Data'!L13,0)</f>
        <v>-31414</v>
      </c>
      <c r="M84" s="38"/>
    </row>
    <row r="85" spans="2:13" x14ac:dyDescent="0.35">
      <c r="B85" t="s">
        <v>133</v>
      </c>
      <c r="C85" s="38">
        <f>IFERROR('CFS Data'!C14,0)</f>
        <v>74</v>
      </c>
      <c r="D85" s="38">
        <f>IFERROR('CFS Data'!D14,0)</f>
        <v>59</v>
      </c>
      <c r="E85" s="38">
        <f>IFERROR('CFS Data'!E14,0)</f>
        <v>53</v>
      </c>
      <c r="F85" s="38">
        <f>IFERROR('CFS Data'!F14,0)</f>
        <v>30</v>
      </c>
      <c r="G85" s="38">
        <f>IFERROR('CFS Data'!G14,0)</f>
        <v>67</v>
      </c>
      <c r="H85" s="38">
        <f>IFERROR('CFS Data'!H14,0)</f>
        <v>171</v>
      </c>
      <c r="I85" s="38">
        <f>IFERROR('CFS Data'!I14,0)</f>
        <v>351</v>
      </c>
      <c r="J85" s="38">
        <f>IFERROR('CFS Data'!J14,0)</f>
        <v>230</v>
      </c>
      <c r="K85" s="38">
        <f>IFERROR('CFS Data'!K14,0)</f>
        <v>285</v>
      </c>
      <c r="L85" s="38">
        <f>IFERROR('CFS Data'!L14,0)</f>
        <v>231</v>
      </c>
      <c r="M85" s="38"/>
    </row>
    <row r="86" spans="2:13" x14ac:dyDescent="0.35">
      <c r="B86" t="s">
        <v>134</v>
      </c>
      <c r="C86" s="38">
        <f>IFERROR('CFS Data'!C15,0)</f>
        <v>-5461</v>
      </c>
      <c r="D86" s="38">
        <f>IFERROR('CFS Data'!D15,0)</f>
        <v>-4728</v>
      </c>
      <c r="E86" s="38">
        <f>IFERROR('CFS Data'!E15,0)</f>
        <v>-6</v>
      </c>
      <c r="F86" s="38">
        <f>IFERROR('CFS Data'!F15,0)</f>
        <v>-329</v>
      </c>
      <c r="G86" s="38">
        <f>IFERROR('CFS Data'!G15,0)</f>
        <v>-130</v>
      </c>
      <c r="H86" s="38">
        <f>IFERROR('CFS Data'!H15,0)</f>
        <v>-1439</v>
      </c>
      <c r="I86" s="38">
        <f>IFERROR('CFS Data'!I15,0)</f>
        <v>-7530</v>
      </c>
      <c r="J86" s="38">
        <f>IFERROR('CFS Data'!J15,0)</f>
        <v>-3008</v>
      </c>
      <c r="K86" s="38">
        <f>IFERROR('CFS Data'!K15,0)</f>
        <v>-50</v>
      </c>
      <c r="L86" s="38">
        <f>IFERROR('CFS Data'!L15,0)</f>
        <v>-74</v>
      </c>
      <c r="M86" s="38"/>
    </row>
    <row r="87" spans="2:13" x14ac:dyDescent="0.35">
      <c r="B87" t="s">
        <v>135</v>
      </c>
      <c r="C87" s="38">
        <f>IFERROR('CFS Data'!C16,0)</f>
        <v>42</v>
      </c>
      <c r="D87" s="38">
        <f>IFERROR('CFS Data'!D16,0)</f>
        <v>89</v>
      </c>
      <c r="E87" s="38">
        <f>IFERROR('CFS Data'!E16,0)</f>
        <v>1965</v>
      </c>
      <c r="F87" s="38">
        <f>IFERROR('CFS Data'!F16,0)</f>
        <v>2381</v>
      </c>
      <c r="G87" s="38">
        <f>IFERROR('CFS Data'!G16,0)</f>
        <v>5644</v>
      </c>
      <c r="H87" s="38">
        <f>IFERROR('CFS Data'!H16,0)</f>
        <v>21</v>
      </c>
      <c r="I87" s="38">
        <f>IFERROR('CFS Data'!I16,0)</f>
        <v>226</v>
      </c>
      <c r="J87" s="38">
        <f>IFERROR('CFS Data'!J16,0)</f>
        <v>104</v>
      </c>
      <c r="K87" s="38">
        <f>IFERROR('CFS Data'!K16,0)</f>
        <v>6895</v>
      </c>
      <c r="L87" s="38">
        <f>IFERROR('CFS Data'!L16,0)</f>
        <v>10820</v>
      </c>
      <c r="M87" s="38"/>
    </row>
    <row r="88" spans="2:13" x14ac:dyDescent="0.35">
      <c r="B88" t="s">
        <v>136</v>
      </c>
      <c r="C88" s="38">
        <f>IFERROR('CFS Data'!C17,0)</f>
        <v>698</v>
      </c>
      <c r="D88" s="38">
        <f>IFERROR('CFS Data'!D17,0)</f>
        <v>731</v>
      </c>
      <c r="E88" s="38">
        <f>IFERROR('CFS Data'!E17,0)</f>
        <v>638</v>
      </c>
      <c r="F88" s="38">
        <f>IFERROR('CFS Data'!F17,0)</f>
        <v>690</v>
      </c>
      <c r="G88" s="38">
        <f>IFERROR('CFS Data'!G17,0)</f>
        <v>761</v>
      </c>
      <c r="H88" s="38">
        <f>IFERROR('CFS Data'!H17,0)</f>
        <v>1104</v>
      </c>
      <c r="I88" s="38">
        <f>IFERROR('CFS Data'!I17,0)</f>
        <v>428</v>
      </c>
      <c r="J88" s="38">
        <f>IFERROR('CFS Data'!J17,0)</f>
        <v>653</v>
      </c>
      <c r="K88" s="38">
        <f>IFERROR('CFS Data'!K17,0)</f>
        <v>973</v>
      </c>
      <c r="L88" s="38">
        <f>IFERROR('CFS Data'!L17,0)</f>
        <v>2493</v>
      </c>
      <c r="M88" s="38"/>
    </row>
    <row r="89" spans="2:13" x14ac:dyDescent="0.35">
      <c r="B89" t="s">
        <v>137</v>
      </c>
      <c r="C89" s="38">
        <f>IFERROR('CFS Data'!C18,0)</f>
        <v>80</v>
      </c>
      <c r="D89" s="38">
        <f>IFERROR('CFS Data'!D18,0)</f>
        <v>58</v>
      </c>
      <c r="E89" s="38">
        <f>IFERROR('CFS Data'!E18,0)</f>
        <v>620</v>
      </c>
      <c r="F89" s="38">
        <f>IFERROR('CFS Data'!F18,0)</f>
        <v>1797</v>
      </c>
      <c r="G89" s="38">
        <f>IFERROR('CFS Data'!G18,0)</f>
        <v>232</v>
      </c>
      <c r="H89" s="38">
        <f>IFERROR('CFS Data'!H18,0)</f>
        <v>21</v>
      </c>
      <c r="I89" s="38">
        <f>IFERROR('CFS Data'!I18,0)</f>
        <v>18</v>
      </c>
      <c r="J89" s="38">
        <f>IFERROR('CFS Data'!J18,0)</f>
        <v>32</v>
      </c>
      <c r="K89" s="38">
        <f>IFERROR('CFS Data'!K18,0)</f>
        <v>46</v>
      </c>
      <c r="L89" s="38">
        <f>IFERROR('CFS Data'!L18,0)</f>
        <v>47</v>
      </c>
      <c r="M89" s="38"/>
    </row>
    <row r="90" spans="2:13" x14ac:dyDescent="0.35">
      <c r="B90" t="s">
        <v>138</v>
      </c>
      <c r="C90" s="38">
        <f>IFERROR('CFS Data'!C19,0)</f>
        <v>-160</v>
      </c>
      <c r="D90" s="38">
        <f>IFERROR('CFS Data'!D19,0)</f>
        <v>0</v>
      </c>
      <c r="E90" s="38">
        <f>IFERROR('CFS Data'!E19,0)</f>
        <v>-107</v>
      </c>
      <c r="F90" s="38">
        <f>IFERROR('CFS Data'!F19,0)</f>
        <v>-4</v>
      </c>
      <c r="G90" s="38">
        <f>IFERROR('CFS Data'!G19,0)</f>
        <v>-9</v>
      </c>
      <c r="H90" s="38">
        <f>IFERROR('CFS Data'!H19,0)</f>
        <v>-606</v>
      </c>
      <c r="I90" s="38">
        <f>IFERROR('CFS Data'!I19,0)</f>
        <v>-10</v>
      </c>
      <c r="J90" s="38">
        <f>IFERROR('CFS Data'!J19,0)</f>
        <v>0</v>
      </c>
      <c r="K90" s="38">
        <f>IFERROR('CFS Data'!K19,0)</f>
        <v>0</v>
      </c>
      <c r="L90" s="38">
        <f>IFERROR('CFS Data'!L19,0)</f>
        <v>-150</v>
      </c>
      <c r="M90" s="38"/>
    </row>
    <row r="91" spans="2:13" x14ac:dyDescent="0.35">
      <c r="B91" t="s">
        <v>139</v>
      </c>
      <c r="C91" s="38">
        <f>IFERROR('CFS Data'!C20,0)</f>
        <v>0</v>
      </c>
      <c r="D91" s="38">
        <f>IFERROR('CFS Data'!D20,0)</f>
        <v>0</v>
      </c>
      <c r="E91" s="38">
        <f>IFERROR('CFS Data'!E20,0)</f>
        <v>0</v>
      </c>
      <c r="F91" s="38">
        <f>IFERROR('CFS Data'!F20,0)</f>
        <v>14</v>
      </c>
      <c r="G91" s="38">
        <f>IFERROR('CFS Data'!G20,0)</f>
        <v>533</v>
      </c>
      <c r="H91" s="38">
        <f>IFERROR('CFS Data'!H20,0)</f>
        <v>0</v>
      </c>
      <c r="I91" s="38">
        <f>IFERROR('CFS Data'!I20,0)</f>
        <v>0</v>
      </c>
      <c r="J91" s="38">
        <f>IFERROR('CFS Data'!J20,0)</f>
        <v>0</v>
      </c>
      <c r="K91" s="38">
        <f>IFERROR('CFS Data'!K20,0)</f>
        <v>19</v>
      </c>
      <c r="L91" s="38">
        <f>IFERROR('CFS Data'!L20,0)</f>
        <v>108</v>
      </c>
      <c r="M91" s="38"/>
    </row>
    <row r="92" spans="2:13" x14ac:dyDescent="0.35">
      <c r="B92" t="s">
        <v>140</v>
      </c>
      <c r="C92" s="38">
        <f>IFERROR('CFS Data'!C21,0)</f>
        <v>0</v>
      </c>
      <c r="D92" s="38">
        <f>IFERROR('CFS Data'!D21,0)</f>
        <v>-111</v>
      </c>
      <c r="E92" s="38">
        <f>IFERROR('CFS Data'!E21,0)</f>
        <v>0</v>
      </c>
      <c r="F92" s="38">
        <f>IFERROR('CFS Data'!F21,0)</f>
        <v>0</v>
      </c>
      <c r="G92" s="38">
        <f>IFERROR('CFS Data'!G21,0)</f>
        <v>-8</v>
      </c>
      <c r="H92" s="38">
        <f>IFERROR('CFS Data'!H21,0)</f>
        <v>-27</v>
      </c>
      <c r="I92" s="38">
        <f>IFERROR('CFS Data'!I21,0)</f>
        <v>0</v>
      </c>
      <c r="J92" s="38">
        <f>IFERROR('CFS Data'!J21,0)</f>
        <v>-98</v>
      </c>
      <c r="K92" s="38">
        <f>IFERROR('CFS Data'!K21,0)</f>
        <v>0</v>
      </c>
      <c r="L92" s="38">
        <f>IFERROR('CFS Data'!L21,0)</f>
        <v>0</v>
      </c>
      <c r="M92" s="38"/>
    </row>
    <row r="93" spans="2:13" x14ac:dyDescent="0.35">
      <c r="B93" t="s">
        <v>141</v>
      </c>
      <c r="C93" s="38">
        <f>IFERROR('CFS Data'!C22,0)</f>
        <v>0</v>
      </c>
      <c r="D93" s="38">
        <f>IFERROR('CFS Data'!D22,0)</f>
        <v>0</v>
      </c>
      <c r="E93" s="38">
        <f>IFERROR('CFS Data'!E22,0)</f>
        <v>0</v>
      </c>
      <c r="F93" s="38">
        <f>IFERROR('CFS Data'!F22,0)</f>
        <v>0</v>
      </c>
      <c r="G93" s="38">
        <f>IFERROR('CFS Data'!G22,0)</f>
        <v>0</v>
      </c>
      <c r="H93" s="38">
        <f>IFERROR('CFS Data'!H22,0)</f>
        <v>0</v>
      </c>
      <c r="I93" s="38">
        <f>IFERROR('CFS Data'!I22,0)</f>
        <v>0</v>
      </c>
      <c r="J93" s="38">
        <f>IFERROR('CFS Data'!J22,0)</f>
        <v>0</v>
      </c>
      <c r="K93" s="38">
        <f>IFERROR('CFS Data'!K22,0)</f>
        <v>0</v>
      </c>
      <c r="L93" s="38">
        <f>IFERROR('CFS Data'!L22,0)</f>
        <v>-24</v>
      </c>
      <c r="M93" s="38"/>
    </row>
    <row r="94" spans="2:13" x14ac:dyDescent="0.35">
      <c r="B94" t="s">
        <v>142</v>
      </c>
      <c r="C94" s="38">
        <f>IFERROR('CFS Data'!C23,0)</f>
        <v>456</v>
      </c>
      <c r="D94" s="38">
        <f>IFERROR('CFS Data'!D23,0)</f>
        <v>-1289</v>
      </c>
      <c r="E94" s="38">
        <f>IFERROR('CFS Data'!E23,0)</f>
        <v>-26663</v>
      </c>
      <c r="F94" s="38">
        <f>IFERROR('CFS Data'!F23,0)</f>
        <v>5360</v>
      </c>
      <c r="G94" s="38">
        <f>IFERROR('CFS Data'!G23,0)</f>
        <v>7335</v>
      </c>
      <c r="H94" s="38">
        <f>IFERROR('CFS Data'!H23,0)</f>
        <v>-2659</v>
      </c>
      <c r="I94" s="38">
        <f>IFERROR('CFS Data'!I23,0)</f>
        <v>1051</v>
      </c>
      <c r="J94" s="38">
        <f>IFERROR('CFS Data'!J23,0)</f>
        <v>12813</v>
      </c>
      <c r="K94" s="38">
        <f>IFERROR('CFS Data'!K23,0)</f>
        <v>-4357</v>
      </c>
      <c r="L94" s="38">
        <f>IFERROR('CFS Data'!L23,0)</f>
        <v>-4817</v>
      </c>
      <c r="M94" s="38"/>
    </row>
    <row r="95" spans="2:13" s="2" customFormat="1" x14ac:dyDescent="0.35">
      <c r="B95" s="2" t="s">
        <v>156</v>
      </c>
      <c r="C95" s="35">
        <f>SUM(C84:C94)</f>
        <v>-36233</v>
      </c>
      <c r="D95" s="35">
        <f t="shared" ref="D95:L95" si="23">SUM(D84:D94)</f>
        <v>-36694</v>
      </c>
      <c r="E95" s="35">
        <f t="shared" si="23"/>
        <v>-39572</v>
      </c>
      <c r="F95" s="35">
        <f t="shared" si="23"/>
        <v>-25140</v>
      </c>
      <c r="G95" s="35">
        <f t="shared" si="23"/>
        <v>-20879</v>
      </c>
      <c r="H95" s="35">
        <f t="shared" si="23"/>
        <v>-33116</v>
      </c>
      <c r="I95" s="35">
        <f t="shared" si="23"/>
        <v>-25671</v>
      </c>
      <c r="J95" s="35">
        <f t="shared" si="23"/>
        <v>-4442</v>
      </c>
      <c r="K95" s="35">
        <f t="shared" si="23"/>
        <v>-15419</v>
      </c>
      <c r="L95" s="35">
        <f t="shared" si="23"/>
        <v>-22780</v>
      </c>
      <c r="M95" s="35"/>
    </row>
    <row r="96" spans="2:13" x14ac:dyDescent="0.35"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2:13" x14ac:dyDescent="0.35">
      <c r="B97" s="2" t="s">
        <v>157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2:13" x14ac:dyDescent="0.35">
      <c r="B98" t="s">
        <v>144</v>
      </c>
      <c r="C98" s="38">
        <f>IFERROR('CFS Data'!C25,0)</f>
        <v>0</v>
      </c>
      <c r="D98" s="38">
        <f>IFERROR('CFS Data'!D25,0)</f>
        <v>7433</v>
      </c>
      <c r="E98" s="38">
        <f>IFERROR('CFS Data'!E25,0)</f>
        <v>5</v>
      </c>
      <c r="F98" s="38">
        <f>IFERROR('CFS Data'!F25,0)</f>
        <v>0</v>
      </c>
      <c r="G98" s="38">
        <f>IFERROR('CFS Data'!G25,0)</f>
        <v>0</v>
      </c>
      <c r="H98" s="38">
        <f>IFERROR('CFS Data'!H25,0)</f>
        <v>3889</v>
      </c>
      <c r="I98" s="38">
        <f>IFERROR('CFS Data'!I25,0)</f>
        <v>2603</v>
      </c>
      <c r="J98" s="38">
        <f>IFERROR('CFS Data'!J25,0)</f>
        <v>19</v>
      </c>
      <c r="K98" s="38">
        <f>IFERROR('CFS Data'!K25,0)</f>
        <v>20</v>
      </c>
      <c r="L98" s="38">
        <f>IFERROR('CFS Data'!L25,0)</f>
        <v>82</v>
      </c>
      <c r="M98" s="38"/>
    </row>
    <row r="99" spans="2:13" x14ac:dyDescent="0.35">
      <c r="B99" t="s">
        <v>145</v>
      </c>
      <c r="C99" s="38">
        <f>IFERROR('CFS Data'!C26,0)</f>
        <v>-744</v>
      </c>
      <c r="D99" s="38">
        <f>IFERROR('CFS Data'!D26,0)</f>
        <v>0</v>
      </c>
      <c r="E99" s="38">
        <f>IFERROR('CFS Data'!E26,0)</f>
        <v>0</v>
      </c>
      <c r="F99" s="38">
        <f>IFERROR('CFS Data'!F26,0)</f>
        <v>0</v>
      </c>
      <c r="G99" s="38">
        <f>IFERROR('CFS Data'!G26,0)</f>
        <v>0</v>
      </c>
      <c r="H99" s="38">
        <f>IFERROR('CFS Data'!H26,0)</f>
        <v>0</v>
      </c>
      <c r="I99" s="38">
        <f>IFERROR('CFS Data'!I26,0)</f>
        <v>0</v>
      </c>
      <c r="J99" s="38">
        <f>IFERROR('CFS Data'!J26,0)</f>
        <v>0</v>
      </c>
      <c r="K99" s="38">
        <f>IFERROR('CFS Data'!K26,0)</f>
        <v>0</v>
      </c>
      <c r="L99" s="38">
        <f>IFERROR('CFS Data'!L26,0)</f>
        <v>0</v>
      </c>
      <c r="M99" s="38"/>
    </row>
    <row r="100" spans="2:13" x14ac:dyDescent="0.35">
      <c r="B100" t="s">
        <v>146</v>
      </c>
      <c r="C100" s="38">
        <f>IFERROR('CFS Data'!C27,0)</f>
        <v>36363</v>
      </c>
      <c r="D100" s="38">
        <f>IFERROR('CFS Data'!D27,0)</f>
        <v>19519</v>
      </c>
      <c r="E100" s="38">
        <f>IFERROR('CFS Data'!E27,0)</f>
        <v>33390</v>
      </c>
      <c r="F100" s="38">
        <f>IFERROR('CFS Data'!F27,0)</f>
        <v>37482</v>
      </c>
      <c r="G100" s="38">
        <f>IFERROR('CFS Data'!G27,0)</f>
        <v>51128</v>
      </c>
      <c r="H100" s="38">
        <f>IFERROR('CFS Data'!H27,0)</f>
        <v>38297</v>
      </c>
      <c r="I100" s="38">
        <f>IFERROR('CFS Data'!I27,0)</f>
        <v>46641</v>
      </c>
      <c r="J100" s="38">
        <f>IFERROR('CFS Data'!J27,0)</f>
        <v>46578</v>
      </c>
      <c r="K100" s="38">
        <f>IFERROR('CFS Data'!K27,0)</f>
        <v>43934</v>
      </c>
      <c r="L100" s="38">
        <f>IFERROR('CFS Data'!L27,0)</f>
        <v>18747</v>
      </c>
      <c r="M100" s="38"/>
    </row>
    <row r="101" spans="2:13" x14ac:dyDescent="0.35">
      <c r="B101" t="s">
        <v>147</v>
      </c>
      <c r="C101" s="38">
        <f>IFERROR('CFS Data'!C28,0)</f>
        <v>-23332</v>
      </c>
      <c r="D101" s="38">
        <f>IFERROR('CFS Data'!D28,0)</f>
        <v>-24924</v>
      </c>
      <c r="E101" s="38">
        <f>IFERROR('CFS Data'!E28,0)</f>
        <v>-21732</v>
      </c>
      <c r="F101" s="38">
        <f>IFERROR('CFS Data'!F28,0)</f>
        <v>-29964</v>
      </c>
      <c r="G101" s="38">
        <f>IFERROR('CFS Data'!G28,0)</f>
        <v>-35198</v>
      </c>
      <c r="H101" s="38">
        <f>IFERROR('CFS Data'!H28,0)</f>
        <v>-29847</v>
      </c>
      <c r="I101" s="38">
        <f>IFERROR('CFS Data'!I28,0)</f>
        <v>-29709</v>
      </c>
      <c r="J101" s="38">
        <f>IFERROR('CFS Data'!J28,0)</f>
        <v>-42816</v>
      </c>
      <c r="K101" s="38">
        <f>IFERROR('CFS Data'!K28,0)</f>
        <v>-62557</v>
      </c>
      <c r="L101" s="38">
        <f>IFERROR('CFS Data'!L28,0)</f>
        <v>-47332</v>
      </c>
      <c r="M101" s="38"/>
    </row>
    <row r="102" spans="2:13" x14ac:dyDescent="0.35">
      <c r="B102" t="s">
        <v>148</v>
      </c>
      <c r="C102" s="38">
        <f>IFERROR('CFS Data'!C29,0)</f>
        <v>-6307</v>
      </c>
      <c r="D102" s="38">
        <f>IFERROR('CFS Data'!D29,0)</f>
        <v>-5716</v>
      </c>
      <c r="E102" s="38">
        <f>IFERROR('CFS Data'!E29,0)</f>
        <v>-5336</v>
      </c>
      <c r="F102" s="38">
        <f>IFERROR('CFS Data'!F29,0)</f>
        <v>-5411</v>
      </c>
      <c r="G102" s="38">
        <f>IFERROR('CFS Data'!G29,0)</f>
        <v>-7005</v>
      </c>
      <c r="H102" s="38">
        <f>IFERROR('CFS Data'!H29,0)</f>
        <v>-7518</v>
      </c>
      <c r="I102" s="38">
        <f>IFERROR('CFS Data'!I29,0)</f>
        <v>-8123</v>
      </c>
      <c r="J102" s="38">
        <f>IFERROR('CFS Data'!J29,0)</f>
        <v>-9251</v>
      </c>
      <c r="K102" s="38">
        <f>IFERROR('CFS Data'!K29,0)</f>
        <v>-9336</v>
      </c>
      <c r="L102" s="38">
        <f>IFERROR('CFS Data'!L29,0)</f>
        <v>-9332</v>
      </c>
      <c r="M102" s="38"/>
    </row>
    <row r="103" spans="2:13" x14ac:dyDescent="0.35">
      <c r="B103" t="s">
        <v>149</v>
      </c>
      <c r="C103" s="38">
        <f>IFERROR('CFS Data'!C30,0)</f>
        <v>-720</v>
      </c>
      <c r="D103" s="38">
        <f>IFERROR('CFS Data'!D30,0)</f>
        <v>-108</v>
      </c>
      <c r="E103" s="38">
        <f>IFERROR('CFS Data'!E30,0)</f>
        <v>-121</v>
      </c>
      <c r="F103" s="38">
        <f>IFERROR('CFS Data'!F30,0)</f>
        <v>-96</v>
      </c>
      <c r="G103" s="38">
        <f>IFERROR('CFS Data'!G30,0)</f>
        <v>-95</v>
      </c>
      <c r="H103" s="38">
        <f>IFERROR('CFS Data'!H30,0)</f>
        <v>-57</v>
      </c>
      <c r="I103" s="38">
        <f>IFERROR('CFS Data'!I30,0)</f>
        <v>-30</v>
      </c>
      <c r="J103" s="38">
        <f>IFERROR('CFS Data'!J30,0)</f>
        <v>-100</v>
      </c>
      <c r="K103" s="38">
        <f>IFERROR('CFS Data'!K30,0)</f>
        <v>-141</v>
      </c>
      <c r="L103" s="38">
        <f>IFERROR('CFS Data'!L30,0)</f>
        <v>-1059</v>
      </c>
      <c r="M103" s="38"/>
    </row>
    <row r="104" spans="2:13" x14ac:dyDescent="0.35">
      <c r="B104" t="s">
        <v>150</v>
      </c>
      <c r="C104" s="38">
        <f>IFERROR('CFS Data'!C31,0)</f>
        <v>0</v>
      </c>
      <c r="D104" s="38">
        <f>IFERROR('CFS Data'!D31,0)</f>
        <v>0</v>
      </c>
      <c r="E104" s="38">
        <f>IFERROR('CFS Data'!E31,0)</f>
        <v>0</v>
      </c>
      <c r="F104" s="38">
        <f>IFERROR('CFS Data'!F31,0)</f>
        <v>0</v>
      </c>
      <c r="G104" s="38">
        <f>IFERROR('CFS Data'!G31,0)</f>
        <v>0</v>
      </c>
      <c r="H104" s="38">
        <f>IFERROR('CFS Data'!H31,0)</f>
        <v>-1346</v>
      </c>
      <c r="I104" s="38">
        <f>IFERROR('CFS Data'!I31,0)</f>
        <v>-1477</v>
      </c>
      <c r="J104" s="38">
        <f>IFERROR('CFS Data'!J31,0)</f>
        <v>-1559</v>
      </c>
      <c r="K104" s="38">
        <f>IFERROR('CFS Data'!K31,0)</f>
        <v>-1517</v>
      </c>
      <c r="L104" s="38">
        <f>IFERROR('CFS Data'!L31,0)</f>
        <v>-1924</v>
      </c>
      <c r="M104" s="38"/>
    </row>
    <row r="105" spans="2:13" x14ac:dyDescent="0.35">
      <c r="B105" t="s">
        <v>151</v>
      </c>
      <c r="C105" s="38">
        <f>IFERROR('CFS Data'!C32,0)</f>
        <v>-57</v>
      </c>
      <c r="D105" s="38">
        <f>IFERROR('CFS Data'!D32,0)</f>
        <v>0</v>
      </c>
      <c r="E105" s="38">
        <f>IFERROR('CFS Data'!E32,0)</f>
        <v>0</v>
      </c>
      <c r="F105" s="38">
        <f>IFERROR('CFS Data'!F32,0)</f>
        <v>0</v>
      </c>
      <c r="G105" s="38">
        <f>IFERROR('CFS Data'!G32,0)</f>
        <v>0</v>
      </c>
      <c r="H105" s="38">
        <f>IFERROR('CFS Data'!H32,0)</f>
        <v>-29</v>
      </c>
      <c r="I105" s="38">
        <f>IFERROR('CFS Data'!I32,0)</f>
        <v>0</v>
      </c>
      <c r="J105" s="38">
        <f>IFERROR('CFS Data'!J32,0)</f>
        <v>3750</v>
      </c>
      <c r="K105" s="38">
        <f>IFERROR('CFS Data'!K32,0)</f>
        <v>3355</v>
      </c>
      <c r="L105" s="38">
        <f>IFERROR('CFS Data'!L32,0)</f>
        <v>3812</v>
      </c>
      <c r="M105" s="38"/>
    </row>
    <row r="106" spans="2:13" s="2" customFormat="1" x14ac:dyDescent="0.35">
      <c r="B106" s="2" t="s">
        <v>158</v>
      </c>
      <c r="C106" s="35">
        <f>SUM(C98:C105)</f>
        <v>5203</v>
      </c>
      <c r="D106" s="35">
        <f t="shared" ref="D106:L106" si="24">SUM(D98:D105)</f>
        <v>-3796</v>
      </c>
      <c r="E106" s="35">
        <f t="shared" si="24"/>
        <v>6206</v>
      </c>
      <c r="F106" s="35">
        <f t="shared" si="24"/>
        <v>2011</v>
      </c>
      <c r="G106" s="35">
        <f t="shared" si="24"/>
        <v>8830</v>
      </c>
      <c r="H106" s="35">
        <f t="shared" si="24"/>
        <v>3389</v>
      </c>
      <c r="I106" s="35">
        <f t="shared" si="24"/>
        <v>9905</v>
      </c>
      <c r="J106" s="35">
        <f t="shared" si="24"/>
        <v>-3379</v>
      </c>
      <c r="K106" s="35">
        <f t="shared" si="24"/>
        <v>-26242</v>
      </c>
      <c r="L106" s="35">
        <f t="shared" si="24"/>
        <v>-37006</v>
      </c>
      <c r="M106" s="35"/>
    </row>
    <row r="107" spans="2:13" x14ac:dyDescent="0.35"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2:13" s="2" customFormat="1" x14ac:dyDescent="0.35">
      <c r="B108" s="2" t="s">
        <v>159</v>
      </c>
      <c r="C108" s="35">
        <f>IFERROR(C81+C95+C106,0)</f>
        <v>830</v>
      </c>
      <c r="D108" s="35">
        <f t="shared" ref="D108:L108" si="25">IFERROR(D81+D95+D106,0)</f>
        <v>-1278</v>
      </c>
      <c r="E108" s="35">
        <f t="shared" si="25"/>
        <v>88</v>
      </c>
      <c r="F108" s="35">
        <f t="shared" si="25"/>
        <v>-5706</v>
      </c>
      <c r="G108" s="35">
        <f t="shared" si="25"/>
        <v>-378</v>
      </c>
      <c r="H108" s="35">
        <f t="shared" si="25"/>
        <v>1971</v>
      </c>
      <c r="I108" s="35">
        <f t="shared" si="25"/>
        <v>13141</v>
      </c>
      <c r="J108" s="35">
        <f t="shared" si="25"/>
        <v>-4289</v>
      </c>
      <c r="K108" s="35">
        <f t="shared" si="25"/>
        <v>-9400</v>
      </c>
      <c r="L108" s="35">
        <f t="shared" si="25"/>
        <v>15455</v>
      </c>
      <c r="M108" s="35"/>
    </row>
    <row r="109" spans="2:13" x14ac:dyDescent="0.35"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2:13" x14ac:dyDescent="0.35"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2:13" x14ac:dyDescent="0.35"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2:13" x14ac:dyDescent="0.35"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3:13" x14ac:dyDescent="0.35"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3:13" x14ac:dyDescent="0.35"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3:13" x14ac:dyDescent="0.35"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3:13" x14ac:dyDescent="0.35"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</sheetData>
  <mergeCells count="1">
    <mergeCell ref="B2:M2"/>
  </mergeCells>
  <pageMargins left="0.7" right="0.7" top="0.75" bottom="0.75" header="0.3" footer="0.3"/>
  <ignoredErrors>
    <ignoredError sqref="M7 M10 C16:N1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D04-5804-4FFB-A0FF-2E4C2A60724B}">
  <dimension ref="B2:O40"/>
  <sheetViews>
    <sheetView showGridLines="0" topLeftCell="B27" workbookViewId="0">
      <selection activeCell="Q33" sqref="Q33"/>
    </sheetView>
  </sheetViews>
  <sheetFormatPr defaultRowHeight="14.5" x14ac:dyDescent="0.35"/>
  <cols>
    <col min="1" max="1" width="1.81640625" customWidth="1"/>
    <col min="2" max="2" width="26" customWidth="1"/>
    <col min="3" max="3" width="9.36328125" bestFit="1" customWidth="1"/>
    <col min="9" max="9" width="10.26953125" customWidth="1"/>
    <col min="10" max="10" width="9.90625" customWidth="1"/>
    <col min="13" max="13" width="14" customWidth="1"/>
    <col min="14" max="14" width="11.90625" customWidth="1"/>
  </cols>
  <sheetData>
    <row r="2" spans="2:15" x14ac:dyDescent="0.35">
      <c r="B2" s="66" t="str">
        <f>"Historical Financial statement- "&amp;'Data Sheet'!B1</f>
        <v>Historical Financial statement- TATA MOTORS LTD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2:15" x14ac:dyDescent="0.35">
      <c r="B3" s="25" t="s">
        <v>94</v>
      </c>
      <c r="C3" s="26">
        <f>'Data Sheet'!B16</f>
        <v>42094</v>
      </c>
      <c r="D3" s="26">
        <f>'Data Sheet'!C16</f>
        <v>42460</v>
      </c>
      <c r="E3" s="26">
        <f>'Data Sheet'!D16</f>
        <v>42825</v>
      </c>
      <c r="F3" s="26">
        <f>'Data Sheet'!E16</f>
        <v>43190</v>
      </c>
      <c r="G3" s="26">
        <f>'Data Sheet'!F16</f>
        <v>43555</v>
      </c>
      <c r="H3" s="26">
        <f>'Data Sheet'!G16</f>
        <v>43921</v>
      </c>
      <c r="I3" s="26">
        <f>'Data Sheet'!H16</f>
        <v>44286</v>
      </c>
      <c r="J3" s="26">
        <f>'Data Sheet'!I16</f>
        <v>44651</v>
      </c>
      <c r="K3" s="26">
        <f>'Data Sheet'!J16</f>
        <v>45016</v>
      </c>
      <c r="L3" s="26">
        <f>'Data Sheet'!K16</f>
        <v>45382</v>
      </c>
      <c r="M3" s="27" t="s">
        <v>188</v>
      </c>
      <c r="N3" s="27" t="s">
        <v>186</v>
      </c>
      <c r="O3" s="27" t="s">
        <v>187</v>
      </c>
    </row>
    <row r="5" spans="2:15" x14ac:dyDescent="0.35">
      <c r="B5" s="46" t="s">
        <v>22</v>
      </c>
      <c r="C5" s="46"/>
      <c r="D5" s="47">
        <f>IFERROR(HistoricalFS!D8,0)</f>
        <v>3.75690010654397E-2</v>
      </c>
      <c r="E5" s="47">
        <f>IFERROR(HistoricalFS!E8,0)</f>
        <v>-1.2280329732469508E-2</v>
      </c>
      <c r="F5" s="47">
        <f>IFERROR(HistoricalFS!F8,0)</f>
        <v>8.104774581985974E-2</v>
      </c>
      <c r="G5" s="47">
        <f>IFERROR(HistoricalFS!G8,0)</f>
        <v>3.5629919045237157E-2</v>
      </c>
      <c r="H5" s="47">
        <f>IFERROR(HistoricalFS!H8,0)</f>
        <v>-0.135360159555724</v>
      </c>
      <c r="I5" s="47">
        <f>IFERROR(HistoricalFS!I8,0)</f>
        <v>-4.3181168490336042E-2</v>
      </c>
      <c r="J5" s="47">
        <f>IFERROR(HistoricalFS!J8,0)</f>
        <v>0.11472967306158344</v>
      </c>
      <c r="K5" s="47">
        <f>IFERROR(HistoricalFS!K8,0)</f>
        <v>0.24245815155859707</v>
      </c>
      <c r="L5" s="47">
        <f>IFERROR(HistoricalFS!L8,0)</f>
        <v>0.26580803363974326</v>
      </c>
      <c r="M5" s="46"/>
      <c r="N5" s="47">
        <f>IFERROR(AVERAGE(D5:L5),0)</f>
        <v>6.5157874045770087E-2</v>
      </c>
      <c r="O5" s="47">
        <f>IFERROR(MEDIAN(C5:L5),0)</f>
        <v>3.75690010654397E-2</v>
      </c>
    </row>
    <row r="6" spans="2:15" x14ac:dyDescent="0.35">
      <c r="B6" t="s">
        <v>164</v>
      </c>
      <c r="D6" s="48">
        <f>IFERROR(HistoricalFS!D19/HistoricalFS!C19-1,0)</f>
        <v>-2.1494113584437979E-2</v>
      </c>
      <c r="E6" s="48">
        <f>IFERROR(HistoricalFS!E19/HistoricalFS!D19-1,0)</f>
        <v>-0.22936587208052905</v>
      </c>
      <c r="F6" s="48">
        <f>IFERROR(HistoricalFS!F19/HistoricalFS!E19-1,0)</f>
        <v>6.3165689322506102E-2</v>
      </c>
      <c r="G6" s="48">
        <f>IFERROR(HistoricalFS!G19/HistoricalFS!F19-1,0)</f>
        <v>-0.21595203460649259</v>
      </c>
      <c r="H6" s="48">
        <f>IFERROR(HistoricalFS!H19/HistoricalFS!G19-1,0)</f>
        <v>-0.27072537547138131</v>
      </c>
      <c r="I6" s="48">
        <f>IFERROR(HistoricalFS!I19/HistoricalFS!H19-1,0)</f>
        <v>0.79503554497758966</v>
      </c>
      <c r="J6" s="48">
        <f>IFERROR(HistoricalFS!J19/HistoricalFS!I19-1,0)</f>
        <v>-0.234374182150762</v>
      </c>
      <c r="K6" s="48">
        <f>IFERROR(HistoricalFS!K19/HistoricalFS!J19-1,0)</f>
        <v>0.28704223973294352</v>
      </c>
      <c r="L6" s="48">
        <f>IFERROR(HistoricalFS!L19/HistoricalFS!K19-1,0)</f>
        <v>0.87134505497269021</v>
      </c>
      <c r="N6" s="48">
        <f t="shared" ref="N6:N9" si="0">IFERROR(AVERAGE(D6:L6),0)</f>
        <v>0.11607521679023629</v>
      </c>
      <c r="O6" s="48">
        <f t="shared" ref="O6:O8" si="1">IFERROR(MEDIAN(C6:L6),0)</f>
        <v>-2.1494113584437979E-2</v>
      </c>
    </row>
    <row r="7" spans="2:15" x14ac:dyDescent="0.35">
      <c r="B7" t="s">
        <v>161</v>
      </c>
      <c r="D7" s="48">
        <f>IFERROR(HistoricalFS!D28/HistoricalFS!C28-1,0)</f>
        <v>-0.19978245260625749</v>
      </c>
      <c r="E7" s="48">
        <f>IFERROR(HistoricalFS!E28/HistoricalFS!D28-1,0)</f>
        <v>-0.55668251823863213</v>
      </c>
      <c r="F7" s="48">
        <f>IFERROR(HistoricalFS!F28/HistoricalFS!E28-1,0)</f>
        <v>-0.29861436616351744</v>
      </c>
      <c r="G7" s="48">
        <f>IFERROR(HistoricalFS!G28/HistoricalFS!F28-1,0)</f>
        <v>-1.897095149646705</v>
      </c>
      <c r="H7" s="48">
        <f>IFERROR(HistoricalFS!H28/HistoricalFS!G28-1,0)</f>
        <v>1.2800251873039095</v>
      </c>
      <c r="I7" s="48">
        <f>IFERROR(HistoricalFS!I28/HistoricalFS!H28-1,0)</f>
        <v>-1.0602479570180365</v>
      </c>
      <c r="J7" s="48">
        <f>IFERROR(HistoricalFS!J28/HistoricalFS!I28-1,0)</f>
        <v>-15.64914925025267</v>
      </c>
      <c r="K7" s="48">
        <f>IFERROR(HistoricalFS!K28/HistoricalFS!J28-1,0)</f>
        <v>-0.65313668793078505</v>
      </c>
      <c r="L7" s="48">
        <f>IFERROR(HistoricalFS!L28/HistoricalFS!K28-1,0)</f>
        <v>-7.8141215397976129</v>
      </c>
      <c r="N7" s="48">
        <f t="shared" si="0"/>
        <v>-2.9832005260389232</v>
      </c>
      <c r="O7" s="48">
        <f t="shared" si="1"/>
        <v>-0.65313668793078505</v>
      </c>
    </row>
    <row r="8" spans="2:15" x14ac:dyDescent="0.35">
      <c r="B8" t="s">
        <v>162</v>
      </c>
      <c r="D8" s="48">
        <f>IFERROR(HistoricalFS!D34/HistoricalFS!C34-1,0)</f>
        <v>3.1824673563310757E-2</v>
      </c>
      <c r="E8" s="48">
        <f>IFERROR(HistoricalFS!E34/HistoricalFS!D34-1,0)</f>
        <v>-0.69539895165986787</v>
      </c>
      <c r="F8" s="48">
        <f>IFERROR(HistoricalFS!F34/HistoricalFS!E34-1,0)</f>
        <v>-0.79011124197155724</v>
      </c>
      <c r="G8" s="48">
        <f>IFERROR(HistoricalFS!G34/HistoricalFS!F34-1,0)</f>
        <v>-3.5528470983790919</v>
      </c>
      <c r="H8" s="48">
        <f>IFERROR(HistoricalFS!H34/HistoricalFS!G34-1,0)</f>
        <v>3.9286702707513577</v>
      </c>
      <c r="I8" s="48">
        <f>IFERROR(HistoricalFS!I34/HistoricalFS!H34-1,0)</f>
        <v>-0.82862505348950144</v>
      </c>
      <c r="J8" s="48">
        <f>IFERROR(HistoricalFS!J34/HistoricalFS!I34-1,0)</f>
        <v>6.1952157445306248</v>
      </c>
      <c r="K8" s="48">
        <f>IFERROR(HistoricalFS!K34/HistoricalFS!J34-1,0)</f>
        <v>-0.7090436533357708</v>
      </c>
      <c r="L8" s="48">
        <f>IFERROR(HistoricalFS!L34/HistoricalFS!K34-1,0)</f>
        <v>-7.5761027654059525</v>
      </c>
      <c r="N8" s="48">
        <f t="shared" si="0"/>
        <v>-0.44404645282182759</v>
      </c>
      <c r="O8" s="48">
        <f t="shared" si="1"/>
        <v>-0.7090436533357708</v>
      </c>
    </row>
    <row r="9" spans="2:15" x14ac:dyDescent="0.35">
      <c r="B9" s="49" t="s">
        <v>163</v>
      </c>
      <c r="C9" s="49"/>
      <c r="D9" s="50">
        <f>IFERROR(HistoricalFS!D42/HistoricalFS!C42-1,0)</f>
        <v>0</v>
      </c>
      <c r="E9" s="50">
        <f>IFERROR(HistoricalFS!E42/HistoricalFS!D42-1,0)</f>
        <v>-1</v>
      </c>
      <c r="F9" s="50">
        <f>IFERROR(HistoricalFS!F42/HistoricalFS!E42-1,0)</f>
        <v>0</v>
      </c>
      <c r="G9" s="50">
        <f>IFERROR(HistoricalFS!G42/HistoricalFS!F42-1,0)</f>
        <v>0</v>
      </c>
      <c r="H9" s="50">
        <f>IFERROR(HistoricalFS!H42/HistoricalFS!G42-1,0)</f>
        <v>0</v>
      </c>
      <c r="I9" s="50">
        <f>IFERROR(HistoricalFS!I42/HistoricalFS!H42-1,0)</f>
        <v>0</v>
      </c>
      <c r="J9" s="50">
        <f>IFERROR(HistoricalFS!J42/HistoricalFS!I42-1,0)</f>
        <v>0</v>
      </c>
      <c r="K9" s="50">
        <f>IFERROR(HistoricalFS!K42/HistoricalFS!J42-1,0)</f>
        <v>0</v>
      </c>
      <c r="L9" s="50">
        <f>IFERROR(HistoricalFS!L42/HistoricalFS!K42-1,0)</f>
        <v>-1.9288530375880319</v>
      </c>
      <c r="M9" s="49"/>
      <c r="N9" s="50">
        <f t="shared" si="0"/>
        <v>-0.32542811528755911</v>
      </c>
      <c r="O9" s="50">
        <f>IFERROR(MEDIAN(C9:L9),0)</f>
        <v>0</v>
      </c>
    </row>
    <row r="10" spans="2:15" x14ac:dyDescent="0.35">
      <c r="N10" s="44"/>
      <c r="O10" s="44"/>
    </row>
    <row r="11" spans="2:15" x14ac:dyDescent="0.35">
      <c r="B11" s="46" t="s">
        <v>160</v>
      </c>
      <c r="C11" s="47">
        <f>IFERROR(HistoricalFS!C14,0)</f>
        <v>0.22914703499762759</v>
      </c>
      <c r="D11" s="47">
        <f>IFERROR(HistoricalFS!D14,0)</f>
        <v>0.24734524196690946</v>
      </c>
      <c r="E11" s="47">
        <f>IFERROR(HistoricalFS!E14,0)</f>
        <v>0.23819078253229964</v>
      </c>
      <c r="F11" s="47">
        <f>IFERROR(HistoricalFS!F14,0)</f>
        <v>0.21649990080619999</v>
      </c>
      <c r="G11" s="47">
        <f>IFERROR(HistoricalFS!G14,0)</f>
        <v>0.19571167496416494</v>
      </c>
      <c r="H11" s="47">
        <f>IFERROR(HistoricalFS!H14,0)</f>
        <v>0.19417127271491774</v>
      </c>
      <c r="I11" s="47">
        <f>IFERROR(HistoricalFS!I14,0)</f>
        <v>0.2180538622208833</v>
      </c>
      <c r="J11" s="47">
        <f>IFERROR(HistoricalFS!J14,0)</f>
        <v>0.19807108271747378</v>
      </c>
      <c r="K11" s="47">
        <f>IFERROR(HistoricalFS!K14,0)</f>
        <v>0.20685017994636876</v>
      </c>
      <c r="L11" s="47">
        <f>IFERROR(HistoricalFS!L14,0)</f>
        <v>0.23605714704961514</v>
      </c>
      <c r="M11" s="46"/>
      <c r="N11" s="47">
        <f>IFERROR(AVERAGE(C11:L11),0)</f>
        <v>0.21800981799164604</v>
      </c>
      <c r="O11" s="47">
        <f>IFERROR(MEDIAN(C11:L11),0)</f>
        <v>0.21727688151354163</v>
      </c>
    </row>
    <row r="12" spans="2:15" x14ac:dyDescent="0.35">
      <c r="B12" t="s">
        <v>107</v>
      </c>
      <c r="C12" s="48">
        <f>IFERROR(HistoricalFS!C20,0)</f>
        <v>0.14910625508580397</v>
      </c>
      <c r="D12" s="48">
        <f>IFERROR(HistoricalFS!D20,0)</f>
        <v>0.14061845347443788</v>
      </c>
      <c r="E12" s="48">
        <f>IFERROR(HistoricalFS!E20,0)</f>
        <v>0.10971268723777329</v>
      </c>
      <c r="F12" s="48">
        <f>IFERROR(HistoricalFS!F20,0)</f>
        <v>0.10789788444182975</v>
      </c>
      <c r="G12" s="48">
        <f>IFERROR(HistoricalFS!G20,0)</f>
        <v>8.1686628795807431E-2</v>
      </c>
      <c r="H12" s="48">
        <f>IFERROR(HistoricalFS!H20,0)</f>
        <v>6.8898034485042198E-2</v>
      </c>
      <c r="I12" s="48">
        <f>IFERROR(HistoricalFS!I20,0)</f>
        <v>0.12925583904385496</v>
      </c>
      <c r="J12" s="48">
        <f>IFERROR(HistoricalFS!J20,0)</f>
        <v>8.877632835227646E-2</v>
      </c>
      <c r="K12" s="48">
        <f>IFERROR(HistoricalFS!K20,0)</f>
        <v>9.1961958102532049E-2</v>
      </c>
      <c r="L12" s="48">
        <f>IFERROR(HistoricalFS!L20,0)</f>
        <v>0.13595470321509878</v>
      </c>
      <c r="N12" s="48">
        <f t="shared" ref="N12:N15" si="2">IFERROR(AVERAGE(C12:L12),0)</f>
        <v>0.11038687722344567</v>
      </c>
      <c r="O12" s="48">
        <f t="shared" ref="O12:O15" si="3">IFERROR(MEDIAN(C12:L12),0)</f>
        <v>0.10880528583980152</v>
      </c>
    </row>
    <row r="13" spans="2:15" x14ac:dyDescent="0.35">
      <c r="B13" t="s">
        <v>165</v>
      </c>
      <c r="C13" s="48">
        <f>IFERROR((HistoricalFS!C19-HistoricalFS!C25)/HistoricalFS!C7,0)</f>
        <v>9.8229670900837146E-2</v>
      </c>
      <c r="D13" s="48">
        <f>IFERROR((HistoricalFS!D19-HistoricalFS!D25)/HistoricalFS!D7,0)</f>
        <v>7.941702777851016E-2</v>
      </c>
      <c r="E13" s="48">
        <f>IFERROR((HistoricalFS!E19-HistoricalFS!E25)/HistoricalFS!E7,0)</f>
        <v>4.3322300645279484E-2</v>
      </c>
      <c r="F13" s="48">
        <f>IFERROR((HistoricalFS!F19-HistoricalFS!F25)/HistoricalFS!F7,0)</f>
        <v>3.3970412259310953E-2</v>
      </c>
      <c r="G13" s="48">
        <f>IFERROR((HistoricalFS!G19-HistoricalFS!G25)/HistoricalFS!G7,0)</f>
        <v>3.5560233478087663E-3</v>
      </c>
      <c r="H13" s="48">
        <f>IFERROR((HistoricalFS!H19-HistoricalFS!H25)/HistoricalFS!H7,0)</f>
        <v>-1.3170363258273456E-2</v>
      </c>
      <c r="I13" s="48">
        <f>IFERROR((HistoricalFS!I19-HistoricalFS!I25)/HistoricalFS!I7,0)</f>
        <v>3.4991608110258483E-2</v>
      </c>
      <c r="J13" s="48">
        <f>IFERROR((HistoricalFS!J19-HistoricalFS!J25)/HistoricalFS!J7,0)</f>
        <v>-4.1514992694289269E-4</v>
      </c>
      <c r="K13" s="48">
        <f>IFERROR((HistoricalFS!K19-HistoricalFS!K25)/HistoricalFS!K7,0)</f>
        <v>2.0104346955433228E-2</v>
      </c>
      <c r="L13" s="48">
        <f>IFERROR((HistoricalFS!L19-HistoricalFS!L25)/HistoricalFS!L7,0)</f>
        <v>7.3683863437114389E-2</v>
      </c>
      <c r="N13" s="48">
        <f t="shared" si="2"/>
        <v>3.7368974024933624E-2</v>
      </c>
      <c r="O13" s="48">
        <f t="shared" si="3"/>
        <v>3.4481010184784722E-2</v>
      </c>
    </row>
    <row r="14" spans="2:15" x14ac:dyDescent="0.35">
      <c r="B14" t="s">
        <v>166</v>
      </c>
      <c r="C14" s="48">
        <f>IFERROR(HistoricalFS!C29,0)</f>
        <v>7.9756085085905037E-2</v>
      </c>
      <c r="D14" s="48">
        <f>IFERROR(HistoricalFS!D29,0)</f>
        <v>6.1511300676516931E-2</v>
      </c>
      <c r="E14" s="48">
        <f>IFERROR(HistoricalFS!E29,0)</f>
        <v>2.7608071132565179E-2</v>
      </c>
      <c r="F14" s="48">
        <f>IFERROR(HistoricalFS!F29,0)</f>
        <v>1.7912163958707913E-2</v>
      </c>
      <c r="G14" s="48">
        <f>IFERROR(HistoricalFS!G29,0)</f>
        <v>-1.5516078776333117E-2</v>
      </c>
      <c r="H14" s="48">
        <f>IFERROR(HistoricalFS!H29,0)</f>
        <v>-4.0915360088026265E-2</v>
      </c>
      <c r="I14" s="48">
        <f>IFERROR(HistoricalFS!I29,0)</f>
        <v>2.5763151547420113E-3</v>
      </c>
      <c r="J14" s="48">
        <f>IFERROR(HistoricalFS!J29,0)</f>
        <v>-3.3856482095653805E-2</v>
      </c>
      <c r="K14" s="48">
        <f>IFERROR(HistoricalFS!K29,0)</f>
        <v>-9.4518849588445895E-3</v>
      </c>
      <c r="L14" s="48">
        <f>IFERROR(HistoricalFS!L29,0)</f>
        <v>5.0881564327377643E-2</v>
      </c>
      <c r="N14" s="48">
        <f t="shared" si="2"/>
        <v>1.4050569441695698E-2</v>
      </c>
      <c r="O14" s="48">
        <f t="shared" si="3"/>
        <v>1.0244239556724962E-2</v>
      </c>
    </row>
    <row r="15" spans="2:15" x14ac:dyDescent="0.35">
      <c r="B15" s="49" t="s">
        <v>167</v>
      </c>
      <c r="C15" s="50">
        <f>IFERROR(HistoricalFS!C35,0)</f>
        <v>5.0713146858982282E-2</v>
      </c>
      <c r="D15" s="50">
        <f>IFERROR(HistoricalFS!D35,0)</f>
        <v>5.0432381990407359E-2</v>
      </c>
      <c r="E15" s="50">
        <f>IFERROR(HistoricalFS!E35,0)</f>
        <v>1.5552749314395296E-2</v>
      </c>
      <c r="F15" s="50">
        <f>IFERROR(HistoricalFS!F35,0)</f>
        <v>3.01961430487095E-3</v>
      </c>
      <c r="G15" s="50">
        <f>IFERROR(HistoricalFS!G35,0)</f>
        <v>-7.4434056747998256E-3</v>
      </c>
      <c r="H15" s="50">
        <f>IFERROR(HistoricalFS!H35,0)</f>
        <v>-4.2429333632923408E-2</v>
      </c>
      <c r="I15" s="50">
        <f>IFERROR(HistoricalFS!I35,0)</f>
        <v>-7.5994791724005731E-3</v>
      </c>
      <c r="J15" s="50">
        <f>IFERROR(HistoricalFS!J35,0)</f>
        <v>-4.9052154538339235E-2</v>
      </c>
      <c r="K15" s="50">
        <f>IFERROR(HistoricalFS!K35,0)</f>
        <v>-1.1486934720964945E-2</v>
      </c>
      <c r="L15" s="50">
        <f>IFERROR(HistoricalFS!L35,0)</f>
        <v>5.9676713353894045E-2</v>
      </c>
      <c r="M15" s="49"/>
      <c r="N15" s="50">
        <f t="shared" si="2"/>
        <v>6.1383298083121946E-3</v>
      </c>
      <c r="O15" s="50">
        <f t="shared" si="3"/>
        <v>-2.2118956849644378E-3</v>
      </c>
    </row>
    <row r="16" spans="2:15" x14ac:dyDescent="0.35">
      <c r="N16" s="44"/>
      <c r="O16" s="44"/>
    </row>
    <row r="17" spans="2:15" x14ac:dyDescent="0.35">
      <c r="B17" s="46" t="s">
        <v>168</v>
      </c>
      <c r="C17" s="47">
        <f>IFERROR(HistoricalFS!C17,0)</f>
        <v>8.0040779911823637E-2</v>
      </c>
      <c r="D17" s="47">
        <f>IFERROR(HistoricalFS!D17,0)</f>
        <v>0.10672678849247161</v>
      </c>
      <c r="E17" s="47">
        <f>IFERROR(HistoricalFS!E17,0)</f>
        <v>0.12847809529452636</v>
      </c>
      <c r="F17" s="47">
        <f>IFERROR(HistoricalFS!F17,0)</f>
        <v>0.10860201636437025</v>
      </c>
      <c r="G17" s="47">
        <f>IFERROR(HistoricalFS!G17,0)</f>
        <v>0.11402504616835751</v>
      </c>
      <c r="H17" s="47">
        <f>IFERROR(HistoricalFS!H17,0)</f>
        <v>0.12527323822987554</v>
      </c>
      <c r="I17" s="47">
        <f>IFERROR(HistoricalFS!I17,0)</f>
        <v>8.8798023177028354E-2</v>
      </c>
      <c r="J17" s="47">
        <f>IFERROR(HistoricalFS!J17,0)</f>
        <v>0.10929475436519734</v>
      </c>
      <c r="K17" s="47">
        <f>IFERROR(HistoricalFS!K17,0)</f>
        <v>0.11488822184383672</v>
      </c>
      <c r="L17" s="47">
        <f>IFERROR(HistoricalFS!L17,0)</f>
        <v>0.10010244383451636</v>
      </c>
      <c r="M17" s="46"/>
      <c r="N17" s="47">
        <f>IFERROR(AVERAGE(C17:L17),0)</f>
        <v>0.10762294076820036</v>
      </c>
      <c r="O17" s="47">
        <f>IFERROR(MEDIAN(C17:L17),0)</f>
        <v>0.1089483853647838</v>
      </c>
    </row>
    <row r="18" spans="2:15" x14ac:dyDescent="0.35">
      <c r="B18" t="s">
        <v>106</v>
      </c>
      <c r="C18" s="48">
        <f>IFERROR(HistoricalFS!C26,0)</f>
        <v>5.0876584184966822E-2</v>
      </c>
      <c r="D18" s="48">
        <f>IFERROR(HistoricalFS!D26,0)</f>
        <v>6.1201425695927715E-2</v>
      </c>
      <c r="E18" s="48">
        <f>IFERROR(HistoricalFS!E26,0)</f>
        <v>6.63903865924938E-2</v>
      </c>
      <c r="F18" s="48">
        <f>IFERROR(HistoricalFS!F26,0)</f>
        <v>7.3927472182518786E-2</v>
      </c>
      <c r="G18" s="48">
        <f>IFERROR(HistoricalFS!G26,0)</f>
        <v>7.8130605447998658E-2</v>
      </c>
      <c r="H18" s="48">
        <f>IFERROR(HistoricalFS!H26,0)</f>
        <v>8.206839774331566E-2</v>
      </c>
      <c r="I18" s="48">
        <f>IFERROR(HistoricalFS!I26,0)</f>
        <v>9.4264230933596482E-2</v>
      </c>
      <c r="J18" s="48">
        <f>IFERROR(HistoricalFS!J26,0)</f>
        <v>8.9191478279219347E-2</v>
      </c>
      <c r="K18" s="48">
        <f>IFERROR(HistoricalFS!K26,0)</f>
        <v>7.1857611147098821E-2</v>
      </c>
      <c r="L18" s="48">
        <f>IFERROR(HistoricalFS!L26,0)</f>
        <v>6.2270839777984394E-2</v>
      </c>
      <c r="N18" s="48">
        <f t="shared" ref="N18:N23" si="4">IFERROR(AVERAGE(C18:L18),0)</f>
        <v>7.3017903198512063E-2</v>
      </c>
      <c r="O18" s="48">
        <f t="shared" ref="O18:O19" si="5">IFERROR(MEDIAN(C18:L18),0)</f>
        <v>7.2892541664808796E-2</v>
      </c>
    </row>
    <row r="19" spans="2:15" x14ac:dyDescent="0.35">
      <c r="B19" s="49" t="s">
        <v>181</v>
      </c>
      <c r="C19" s="50">
        <f>C13</f>
        <v>9.8229670900837146E-2</v>
      </c>
      <c r="D19" s="50">
        <f t="shared" ref="D19:L19" si="6">D13</f>
        <v>7.941702777851016E-2</v>
      </c>
      <c r="E19" s="50">
        <f t="shared" si="6"/>
        <v>4.3322300645279484E-2</v>
      </c>
      <c r="F19" s="50">
        <f t="shared" si="6"/>
        <v>3.3970412259310953E-2</v>
      </c>
      <c r="G19" s="50">
        <f t="shared" si="6"/>
        <v>3.5560233478087663E-3</v>
      </c>
      <c r="H19" s="50">
        <f t="shared" si="6"/>
        <v>-1.3170363258273456E-2</v>
      </c>
      <c r="I19" s="50">
        <f t="shared" si="6"/>
        <v>3.4991608110258483E-2</v>
      </c>
      <c r="J19" s="50">
        <f t="shared" si="6"/>
        <v>-4.1514992694289269E-4</v>
      </c>
      <c r="K19" s="50">
        <f t="shared" si="6"/>
        <v>2.0104346955433228E-2</v>
      </c>
      <c r="L19" s="50">
        <f t="shared" si="6"/>
        <v>7.3683863437114389E-2</v>
      </c>
      <c r="M19" s="49"/>
      <c r="N19" s="50">
        <f t="shared" si="4"/>
        <v>3.7368974024933624E-2</v>
      </c>
      <c r="O19" s="50">
        <f t="shared" si="5"/>
        <v>3.4481010184784722E-2</v>
      </c>
    </row>
    <row r="20" spans="2:15" x14ac:dyDescent="0.35">
      <c r="C20" s="48"/>
      <c r="N20" s="44"/>
      <c r="O20" s="44"/>
    </row>
    <row r="21" spans="2:15" x14ac:dyDescent="0.35">
      <c r="B21" s="46" t="s">
        <v>169</v>
      </c>
      <c r="C21" s="47">
        <f>IFERROR((HistoricalFS!C19-HistoricalFS!C25)/(SUM(HistoricalFS!C50:C52)),0)</f>
        <v>0.19904181268509033</v>
      </c>
      <c r="D21" s="47">
        <f>IFERROR((HistoricalFS!D19-HistoricalFS!D25)/(SUM(HistoricalFS!D50:D52)),0)</f>
        <v>0.1462081011853561</v>
      </c>
      <c r="E21" s="47">
        <f>IFERROR((HistoricalFS!E19-HistoricalFS!E25)/(SUM(HistoricalFS!E50:E52)),0)</f>
        <v>8.5490986154773282E-2</v>
      </c>
      <c r="F21" s="47">
        <f>IFERROR((HistoricalFS!F19-HistoricalFS!F25)/(SUM(HistoricalFS!F50:F52)),0)</f>
        <v>5.3716113570365424E-2</v>
      </c>
      <c r="G21" s="47">
        <f>IFERROR((HistoricalFS!G19-HistoricalFS!G25)/(SUM(HistoricalFS!G50:G52)),0)</f>
        <v>6.4542733637543747E-3</v>
      </c>
      <c r="H21" s="47">
        <f>IFERROR((HistoricalFS!H19-HistoricalFS!H25)/(SUM(HistoricalFS!H50:H52)),0)</f>
        <v>-1.8387082646096023E-2</v>
      </c>
      <c r="I21" s="47">
        <f>IFERROR((HistoricalFS!I19-HistoricalFS!I25)/(SUM(HistoricalFS!I50:I52)),0)</f>
        <v>4.4284324706251613E-2</v>
      </c>
      <c r="J21" s="47">
        <f>IFERROR((HistoricalFS!J19-HistoricalFS!J25)/(SUM(HistoricalFS!J50:J52)),0)</f>
        <v>-6.0520306054739361E-4</v>
      </c>
      <c r="K21" s="47">
        <f>IFERROR((HistoricalFS!K19-HistoricalFS!K25)/(SUM(HistoricalFS!K50:K52)),0)</f>
        <v>3.8762956416083731E-2</v>
      </c>
      <c r="L21" s="47">
        <f>IFERROR((HistoricalFS!L19-HistoricalFS!L25)/(SUM(HistoricalFS!L50:L52)),0)</f>
        <v>0.16790572738589757</v>
      </c>
      <c r="M21" s="46"/>
      <c r="N21" s="47">
        <f t="shared" si="4"/>
        <v>7.2287200976092911E-2</v>
      </c>
      <c r="O21" s="47">
        <f>IFERROR(MEDIAN(C21:L21),0)</f>
        <v>4.9000219138308515E-2</v>
      </c>
    </row>
    <row r="22" spans="2:15" x14ac:dyDescent="0.35">
      <c r="B22" t="s">
        <v>170</v>
      </c>
      <c r="C22" s="48">
        <f>IFERROR(HistoricalFS!C45,0)</f>
        <v>1</v>
      </c>
      <c r="D22" s="48">
        <f>IFERROR(HistoricalFS!D45,0)</f>
        <v>0.97014190548521417</v>
      </c>
      <c r="E22" s="48">
        <f>IFERROR(HistoricalFS!E45,0)</f>
        <v>1</v>
      </c>
      <c r="F22" s="48">
        <f>IFERROR(HistoricalFS!F45,0)</f>
        <v>1</v>
      </c>
      <c r="G22" s="48">
        <f>IFERROR(HistoricalFS!G45,0)</f>
        <v>0</v>
      </c>
      <c r="H22" s="48">
        <f>IFERROR(HistoricalFS!H45,0)</f>
        <v>0</v>
      </c>
      <c r="I22" s="48">
        <f>IFERROR(HistoricalFS!I45,0)</f>
        <v>0</v>
      </c>
      <c r="J22" s="48">
        <f>IFERROR(HistoricalFS!J45,0)</f>
        <v>0</v>
      </c>
      <c r="K22" s="48">
        <f>IFERROR(HistoricalFS!K45,0)</f>
        <v>-4.3503074332865026</v>
      </c>
      <c r="L22" s="48">
        <f>IFERROR(HistoricalFS!L45,0)</f>
        <v>0.2437404644865766</v>
      </c>
      <c r="N22" s="48">
        <f t="shared" si="4"/>
        <v>-1.3642506331471172E-2</v>
      </c>
      <c r="O22" s="48">
        <f t="shared" ref="O22:O25" si="7">IFERROR(MEDIAN(C22:L22),0)</f>
        <v>0.1218702322432883</v>
      </c>
    </row>
    <row r="23" spans="2:15" x14ac:dyDescent="0.35">
      <c r="B23" t="s">
        <v>171</v>
      </c>
      <c r="C23" s="48">
        <f>IFERROR(HistoricalFS!C34/SUM(HistoricalFS!C50:C51),0)</f>
        <v>0.2372052002491202</v>
      </c>
      <c r="D23" s="48">
        <f>IFERROR(HistoricalFS!D34/SUM(HistoricalFS!D50:D51),0)</f>
        <v>0.17441316864171685</v>
      </c>
      <c r="E23" s="48">
        <f>IFERROR(HistoricalFS!E34/SUM(HistoricalFS!E50:E51),0)</f>
        <v>7.2241189530689517E-2</v>
      </c>
      <c r="F23" s="48">
        <f>IFERROR(HistoricalFS!F34/SUM(HistoricalFS!F50:F51),0)</f>
        <v>9.2254980749341738E-3</v>
      </c>
      <c r="G23" s="48">
        <f>IFERROR(HistoricalFS!G34/SUM(HistoricalFS!G50:G51),0)</f>
        <v>-3.7345736658758885E-2</v>
      </c>
      <c r="H23" s="48">
        <f>IFERROR(HistoricalFS!H34/SUM(HistoricalFS!H50:H51),0)</f>
        <v>-0.1780542775131683</v>
      </c>
      <c r="I23" s="48">
        <f>IFERROR(HistoricalFS!I34/SUM(HistoricalFS!I50:I51),0)</f>
        <v>-3.4360591904822733E-2</v>
      </c>
      <c r="J23" s="48">
        <f>IFERROR(HistoricalFS!J34/SUM(HistoricalFS!J50:J51),0)</f>
        <v>-0.30651638060341208</v>
      </c>
      <c r="K23" s="48">
        <f>IFERROR(HistoricalFS!K34/SUM(HistoricalFS!K50:K51),0)</f>
        <v>-8.7686298356707396E-2</v>
      </c>
      <c r="L23" s="48">
        <f>IFERROR(HistoricalFS!L34/SUM(HistoricalFS!L50:L51),0)</f>
        <v>0.30775670464290195</v>
      </c>
      <c r="N23" s="48">
        <f t="shared" si="4"/>
        <v>1.5687847610249321E-2</v>
      </c>
      <c r="O23" s="48">
        <f t="shared" si="7"/>
        <v>-1.2567546914944279E-2</v>
      </c>
    </row>
    <row r="24" spans="2:15" x14ac:dyDescent="0.35">
      <c r="B24" t="s">
        <v>172</v>
      </c>
      <c r="C24" s="48">
        <f>IFERROR(C22*C23,0)</f>
        <v>0.2372052002491202</v>
      </c>
      <c r="D24" s="48">
        <f t="shared" ref="D24:L24" si="8">IFERROR(D22*D23,0)</f>
        <v>0.16920552376778919</v>
      </c>
      <c r="E24" s="48">
        <f t="shared" si="8"/>
        <v>7.2241189530689517E-2</v>
      </c>
      <c r="F24" s="48">
        <f t="shared" si="8"/>
        <v>9.2254980749341738E-3</v>
      </c>
      <c r="G24" s="48">
        <f t="shared" si="8"/>
        <v>0</v>
      </c>
      <c r="H24" s="48">
        <f t="shared" si="8"/>
        <v>0</v>
      </c>
      <c r="I24" s="48">
        <f t="shared" si="8"/>
        <v>0</v>
      </c>
      <c r="J24" s="48">
        <f t="shared" si="8"/>
        <v>0</v>
      </c>
      <c r="K24" s="48">
        <f t="shared" si="8"/>
        <v>0.38146235553856223</v>
      </c>
      <c r="L24" s="48">
        <f t="shared" si="8"/>
        <v>7.5012762138519082E-2</v>
      </c>
      <c r="N24" s="48">
        <f>IFERROR(AVERAGE(C24:L24),0)</f>
        <v>9.4435252929961438E-2</v>
      </c>
      <c r="O24" s="48">
        <f t="shared" si="7"/>
        <v>4.073334380281185E-2</v>
      </c>
    </row>
    <row r="25" spans="2:15" x14ac:dyDescent="0.35">
      <c r="B25" s="49" t="s">
        <v>173</v>
      </c>
      <c r="C25" s="52">
        <f>(HistoricalFS!C19-HistoricalFS!C25)/HistoricalFS!C22</f>
        <v>5.3173039541375138</v>
      </c>
      <c r="D25" s="52">
        <f>(HistoricalFS!D19-HistoricalFS!D25)/HistoricalFS!D22</f>
        <v>4.4352863933500721</v>
      </c>
      <c r="E25" s="52">
        <f>(HistoricalFS!E19-HistoricalFS!E25)/HistoricalFS!E22</f>
        <v>2.7568835373205922</v>
      </c>
      <c r="F25" s="52">
        <f>(HistoricalFS!F19-HistoricalFS!F25)/HistoricalFS!F22</f>
        <v>2.1154494328024094</v>
      </c>
      <c r="G25" s="52">
        <f>(HistoricalFS!G19-HistoricalFS!G25)/HistoricalFS!G22</f>
        <v>0.18645156808947008</v>
      </c>
      <c r="H25" s="52">
        <f>(HistoricalFS!H19-HistoricalFS!H25)/HistoricalFS!H22</f>
        <v>-0.47469326953211261</v>
      </c>
      <c r="I25" s="52">
        <f>(HistoricalFS!I19-HistoricalFS!I25)/HistoricalFS!I22</f>
        <v>1.079478385658198</v>
      </c>
      <c r="J25" s="52">
        <f>(HistoricalFS!J19-HistoricalFS!J25)/HistoricalFS!J22</f>
        <v>-1.2414275987824557E-2</v>
      </c>
      <c r="K25" s="52">
        <f>(HistoricalFS!K19-HistoricalFS!K25)/HistoricalFS!K22</f>
        <v>0.68020669934320532</v>
      </c>
      <c r="L25" s="52">
        <f>(HistoricalFS!L19-HistoricalFS!L25)/HistoricalFS!L22</f>
        <v>3.231422545705088</v>
      </c>
      <c r="M25" s="49"/>
      <c r="N25" s="52">
        <f>IFERROR(AVERAGE(C25:L25),0)</f>
        <v>1.9315374970886612</v>
      </c>
      <c r="O25" s="52">
        <f t="shared" si="7"/>
        <v>1.5974639092303038</v>
      </c>
    </row>
    <row r="26" spans="2:15" x14ac:dyDescent="0.35">
      <c r="N26" s="44"/>
      <c r="O26" s="44"/>
    </row>
    <row r="27" spans="2:15" x14ac:dyDescent="0.35">
      <c r="B27" s="46" t="s">
        <v>174</v>
      </c>
      <c r="C27" s="51">
        <f>IFERROR(HistoricalFS!C7/HistoricalFS!C62,0)</f>
        <v>20.92016821419486</v>
      </c>
      <c r="D27" s="51">
        <f>IFERROR(HistoricalFS!D7/HistoricalFS!D62,0)</f>
        <v>20.119918266350599</v>
      </c>
      <c r="E27" s="51">
        <f>IFERROR(HistoricalFS!E7/HistoricalFS!E62,0)</f>
        <v>19.160353236640844</v>
      </c>
      <c r="F27" s="51">
        <f>IFERROR(HistoricalFS!F7/HistoricalFS!F62,0)</f>
        <v>14.655712224718874</v>
      </c>
      <c r="G27" s="51">
        <f>IFERROR(HistoricalFS!G7/HistoricalFS!G62,0)</f>
        <v>15.894698773489607</v>
      </c>
      <c r="H27" s="51">
        <f>IFERROR(HistoricalFS!H7/HistoricalFS!H62,0)</f>
        <v>23.366617170976728</v>
      </c>
      <c r="I27" s="51">
        <f>IFERROR(HistoricalFS!I7/HistoricalFS!I62,0)</f>
        <v>19.701330853658153</v>
      </c>
      <c r="J27" s="51">
        <f>IFERROR(HistoricalFS!J7/HistoricalFS!J62,0)</f>
        <v>22.379917570317598</v>
      </c>
      <c r="K27" s="51">
        <f>IFERROR(HistoricalFS!K7/HistoricalFS!K62,0)</f>
        <v>21.982947610142858</v>
      </c>
      <c r="L27" s="51">
        <f>IFERROR(HistoricalFS!L7/HistoricalFS!L62,0)</f>
        <v>25.833687966063799</v>
      </c>
      <c r="M27" s="46"/>
      <c r="N27" s="51">
        <f t="shared" ref="N27:N40" si="9">IFERROR(AVERAGE(C27:L27),0)</f>
        <v>20.401535188655391</v>
      </c>
      <c r="O27" s="51">
        <f>IFERROR(MEDIAN(C27:L27),0)</f>
        <v>20.520043240272727</v>
      </c>
    </row>
    <row r="28" spans="2:15" x14ac:dyDescent="0.35">
      <c r="B28" t="s">
        <v>175</v>
      </c>
      <c r="C28" s="45">
        <f>IFERROR(HistoricalFS!C7/HistoricalFS!C53,0)</f>
        <v>2.4493010585757142</v>
      </c>
      <c r="D28" s="45">
        <f>IFERROR(HistoricalFS!D7/HistoricalFS!D53,0)</f>
        <v>2.3769603927858673</v>
      </c>
      <c r="E28" s="45">
        <f>IFERROR(HistoricalFS!E7/HistoricalFS!E53,0)</f>
        <v>1.9842807783040648</v>
      </c>
      <c r="F28" s="45">
        <f>IFERROR(HistoricalFS!F7/HistoricalFS!F53,0)</f>
        <v>2.0414780318629697</v>
      </c>
      <c r="G28" s="45">
        <f>IFERROR(HistoricalFS!G7/HistoricalFS!G53,0)</f>
        <v>2.1667847518227492</v>
      </c>
      <c r="H28" s="45">
        <f>IFERROR(HistoricalFS!H7/HistoricalFS!H53,0)</f>
        <v>1.9602534811345065</v>
      </c>
      <c r="I28" s="45">
        <f>IFERROR(HistoricalFS!I7/HistoricalFS!I53,0)</f>
        <v>1.7323684804395676</v>
      </c>
      <c r="J28" s="45">
        <f>IFERROR(HistoricalFS!J7/HistoricalFS!J53,0)</f>
        <v>2.0170312149360217</v>
      </c>
      <c r="K28" s="45">
        <f>IFERROR(HistoricalFS!K7/HistoricalFS!K53,0)</f>
        <v>2.2286057258733614</v>
      </c>
      <c r="L28" s="45">
        <f>IFERROR(HistoricalFS!L7/HistoricalFS!L53,0)</f>
        <v>2.4694234112546125</v>
      </c>
      <c r="N28" s="45">
        <f t="shared" si="9"/>
        <v>2.1426487326989436</v>
      </c>
      <c r="O28" s="45">
        <f t="shared" ref="O28:O31" si="10">IFERROR(MEDIAN(C28:L28),0)</f>
        <v>2.1041313918428592</v>
      </c>
    </row>
    <row r="29" spans="2:15" x14ac:dyDescent="0.35">
      <c r="B29" t="s">
        <v>47</v>
      </c>
      <c r="C29" s="45">
        <f>IFERROR(HistoricalFS!C7/HistoricalFS!C63,0)</f>
        <v>8.9900219797938927</v>
      </c>
      <c r="D29" s="45">
        <f>IFERROR(HistoricalFS!D7/HistoricalFS!D63,0)</f>
        <v>8.3613381173839922</v>
      </c>
      <c r="E29" s="45">
        <f>IFERROR(HistoricalFS!E7/HistoricalFS!E63,0)</f>
        <v>7.6867643466738649</v>
      </c>
      <c r="F29" s="45">
        <f>IFERROR(HistoricalFS!F7/HistoricalFS!F63,0)</f>
        <v>6.9190051742350009</v>
      </c>
      <c r="G29" s="45">
        <f>IFERROR(HistoricalFS!G7/HistoricalFS!G63,0)</f>
        <v>7.7392856309817084</v>
      </c>
      <c r="H29" s="45">
        <f>IFERROR(HistoricalFS!H7/HistoricalFS!H63,0)</f>
        <v>6.9698269049637886</v>
      </c>
      <c r="I29" s="45">
        <f>IFERROR(HistoricalFS!I7/HistoricalFS!I63,0)</f>
        <v>6.9217098811563442</v>
      </c>
      <c r="J29" s="45">
        <f>IFERROR(HistoricalFS!J7/HistoricalFS!J63,0)</f>
        <v>7.9015588385356104</v>
      </c>
      <c r="K29" s="45">
        <f>IFERROR(HistoricalFS!K7/HistoricalFS!K63,0)</f>
        <v>8.4888641723217457</v>
      </c>
      <c r="L29" s="45">
        <f>IFERROR(HistoricalFS!L7/HistoricalFS!L63,0)</f>
        <v>9.1639137956181322</v>
      </c>
      <c r="N29" s="45">
        <f t="shared" si="9"/>
        <v>7.9142288841664072</v>
      </c>
      <c r="O29" s="45">
        <f t="shared" si="10"/>
        <v>7.8204222347586594</v>
      </c>
    </row>
    <row r="30" spans="2:15" x14ac:dyDescent="0.35">
      <c r="B30" t="s">
        <v>176</v>
      </c>
      <c r="C30" s="45">
        <f>IFERROR(HistoricalFS!C7/HistoricalFS!C56,0)</f>
        <v>2.9742370802544178</v>
      </c>
      <c r="D30" s="45">
        <f>IFERROR(HistoricalFS!D7/HistoricalFS!D56,0)</f>
        <v>2.546312771514708</v>
      </c>
      <c r="E30" s="45">
        <f>IFERROR(HistoricalFS!E7/HistoricalFS!E56,0)</f>
        <v>2.8109343484246239</v>
      </c>
      <c r="F30" s="45">
        <f>IFERROR(HistoricalFS!F7/HistoricalFS!F56,0)</f>
        <v>2.4012948768781421</v>
      </c>
      <c r="G30" s="45">
        <f>IFERROR(HistoricalFS!G7/HistoricalFS!G56,0)</f>
        <v>2.7144319562092578</v>
      </c>
      <c r="H30" s="45">
        <f>IFERROR(HistoricalFS!H7/HistoricalFS!H56,0)</f>
        <v>2.0539205744067566</v>
      </c>
      <c r="I30" s="45">
        <f>IFERROR(HistoricalFS!I7/HistoricalFS!I56,0)</f>
        <v>1.8008727134726064</v>
      </c>
      <c r="J30" s="45">
        <f>IFERROR(HistoricalFS!J7/HistoricalFS!J56,0)</f>
        <v>2.0053488717943728</v>
      </c>
      <c r="K30" s="45">
        <f>IFERROR(HistoricalFS!K7/HistoricalFS!K56,0)</f>
        <v>2.6193791539294131</v>
      </c>
      <c r="L30" s="45">
        <f>IFERROR(HistoricalFS!L7/HistoricalFS!L56,0)</f>
        <v>3.6107194547475023</v>
      </c>
      <c r="N30" s="45">
        <f t="shared" si="9"/>
        <v>2.5537451801631801</v>
      </c>
      <c r="O30" s="45">
        <f t="shared" si="10"/>
        <v>2.5828459627220606</v>
      </c>
    </row>
    <row r="31" spans="2:15" x14ac:dyDescent="0.35">
      <c r="B31" s="49" t="s">
        <v>177</v>
      </c>
      <c r="C31" s="52">
        <f>IFERROR(HistoricalFS!C7/SUM(HistoricalFS!C50:C51),0)</f>
        <v>4.6773906756114965</v>
      </c>
      <c r="D31" s="52">
        <f>IFERROR(HistoricalFS!D7/SUM(HistoricalFS!D50:D51),0)</f>
        <v>3.4583567493379874</v>
      </c>
      <c r="E31" s="52">
        <f>IFERROR(HistoricalFS!E7/SUM(HistoricalFS!E50:E51),0)</f>
        <v>4.6449144180459854</v>
      </c>
      <c r="F31" s="52">
        <f>IFERROR(HistoricalFS!F7/SUM(HistoricalFS!F50:F51),0)</f>
        <v>3.0551908765475422</v>
      </c>
      <c r="G31" s="52">
        <f>IFERROR(HistoricalFS!G7/SUM(HistoricalFS!G50:G51),0)</f>
        <v>5.0172915853821474</v>
      </c>
      <c r="H31" s="52">
        <f>IFERROR(HistoricalFS!H7/SUM(HistoricalFS!H50:H51),0)</f>
        <v>4.196490075795241</v>
      </c>
      <c r="I31" s="52">
        <f>IFERROR(HistoricalFS!I7/SUM(HistoricalFS!I50:I51),0)</f>
        <v>4.5214403678625628</v>
      </c>
      <c r="J31" s="52">
        <f>IFERROR(HistoricalFS!J7/SUM(HistoricalFS!J50:J51),0)</f>
        <v>6.2487852671963351</v>
      </c>
      <c r="K31" s="52">
        <f>IFERROR(HistoricalFS!K7/SUM(HistoricalFS!K50:K51),0)</f>
        <v>7.6335680916398054</v>
      </c>
      <c r="L31" s="52">
        <f>IFERROR(HistoricalFS!L7/SUM(HistoricalFS!L50:L51),0)</f>
        <v>5.1570652495194773</v>
      </c>
      <c r="M31" s="49"/>
      <c r="N31" s="52">
        <f t="shared" si="9"/>
        <v>4.861049335693858</v>
      </c>
      <c r="O31" s="52">
        <f t="shared" si="10"/>
        <v>4.6611525468287409</v>
      </c>
    </row>
    <row r="32" spans="2:15" x14ac:dyDescent="0.35">
      <c r="C32" s="45"/>
      <c r="D32" s="45"/>
      <c r="E32" s="45"/>
      <c r="F32" s="45"/>
      <c r="G32" s="45"/>
      <c r="H32" s="45"/>
      <c r="I32" s="45"/>
      <c r="J32" s="45"/>
      <c r="K32" s="45"/>
      <c r="L32" s="45"/>
      <c r="N32" s="44"/>
      <c r="O32" s="44"/>
    </row>
    <row r="33" spans="2:15" x14ac:dyDescent="0.35">
      <c r="B33" s="46" t="s">
        <v>46</v>
      </c>
      <c r="C33" s="53">
        <f>IFERROR(365/C27,0)</f>
        <v>17.447278447423685</v>
      </c>
      <c r="D33" s="53">
        <f t="shared" ref="D33:L33" si="11">IFERROR(365/D27,0)</f>
        <v>18.141226776772818</v>
      </c>
      <c r="E33" s="53">
        <f t="shared" si="11"/>
        <v>19.049753180019717</v>
      </c>
      <c r="F33" s="53">
        <f t="shared" si="11"/>
        <v>24.904964999543136</v>
      </c>
      <c r="G33" s="53">
        <f t="shared" si="11"/>
        <v>22.963631157878556</v>
      </c>
      <c r="H33" s="53">
        <f t="shared" si="11"/>
        <v>15.620575170519771</v>
      </c>
      <c r="I33" s="53">
        <f t="shared" si="11"/>
        <v>18.52666719376608</v>
      </c>
      <c r="J33" s="53">
        <f t="shared" si="11"/>
        <v>16.309264717046954</v>
      </c>
      <c r="K33" s="53">
        <f t="shared" si="11"/>
        <v>16.603778823163378</v>
      </c>
      <c r="L33" s="53">
        <f t="shared" si="11"/>
        <v>14.128838301348189</v>
      </c>
      <c r="M33" s="46"/>
      <c r="N33" s="53">
        <f t="shared" si="9"/>
        <v>18.369597876748227</v>
      </c>
      <c r="O33" s="53">
        <f>IFERROR(MEDIAN(C33:L33),0)</f>
        <v>17.794252612098251</v>
      </c>
    </row>
    <row r="34" spans="2:15" x14ac:dyDescent="0.35">
      <c r="B34" t="s">
        <v>178</v>
      </c>
      <c r="C34" s="54">
        <f>IFERROR(365/C28,0)</f>
        <v>149.02210519283818</v>
      </c>
      <c r="D34" s="54">
        <f t="shared" ref="D34:L34" si="12">IFERROR(365/D28,0)</f>
        <v>153.55745981623585</v>
      </c>
      <c r="E34" s="54">
        <f t="shared" si="12"/>
        <v>183.94574194885871</v>
      </c>
      <c r="F34" s="54">
        <f t="shared" si="12"/>
        <v>178.79202925682029</v>
      </c>
      <c r="G34" s="54">
        <f t="shared" si="12"/>
        <v>168.45235766633192</v>
      </c>
      <c r="H34" s="54">
        <f t="shared" si="12"/>
        <v>186.20040903524091</v>
      </c>
      <c r="I34" s="54">
        <f t="shared" si="12"/>
        <v>210.69420514242194</v>
      </c>
      <c r="J34" s="54">
        <f t="shared" si="12"/>
        <v>180.95902398395825</v>
      </c>
      <c r="K34" s="54">
        <f t="shared" si="12"/>
        <v>163.77953074537726</v>
      </c>
      <c r="L34" s="54">
        <f t="shared" si="12"/>
        <v>147.8077831191203</v>
      </c>
      <c r="N34" s="54">
        <f t="shared" si="9"/>
        <v>172.32106459072037</v>
      </c>
      <c r="O34" s="54">
        <f t="shared" ref="O34:O36" si="13">IFERROR(MEDIAN(C34:L34),0)</f>
        <v>173.6221934615761</v>
      </c>
    </row>
    <row r="35" spans="2:15" x14ac:dyDescent="0.35">
      <c r="B35" t="s">
        <v>179</v>
      </c>
      <c r="C35" s="54">
        <f>IFERROR(365/C29,0)</f>
        <v>40.600568143256986</v>
      </c>
      <c r="D35" s="54">
        <f t="shared" ref="D35:L35" si="14">IFERROR(365/D29,0)</f>
        <v>43.653299851746382</v>
      </c>
      <c r="E35" s="54">
        <f t="shared" si="14"/>
        <v>47.484218786795374</v>
      </c>
      <c r="F35" s="54">
        <f t="shared" si="14"/>
        <v>52.753248596949661</v>
      </c>
      <c r="G35" s="54">
        <f t="shared" si="14"/>
        <v>47.161975588398164</v>
      </c>
      <c r="H35" s="54">
        <f t="shared" si="14"/>
        <v>52.368588915752468</v>
      </c>
      <c r="I35" s="54">
        <f t="shared" si="14"/>
        <v>52.732634893247351</v>
      </c>
      <c r="J35" s="54">
        <f t="shared" si="14"/>
        <v>46.193416698982041</v>
      </c>
      <c r="K35" s="54">
        <f t="shared" si="14"/>
        <v>42.997507392107408</v>
      </c>
      <c r="L35" s="54">
        <f t="shared" si="14"/>
        <v>39.830143336194453</v>
      </c>
      <c r="N35" s="54">
        <f t="shared" si="9"/>
        <v>46.577560220343024</v>
      </c>
      <c r="O35" s="54">
        <f t="shared" si="13"/>
        <v>46.677696143690099</v>
      </c>
    </row>
    <row r="36" spans="2:15" x14ac:dyDescent="0.35">
      <c r="B36" s="49" t="s">
        <v>185</v>
      </c>
      <c r="C36" s="55">
        <f>SUM(C33,C35)-C34</f>
        <v>-90.974258602157505</v>
      </c>
      <c r="D36" s="55">
        <f t="shared" ref="D36:L36" si="15">SUM(D33,D35)-D34</f>
        <v>-91.762933187716641</v>
      </c>
      <c r="E36" s="55">
        <f t="shared" si="15"/>
        <v>-117.41176998204362</v>
      </c>
      <c r="F36" s="55">
        <f t="shared" si="15"/>
        <v>-101.13381566032749</v>
      </c>
      <c r="G36" s="55">
        <f t="shared" si="15"/>
        <v>-98.326750920055204</v>
      </c>
      <c r="H36" s="55">
        <f t="shared" si="15"/>
        <v>-118.21124494896867</v>
      </c>
      <c r="I36" s="55">
        <f t="shared" si="15"/>
        <v>-139.43490305540851</v>
      </c>
      <c r="J36" s="55">
        <f t="shared" si="15"/>
        <v>-118.45634256792925</v>
      </c>
      <c r="K36" s="55">
        <f t="shared" si="15"/>
        <v>-104.17824453010647</v>
      </c>
      <c r="L36" s="55">
        <f t="shared" si="15"/>
        <v>-93.848801481577652</v>
      </c>
      <c r="M36" s="49"/>
      <c r="N36" s="55">
        <f t="shared" si="9"/>
        <v>-107.37390649362911</v>
      </c>
      <c r="O36" s="55">
        <f t="shared" si="13"/>
        <v>-102.65603009521698</v>
      </c>
    </row>
    <row r="37" spans="2:15" x14ac:dyDescent="0.35">
      <c r="N37" s="44"/>
      <c r="O37" s="44"/>
    </row>
    <row r="38" spans="2:15" x14ac:dyDescent="0.35">
      <c r="B38" s="46" t="s">
        <v>182</v>
      </c>
      <c r="C38" s="47">
        <f>IFERROR(HistoricalFS!C81/HistoricalFS!C7,0)</f>
        <v>0.12106750071762705</v>
      </c>
      <c r="D38" s="47">
        <f>IFERROR(HistoricalFS!D81/HistoricalFS!D7,0)</f>
        <v>0.14360971207739662</v>
      </c>
      <c r="E38" s="47">
        <f>IFERROR(HistoricalFS!E81/HistoricalFS!E7,0)</f>
        <v>0.12404497255040564</v>
      </c>
      <c r="F38" s="47">
        <f>IFERROR(HistoricalFS!F81/HistoricalFS!F7,0)</f>
        <v>5.9759805574664121E-2</v>
      </c>
      <c r="G38" s="47">
        <f>IFERROR(HistoricalFS!G81/HistoricalFS!G7,0)</f>
        <v>3.8653579670555313E-2</v>
      </c>
      <c r="H38" s="47">
        <f>IFERROR(HistoricalFS!H81/HistoricalFS!H7,0)</f>
        <v>0.12141665635964458</v>
      </c>
      <c r="I38" s="47">
        <f>IFERROR(HistoricalFS!I81/HistoricalFS!I7,0)</f>
        <v>0.11572300859005244</v>
      </c>
      <c r="J38" s="47">
        <f>IFERROR(HistoricalFS!J81/HistoricalFS!J7,0)</f>
        <v>1.2684338598291522E-2</v>
      </c>
      <c r="K38" s="47">
        <f>IFERROR(HistoricalFS!K81/HistoricalFS!K7,0)</f>
        <v>9.3248786148573667E-2</v>
      </c>
      <c r="L38" s="47">
        <f>IFERROR(HistoricalFS!L81/HistoricalFS!L7,0)</f>
        <v>0.17181143821959496</v>
      </c>
      <c r="M38" s="46"/>
      <c r="N38" s="47">
        <f t="shared" si="9"/>
        <v>0.10020197985068061</v>
      </c>
      <c r="O38" s="47">
        <f>IFERROR(MEDIAN(C38:L38),0)</f>
        <v>0.11839525465383974</v>
      </c>
    </row>
    <row r="39" spans="2:15" x14ac:dyDescent="0.35">
      <c r="B39" t="s">
        <v>183</v>
      </c>
      <c r="C39" s="48">
        <f>IFERROR(HistoricalFS!C81/HistoricalFS!C67,0)</f>
        <v>0.1342520624188657</v>
      </c>
      <c r="D39" s="48">
        <f>IFERROR(HistoricalFS!D81/HistoricalFS!D67,0)</f>
        <v>0.14899075217760099</v>
      </c>
      <c r="E39" s="48">
        <f>IFERROR(HistoricalFS!E81/HistoricalFS!E67,0)</f>
        <v>0.12273077928285075</v>
      </c>
      <c r="F39" s="48">
        <f>IFERROR(HistoricalFS!F81/HistoricalFS!F67,0)</f>
        <v>5.3250110386320486E-2</v>
      </c>
      <c r="G39" s="48">
        <f>IFERROR(HistoricalFS!G81/HistoricalFS!G67,0)</f>
        <v>3.8177516390146542E-2</v>
      </c>
      <c r="H39" s="48">
        <f>IFERROR(HistoricalFS!H81/HistoricalFS!H67,0)</f>
        <v>9.9000750797857404E-2</v>
      </c>
      <c r="I39" s="48">
        <f>IFERROR(HistoricalFS!I81/HistoricalFS!I67,0)</f>
        <v>8.4629819997903213E-2</v>
      </c>
      <c r="J39" s="48">
        <f>IFERROR(HistoricalFS!J81/HistoricalFS!J67,0)</f>
        <v>1.073355621163692E-2</v>
      </c>
      <c r="K39" s="48">
        <f>IFERROR(HistoricalFS!K81/HistoricalFS!K67,0)</f>
        <v>9.639517425935408E-2</v>
      </c>
      <c r="L39" s="48">
        <f>IFERROR(HistoricalFS!L81/HistoricalFS!L67,0)</f>
        <v>0.2036178712738107</v>
      </c>
      <c r="N39" s="48">
        <f t="shared" si="9"/>
        <v>9.9177839319634684E-2</v>
      </c>
      <c r="O39" s="48">
        <f t="shared" ref="O39:O40" si="16">IFERROR(MEDIAN(C39:L39),0)</f>
        <v>9.7697962528605742E-2</v>
      </c>
    </row>
    <row r="40" spans="2:15" x14ac:dyDescent="0.35">
      <c r="B40" s="49" t="s">
        <v>184</v>
      </c>
      <c r="C40" s="50">
        <f>IFERROR(HistoricalFS!C81/HistoricalFS!C52,0)</f>
        <v>0.43281933433581865</v>
      </c>
      <c r="D40" s="50">
        <f>IFERROR(HistoricalFS!D81/HistoricalFS!D52,0)</f>
        <v>0.56534057978118779</v>
      </c>
      <c r="E40" s="50">
        <f>IFERROR(HistoricalFS!E81/HistoricalFS!E52,0)</f>
        <v>0.42560185883717339</v>
      </c>
      <c r="F40" s="50">
        <f>IFERROR(HistoricalFS!F81/HistoricalFS!F52,0)</f>
        <v>0.19587305159826587</v>
      </c>
      <c r="G40" s="50">
        <f>IFERROR(HistoricalFS!G81/HistoricalFS!G52,0)</f>
        <v>0.1099219460940742</v>
      </c>
      <c r="H40" s="50">
        <f>IFERROR(HistoricalFS!H81/HistoricalFS!H52,0)</f>
        <v>0.25401554192386361</v>
      </c>
      <c r="I40" s="50">
        <f>IFERROR(HistoricalFS!I81/HistoricalFS!I52,0)</f>
        <v>0.20338341005738594</v>
      </c>
      <c r="J40" s="50">
        <f>IFERROR(HistoricalFS!J81/HistoricalFS!J52,0)</f>
        <v>2.4117605968438302E-2</v>
      </c>
      <c r="K40" s="50">
        <f>IFERROR(HistoricalFS!K81/HistoricalFS!K52,0)</f>
        <v>0.24055008953614193</v>
      </c>
      <c r="L40" s="50">
        <f>IFERROR(HistoricalFS!L81/HistoricalFS!L52,0)</f>
        <v>0.70146602960027971</v>
      </c>
      <c r="M40" s="49"/>
      <c r="N40" s="50">
        <f t="shared" si="9"/>
        <v>0.31530894477326293</v>
      </c>
      <c r="O40" s="50">
        <f t="shared" si="16"/>
        <v>0.24728281573000277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7291B010-3276-4B5C-A6E5-2D37ABCF3DFE}">
          <x14:colorSeries theme="7" tint="0.39997558519241921"/>
          <x14:colorNegative theme="0" tint="-0.499984740745262"/>
          <x14:colorAxis rgb="FF000000"/>
          <x14:colorMarkers theme="1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  <x14:sparklineGroup displayEmptyCellsAs="gap" markers="1" xr2:uid="{6705CB59-DC38-46E3-925E-F8794C9CAB03}">
          <x14:colorSeries theme="7" tint="0.39997558519241921"/>
          <x14:colorNegative theme="0" tint="-0.499984740745262"/>
          <x14:colorAxis rgb="FF000000"/>
          <x14:colorMarkers theme="1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184C-E023-4600-BFFB-CB0FB7D79C31}">
  <dimension ref="B2:R21"/>
  <sheetViews>
    <sheetView showGridLines="0" workbookViewId="0">
      <selection activeCell="G27" sqref="G27"/>
    </sheetView>
  </sheetViews>
  <sheetFormatPr defaultRowHeight="14.5" x14ac:dyDescent="0.35"/>
  <cols>
    <col min="1" max="1" width="1.81640625" customWidth="1"/>
    <col min="2" max="2" width="10.54296875" bestFit="1" customWidth="1"/>
    <col min="4" max="4" width="9.26953125" bestFit="1" customWidth="1"/>
    <col min="5" max="5" width="11.7265625" bestFit="1" customWidth="1"/>
    <col min="6" max="6" width="2.6328125" customWidth="1"/>
    <col min="7" max="7" width="10.54296875" bestFit="1" customWidth="1"/>
    <col min="10" max="10" width="11.7265625" bestFit="1" customWidth="1"/>
    <col min="11" max="11" width="2.6328125" customWidth="1"/>
    <col min="12" max="12" width="9.7265625" customWidth="1"/>
    <col min="13" max="13" width="10.36328125" customWidth="1"/>
    <col min="14" max="14" width="10.1796875" customWidth="1"/>
    <col min="15" max="15" width="14.90625" customWidth="1"/>
  </cols>
  <sheetData>
    <row r="2" spans="2:18" x14ac:dyDescent="0.35">
      <c r="B2" s="68" t="str">
        <f>'Data Sheet'!$B$1&amp;" - "&amp;'Data Sheet'!A17&amp;" Forecasting"</f>
        <v>TATA MOTORS LTD - Sales Forecasting</v>
      </c>
      <c r="C2" s="68"/>
      <c r="D2" s="68"/>
      <c r="E2" s="68"/>
      <c r="G2" s="68" t="str">
        <f>'Data Sheet'!$B$1&amp;" - "&amp;'Data Sheet'!A32&amp;" Forecasting"</f>
        <v>TATA MOTORS LTD - EBIDTA Forecasting</v>
      </c>
      <c r="H2" s="68"/>
      <c r="I2" s="68"/>
      <c r="J2" s="68"/>
      <c r="L2" s="68" t="str">
        <f>'Data Sheet'!$B$1&amp;" - "&amp;HistoricalFS!B39&amp;" Forecasting"</f>
        <v>TATA MOTORS LTD - Earning per share Forecasting</v>
      </c>
      <c r="M2" s="68"/>
      <c r="N2" s="68"/>
      <c r="O2" s="68"/>
    </row>
    <row r="3" spans="2:18" x14ac:dyDescent="0.35">
      <c r="B3" s="56" t="s">
        <v>189</v>
      </c>
      <c r="C3" s="57" t="s">
        <v>190</v>
      </c>
      <c r="D3" s="57" t="s">
        <v>6</v>
      </c>
      <c r="E3" s="57" t="s">
        <v>22</v>
      </c>
      <c r="G3" s="56" t="s">
        <v>189</v>
      </c>
      <c r="H3" s="57" t="s">
        <v>190</v>
      </c>
      <c r="I3" s="57" t="s">
        <v>6</v>
      </c>
      <c r="J3" s="57" t="s">
        <v>22</v>
      </c>
      <c r="L3" s="56" t="s">
        <v>189</v>
      </c>
      <c r="M3" s="57" t="s">
        <v>190</v>
      </c>
      <c r="N3" s="57" t="s">
        <v>6</v>
      </c>
      <c r="O3" s="57" t="s">
        <v>22</v>
      </c>
    </row>
    <row r="4" spans="2:18" x14ac:dyDescent="0.35">
      <c r="B4" s="20">
        <v>1</v>
      </c>
      <c r="C4" s="59">
        <f>'Data Sheet'!$B$16</f>
        <v>42094</v>
      </c>
      <c r="D4" s="60">
        <f t="array" ref="D4:D13">TRANSPOSE('Data Sheet'!B17:K17)</f>
        <v>263158.98</v>
      </c>
      <c r="G4" s="20">
        <v>1</v>
      </c>
      <c r="H4" s="59">
        <f>'Data Sheet'!$B$16</f>
        <v>42094</v>
      </c>
      <c r="I4" s="60">
        <f t="array" ref="I4:I13">TRANSPOSE('Data Sheet'!B32:K32)</f>
        <v>39879.32</v>
      </c>
      <c r="L4" s="20">
        <v>1</v>
      </c>
      <c r="M4" s="59">
        <f>'Data Sheet'!$B$16</f>
        <v>42094</v>
      </c>
      <c r="N4" s="60">
        <f t="array" ref="N4:N13">TRANSPOSE(HistoricalFS!C39:L39)</f>
        <v>46.220198102098706</v>
      </c>
    </row>
    <row r="5" spans="2:18" x14ac:dyDescent="0.35">
      <c r="B5" s="20">
        <f>B4+1</f>
        <v>2</v>
      </c>
      <c r="C5" s="59">
        <f>C4+365</f>
        <v>42459</v>
      </c>
      <c r="D5" s="60">
        <v>273045.59999999998</v>
      </c>
      <c r="E5" s="44">
        <f>D5/D4-1</f>
        <v>3.75690010654397E-2</v>
      </c>
      <c r="G5" s="20">
        <f>G4+1</f>
        <v>2</v>
      </c>
      <c r="H5" s="59">
        <f>H4+365</f>
        <v>42459</v>
      </c>
      <c r="I5" s="60">
        <v>36204.22</v>
      </c>
      <c r="J5" s="44">
        <f>I5/I4-1</f>
        <v>-9.215553324379655E-2</v>
      </c>
      <c r="L5" s="20">
        <f>L4+1</f>
        <v>2</v>
      </c>
      <c r="M5" s="59">
        <f>M4+365</f>
        <v>42459</v>
      </c>
      <c r="N5" s="60">
        <v>47.694444444444336</v>
      </c>
      <c r="O5" s="44">
        <f>N5/N4-1</f>
        <v>3.189614936502605E-2</v>
      </c>
    </row>
    <row r="6" spans="2:18" x14ac:dyDescent="0.35">
      <c r="B6" s="20">
        <f t="shared" ref="B6:B18" si="0">B5+1</f>
        <v>3</v>
      </c>
      <c r="C6" s="59">
        <f t="shared" ref="C6:C18" si="1">C5+365</f>
        <v>42824</v>
      </c>
      <c r="D6" s="60">
        <v>269692.51</v>
      </c>
      <c r="E6" s="44">
        <f t="shared" ref="E6:E18" si="2">D6/D5-1</f>
        <v>-1.2280329732469508E-2</v>
      </c>
      <c r="G6" s="20">
        <f t="shared" ref="G6" si="3">G5+1</f>
        <v>3</v>
      </c>
      <c r="H6" s="59">
        <f t="shared" ref="H6:H18" si="4">H5+365</f>
        <v>42824</v>
      </c>
      <c r="I6" s="60">
        <v>32848.590000000004</v>
      </c>
      <c r="J6" s="44">
        <f t="shared" ref="J6:J18" si="5">I6/I5-1</f>
        <v>-9.2686156475681458E-2</v>
      </c>
      <c r="L6" s="20">
        <f t="shared" ref="L6" si="6">L5+1</f>
        <v>3</v>
      </c>
      <c r="M6" s="59">
        <f t="shared" ref="M6:M18" si="7">M5+365</f>
        <v>42824</v>
      </c>
      <c r="N6" s="60">
        <v>14.527274616423808</v>
      </c>
      <c r="O6" s="44">
        <f t="shared" ref="O6:O18" si="8">N6/N5-1</f>
        <v>-0.69540950134463697</v>
      </c>
    </row>
    <row r="7" spans="2:18" x14ac:dyDescent="0.35">
      <c r="B7" s="20">
        <f t="shared" si="0"/>
        <v>4</v>
      </c>
      <c r="C7" s="59">
        <f t="shared" si="1"/>
        <v>43189</v>
      </c>
      <c r="D7" s="60">
        <v>291550.48</v>
      </c>
      <c r="E7" s="44">
        <f t="shared" si="2"/>
        <v>8.104774581985974E-2</v>
      </c>
      <c r="G7" s="20">
        <f t="shared" ref="G7" si="9">G6+1</f>
        <v>4</v>
      </c>
      <c r="H7" s="59">
        <f t="shared" si="4"/>
        <v>43189</v>
      </c>
      <c r="I7" s="60">
        <v>39566.22</v>
      </c>
      <c r="J7" s="44">
        <f t="shared" si="5"/>
        <v>0.20450284167448274</v>
      </c>
      <c r="L7" s="20">
        <f t="shared" ref="L7" si="10">L6+1</f>
        <v>4</v>
      </c>
      <c r="M7" s="59">
        <f t="shared" si="7"/>
        <v>43189</v>
      </c>
      <c r="N7" s="60">
        <v>3.049111626779315</v>
      </c>
      <c r="O7" s="44">
        <f t="shared" si="8"/>
        <v>-0.79011124197155724</v>
      </c>
    </row>
    <row r="8" spans="2:18" x14ac:dyDescent="0.35">
      <c r="B8" s="20">
        <f t="shared" si="0"/>
        <v>5</v>
      </c>
      <c r="C8" s="59">
        <f t="shared" si="1"/>
        <v>43554</v>
      </c>
      <c r="D8" s="60">
        <v>301938.40000000002</v>
      </c>
      <c r="E8" s="44">
        <f t="shared" si="2"/>
        <v>3.5629919045237157E-2</v>
      </c>
      <c r="G8" s="20">
        <f t="shared" ref="G8" si="11">G7+1</f>
        <v>5</v>
      </c>
      <c r="H8" s="59">
        <f t="shared" si="4"/>
        <v>43554</v>
      </c>
      <c r="I8" s="60">
        <v>-1914.4500000000007</v>
      </c>
      <c r="J8" s="44">
        <f t="shared" si="5"/>
        <v>-1.0483859716697728</v>
      </c>
      <c r="L8" s="20">
        <f t="shared" ref="L8" si="12">L7+1</f>
        <v>5</v>
      </c>
      <c r="M8" s="59">
        <f t="shared" si="7"/>
        <v>43554</v>
      </c>
      <c r="N8" s="60">
        <v>-7.7839157690575265</v>
      </c>
      <c r="O8" s="44">
        <f t="shared" si="8"/>
        <v>-3.5528470983790919</v>
      </c>
    </row>
    <row r="9" spans="2:18" x14ac:dyDescent="0.35">
      <c r="B9" s="20">
        <f t="shared" si="0"/>
        <v>6</v>
      </c>
      <c r="C9" s="59">
        <f t="shared" si="1"/>
        <v>43919</v>
      </c>
      <c r="D9" s="60">
        <v>261067.97</v>
      </c>
      <c r="E9" s="44">
        <f t="shared" si="2"/>
        <v>-0.135360159555724</v>
      </c>
      <c r="G9" s="20">
        <f t="shared" ref="G9" si="13">G8+1</f>
        <v>6</v>
      </c>
      <c r="H9" s="59">
        <f t="shared" si="4"/>
        <v>43919</v>
      </c>
      <c r="I9" s="60">
        <v>16993.16</v>
      </c>
      <c r="J9" s="44">
        <f t="shared" si="5"/>
        <v>-9.8762621118336824</v>
      </c>
      <c r="L9" s="20">
        <f t="shared" ref="L9" si="14">L8+1</f>
        <v>6</v>
      </c>
      <c r="M9" s="59">
        <f t="shared" si="7"/>
        <v>43919</v>
      </c>
      <c r="N9" s="60">
        <v>-35.859307219164904</v>
      </c>
      <c r="O9" s="44">
        <f t="shared" si="8"/>
        <v>3.6068467700681115</v>
      </c>
    </row>
    <row r="10" spans="2:18" x14ac:dyDescent="0.35">
      <c r="B10" s="20">
        <f t="shared" si="0"/>
        <v>7</v>
      </c>
      <c r="C10" s="59">
        <f t="shared" si="1"/>
        <v>44284</v>
      </c>
      <c r="D10" s="60">
        <v>249794.75</v>
      </c>
      <c r="E10" s="44">
        <f t="shared" si="2"/>
        <v>-4.3181168490336042E-2</v>
      </c>
      <c r="G10" s="20">
        <f t="shared" ref="G10" si="15">G9+1</f>
        <v>7</v>
      </c>
      <c r="H10" s="59">
        <f t="shared" si="4"/>
        <v>44284</v>
      </c>
      <c r="I10" s="60">
        <v>20734.349999999999</v>
      </c>
      <c r="J10" s="44">
        <f t="shared" si="5"/>
        <v>0.22015858145277267</v>
      </c>
      <c r="L10" s="20">
        <f t="shared" ref="L10" si="16">L9+1</f>
        <v>7</v>
      </c>
      <c r="M10" s="59">
        <f t="shared" si="7"/>
        <v>44284</v>
      </c>
      <c r="N10" s="60">
        <v>-5.7172845827184542</v>
      </c>
      <c r="O10" s="44">
        <f t="shared" si="8"/>
        <v>-0.84056344011958861</v>
      </c>
    </row>
    <row r="11" spans="2:18" x14ac:dyDescent="0.35">
      <c r="B11" s="20">
        <f t="shared" si="0"/>
        <v>8</v>
      </c>
      <c r="C11" s="59">
        <f t="shared" si="1"/>
        <v>44649</v>
      </c>
      <c r="D11" s="60">
        <v>278453.62</v>
      </c>
      <c r="E11" s="44">
        <f t="shared" si="2"/>
        <v>0.11472967306158344</v>
      </c>
      <c r="G11" s="20">
        <f t="shared" ref="G11" si="17">G10+1</f>
        <v>8</v>
      </c>
      <c r="H11" s="59">
        <f t="shared" si="4"/>
        <v>44649</v>
      </c>
      <c r="I11" s="60">
        <v>26937.37</v>
      </c>
      <c r="J11" s="44">
        <f t="shared" si="5"/>
        <v>0.29916635920585888</v>
      </c>
      <c r="L11" s="20">
        <f t="shared" ref="L11" si="18">L10+1</f>
        <v>8</v>
      </c>
      <c r="M11" s="59">
        <f t="shared" si="7"/>
        <v>44649</v>
      </c>
      <c r="N11" s="60">
        <v>-41.132140813683833</v>
      </c>
      <c r="O11" s="44">
        <f t="shared" si="8"/>
        <v>6.194349033807641</v>
      </c>
    </row>
    <row r="12" spans="2:18" x14ac:dyDescent="0.35">
      <c r="B12" s="20">
        <f t="shared" si="0"/>
        <v>9</v>
      </c>
      <c r="C12" s="59">
        <f t="shared" si="1"/>
        <v>45014</v>
      </c>
      <c r="D12" s="60">
        <v>345966.97</v>
      </c>
      <c r="E12" s="44">
        <f t="shared" si="2"/>
        <v>0.24245815155859707</v>
      </c>
      <c r="G12" s="20">
        <f t="shared" ref="G12" si="19">G11+1</f>
        <v>9</v>
      </c>
      <c r="H12" s="59">
        <f t="shared" si="4"/>
        <v>45014</v>
      </c>
      <c r="I12" s="60">
        <v>38204.19</v>
      </c>
      <c r="J12" s="44">
        <f t="shared" si="5"/>
        <v>0.41825983754167551</v>
      </c>
      <c r="L12" s="20">
        <f t="shared" ref="L12" si="20">L11+1</f>
        <v>9</v>
      </c>
      <c r="M12" s="59">
        <f t="shared" si="7"/>
        <v>45014</v>
      </c>
      <c r="N12" s="60">
        <v>-11.965495438533218</v>
      </c>
      <c r="O12" s="44">
        <f t="shared" si="8"/>
        <v>-0.70909621522659627</v>
      </c>
    </row>
    <row r="13" spans="2:18" x14ac:dyDescent="0.35">
      <c r="B13" s="20">
        <f t="shared" si="0"/>
        <v>10</v>
      </c>
      <c r="C13" s="59">
        <f t="shared" si="1"/>
        <v>45379</v>
      </c>
      <c r="D13" s="60">
        <v>437927.77</v>
      </c>
      <c r="E13" s="44">
        <f t="shared" si="2"/>
        <v>0.26580803363974326</v>
      </c>
      <c r="G13" s="20">
        <f t="shared" ref="G13" si="21">G12+1</f>
        <v>10</v>
      </c>
      <c r="H13" s="59">
        <f t="shared" si="4"/>
        <v>45379</v>
      </c>
      <c r="I13" s="60">
        <v>64803.34</v>
      </c>
      <c r="J13" s="44">
        <f t="shared" si="5"/>
        <v>0.69623645992756278</v>
      </c>
      <c r="L13" s="20">
        <f t="shared" ref="L13" si="22">L12+1</f>
        <v>10</v>
      </c>
      <c r="M13" s="59">
        <f t="shared" si="7"/>
        <v>45379</v>
      </c>
      <c r="N13" s="60">
        <v>78.629509281824596</v>
      </c>
      <c r="O13" s="44">
        <f t="shared" si="8"/>
        <v>-7.5713542482001346</v>
      </c>
    </row>
    <row r="14" spans="2:18" x14ac:dyDescent="0.35">
      <c r="B14" s="61">
        <f t="shared" si="0"/>
        <v>11</v>
      </c>
      <c r="C14" s="62">
        <f t="shared" si="1"/>
        <v>45744</v>
      </c>
      <c r="D14" s="63">
        <f>FORECAST(B14,$D$4:$D$13,$B$4:$B$13)</f>
        <v>362627.59266666661</v>
      </c>
      <c r="E14" s="64">
        <f t="shared" si="2"/>
        <v>-0.17194656857073354</v>
      </c>
      <c r="G14" s="61">
        <f t="shared" ref="G14" si="23">G13+1</f>
        <v>11</v>
      </c>
      <c r="H14" s="62">
        <f t="shared" si="4"/>
        <v>45744</v>
      </c>
      <c r="I14" s="63">
        <f>FORECAST(G14,$I$4:$I$13,$G$4:$G$13)</f>
        <v>37131.360000000001</v>
      </c>
      <c r="J14" s="64">
        <f>I14/I13-1</f>
        <v>-0.4270147186857961</v>
      </c>
      <c r="L14" s="61">
        <f t="shared" ref="L14" si="24">L13+1</f>
        <v>11</v>
      </c>
      <c r="M14" s="62">
        <f t="shared" si="7"/>
        <v>45744</v>
      </c>
      <c r="N14" s="65">
        <f>FORECAST(L14,$N$4:$N$13,$L$4:$L$13)</f>
        <v>-6.520675101573687</v>
      </c>
      <c r="O14" s="64">
        <f>N14/N13-1</f>
        <v>-1.082929108436913</v>
      </c>
      <c r="R14" t="s">
        <v>191</v>
      </c>
    </row>
    <row r="15" spans="2:18" x14ac:dyDescent="0.35">
      <c r="B15" s="61">
        <f t="shared" si="0"/>
        <v>12</v>
      </c>
      <c r="C15" s="62">
        <f t="shared" si="1"/>
        <v>46109</v>
      </c>
      <c r="D15" s="63">
        <f t="shared" ref="D15:D18" si="25">FORECAST(B15,$D$4:$D$13,$B$4:$B$13)</f>
        <v>374512.66315151507</v>
      </c>
      <c r="E15" s="64">
        <f t="shared" si="2"/>
        <v>3.2774865247977569E-2</v>
      </c>
      <c r="G15" s="61">
        <f t="shared" ref="G15" si="26">G14+1</f>
        <v>12</v>
      </c>
      <c r="H15" s="62">
        <f t="shared" si="4"/>
        <v>46109</v>
      </c>
      <c r="I15" s="63">
        <f t="shared" ref="I15:I18" si="27">FORECAST(G15,$I$4:$I$13,$G$4:$G$13)</f>
        <v>38168.765272727273</v>
      </c>
      <c r="J15" s="64">
        <f t="shared" si="5"/>
        <v>2.7938790088143151E-2</v>
      </c>
      <c r="L15" s="61">
        <f t="shared" ref="L15" si="28">L14+1</f>
        <v>12</v>
      </c>
      <c r="M15" s="62">
        <f t="shared" si="7"/>
        <v>46109</v>
      </c>
      <c r="N15" s="65">
        <f t="shared" ref="N15:N18" si="29">FORECAST(L15,$N$4:$N$13,$L$4:$L$13)</f>
        <v>-9.3001141063764052</v>
      </c>
      <c r="O15" s="64">
        <f t="shared" si="8"/>
        <v>0.42625019058715763</v>
      </c>
    </row>
    <row r="16" spans="2:18" x14ac:dyDescent="0.35">
      <c r="B16" s="61">
        <f t="shared" si="0"/>
        <v>13</v>
      </c>
      <c r="C16" s="62">
        <f t="shared" si="1"/>
        <v>46474</v>
      </c>
      <c r="D16" s="63">
        <f t="shared" si="25"/>
        <v>386397.73363636358</v>
      </c>
      <c r="E16" s="64">
        <f t="shared" si="2"/>
        <v>3.1734762677544603E-2</v>
      </c>
      <c r="G16" s="61">
        <f t="shared" ref="G16" si="30">G15+1</f>
        <v>13</v>
      </c>
      <c r="H16" s="62">
        <f t="shared" si="4"/>
        <v>46474</v>
      </c>
      <c r="I16" s="63">
        <f t="shared" si="27"/>
        <v>39206.170545454544</v>
      </c>
      <c r="J16" s="64">
        <f t="shared" si="5"/>
        <v>2.7179429706847946E-2</v>
      </c>
      <c r="L16" s="61">
        <f t="shared" ref="L16" si="31">L15+1</f>
        <v>13</v>
      </c>
      <c r="M16" s="62">
        <f t="shared" si="7"/>
        <v>46474</v>
      </c>
      <c r="N16" s="65">
        <f t="shared" si="29"/>
        <v>-12.079553111179131</v>
      </c>
      <c r="O16" s="64">
        <f t="shared" si="8"/>
        <v>0.29886074224584713</v>
      </c>
    </row>
    <row r="17" spans="2:15" x14ac:dyDescent="0.35">
      <c r="B17" s="61">
        <f t="shared" si="0"/>
        <v>14</v>
      </c>
      <c r="C17" s="62">
        <f t="shared" si="1"/>
        <v>46839</v>
      </c>
      <c r="D17" s="63">
        <f t="shared" si="25"/>
        <v>398282.8041212121</v>
      </c>
      <c r="E17" s="64">
        <f t="shared" si="2"/>
        <v>3.0758644397312906E-2</v>
      </c>
      <c r="G17" s="61">
        <f t="shared" ref="G17" si="32">G16+1</f>
        <v>14</v>
      </c>
      <c r="H17" s="62">
        <f t="shared" si="4"/>
        <v>46839</v>
      </c>
      <c r="I17" s="63">
        <f t="shared" si="27"/>
        <v>40243.575818181816</v>
      </c>
      <c r="J17" s="64">
        <f t="shared" si="5"/>
        <v>2.6460255064302496E-2</v>
      </c>
      <c r="L17" s="61">
        <f t="shared" ref="L17" si="33">L16+1</f>
        <v>14</v>
      </c>
      <c r="M17" s="62">
        <f t="shared" si="7"/>
        <v>46839</v>
      </c>
      <c r="N17" s="65">
        <f t="shared" si="29"/>
        <v>-14.858992115981849</v>
      </c>
      <c r="O17" s="64">
        <f t="shared" si="8"/>
        <v>0.23009452247289364</v>
      </c>
    </row>
    <row r="18" spans="2:15" x14ac:dyDescent="0.35">
      <c r="B18" s="61">
        <f t="shared" si="0"/>
        <v>15</v>
      </c>
      <c r="C18" s="62">
        <f t="shared" si="1"/>
        <v>47204</v>
      </c>
      <c r="D18" s="63">
        <f t="shared" si="25"/>
        <v>410167.87460606056</v>
      </c>
      <c r="E18" s="64">
        <f t="shared" si="2"/>
        <v>2.9840782383442788E-2</v>
      </c>
      <c r="G18" s="61">
        <f t="shared" ref="G18" si="34">G17+1</f>
        <v>15</v>
      </c>
      <c r="H18" s="62">
        <f t="shared" si="4"/>
        <v>47204</v>
      </c>
      <c r="I18" s="63">
        <f t="shared" si="27"/>
        <v>41280.981090909088</v>
      </c>
      <c r="J18" s="64">
        <f t="shared" si="5"/>
        <v>2.5778158417487873E-2</v>
      </c>
      <c r="L18" s="61">
        <f t="shared" ref="L18" si="35">L17+1</f>
        <v>15</v>
      </c>
      <c r="M18" s="62">
        <f t="shared" si="7"/>
        <v>47204</v>
      </c>
      <c r="N18" s="65">
        <f t="shared" si="29"/>
        <v>-17.638431120784574</v>
      </c>
      <c r="O18" s="64">
        <f t="shared" si="8"/>
        <v>0.18705434279174638</v>
      </c>
    </row>
    <row r="19" spans="2:15" x14ac:dyDescent="0.35">
      <c r="B19" s="20"/>
      <c r="C19" s="58"/>
    </row>
    <row r="20" spans="2:15" x14ac:dyDescent="0.35">
      <c r="B20" s="20"/>
      <c r="C20" s="58"/>
    </row>
    <row r="21" spans="2:15" x14ac:dyDescent="0.35">
      <c r="B21" s="67"/>
      <c r="C21" s="67"/>
    </row>
  </sheetData>
  <mergeCells count="4">
    <mergeCell ref="B21:C21"/>
    <mergeCell ref="B2:E2"/>
    <mergeCell ref="G2:J2"/>
    <mergeCell ref="L2:O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5401-847B-48E2-B963-0F5A81C5DFF0}">
  <dimension ref="A1"/>
  <sheetViews>
    <sheetView topLeftCell="D1" workbookViewId="0">
      <selection activeCell="D17" sqref="D1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tabSelected="1" zoomScale="110" zoomScaleNormal="110" zoomScalePageLayoutView="120" workbookViewId="0">
      <pane xSplit="1" ySplit="1" topLeftCell="B42" activePane="bottomRight" state="frozen"/>
      <selection activeCell="C4" sqref="C4"/>
      <selection pane="topRight" activeCell="C4" sqref="C4"/>
      <selection pane="bottomLeft" activeCell="C4" sqref="C4"/>
      <selection pane="bottomRight" activeCell="H53" sqref="H53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69" t="str">
        <f>IF(B2&lt;&gt;B3, "A NEW VERSION OF THE WORKSHEET IS AVAILABLE", "")</f>
        <v/>
      </c>
      <c r="F1" s="69"/>
      <c r="G1" s="69"/>
      <c r="H1" s="69"/>
      <c r="I1" s="69"/>
      <c r="J1" s="69"/>
      <c r="K1" s="69"/>
    </row>
    <row r="2" spans="1:11" x14ac:dyDescent="0.35">
      <c r="A2" s="1" t="s">
        <v>61</v>
      </c>
      <c r="B2" s="4">
        <v>2.1</v>
      </c>
      <c r="E2" s="70" t="s">
        <v>36</v>
      </c>
      <c r="F2" s="70"/>
      <c r="G2" s="70"/>
      <c r="H2" s="70"/>
      <c r="I2" s="70"/>
      <c r="J2" s="70"/>
      <c r="K2" s="70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368.09918145360655</v>
      </c>
    </row>
    <row r="7" spans="1:11" x14ac:dyDescent="0.35">
      <c r="A7" s="4" t="s">
        <v>31</v>
      </c>
      <c r="B7">
        <v>2</v>
      </c>
    </row>
    <row r="8" spans="1:11" x14ac:dyDescent="0.35">
      <c r="A8" s="4" t="s">
        <v>43</v>
      </c>
      <c r="B8">
        <v>910.15</v>
      </c>
    </row>
    <row r="9" spans="1:11" x14ac:dyDescent="0.35">
      <c r="A9" s="4" t="s">
        <v>79</v>
      </c>
      <c r="B9">
        <v>335025.46999999997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3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35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35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35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35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35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35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35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3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3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3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3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3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3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35">
      <c r="A31" s="6" t="s">
        <v>70</v>
      </c>
      <c r="B31"/>
      <c r="C31">
        <v>67.92</v>
      </c>
      <c r="D31"/>
      <c r="J31">
        <v>766.02</v>
      </c>
      <c r="K31">
        <v>4675.6499999999996</v>
      </c>
    </row>
    <row r="32" spans="1:11" s="6" customFormat="1" x14ac:dyDescent="0.35">
      <c r="A32" s="6" t="s">
        <v>104</v>
      </c>
      <c r="B32" s="6">
        <f>B30+B29+B27+B26</f>
        <v>39879.32</v>
      </c>
      <c r="C32" s="6">
        <f t="shared" ref="C32:K32" si="0">C30+C29+C27+C26</f>
        <v>36204.22</v>
      </c>
      <c r="D32" s="6">
        <f t="shared" si="0"/>
        <v>32848.590000000004</v>
      </c>
      <c r="E32" s="6">
        <f t="shared" si="0"/>
        <v>39566.22</v>
      </c>
      <c r="F32" s="6">
        <f t="shared" si="0"/>
        <v>-1914.4500000000007</v>
      </c>
      <c r="G32" s="6">
        <f t="shared" si="0"/>
        <v>16993.16</v>
      </c>
      <c r="H32" s="6">
        <f t="shared" si="0"/>
        <v>20734.349999999999</v>
      </c>
      <c r="I32" s="6">
        <f t="shared" si="0"/>
        <v>26937.37</v>
      </c>
      <c r="J32" s="6">
        <f t="shared" si="0"/>
        <v>38204.19</v>
      </c>
      <c r="K32" s="6">
        <f t="shared" si="0"/>
        <v>64803.34</v>
      </c>
    </row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44651</v>
      </c>
      <c r="C41" s="12">
        <v>44742</v>
      </c>
      <c r="D41" s="12">
        <v>44834</v>
      </c>
      <c r="E41" s="12">
        <v>44926</v>
      </c>
      <c r="F41" s="12">
        <v>45016</v>
      </c>
      <c r="G41" s="12">
        <v>45107</v>
      </c>
      <c r="H41" s="12">
        <v>45199</v>
      </c>
      <c r="I41" s="12">
        <v>45291</v>
      </c>
      <c r="J41" s="12">
        <v>45382</v>
      </c>
      <c r="K41" s="12">
        <v>45473</v>
      </c>
    </row>
    <row r="42" spans="1:11" s="6" customFormat="1" x14ac:dyDescent="0.35">
      <c r="A42" s="6" t="s">
        <v>6</v>
      </c>
      <c r="B42">
        <v>78439.06</v>
      </c>
      <c r="C42">
        <v>71934.66</v>
      </c>
      <c r="D42">
        <v>79611.37</v>
      </c>
      <c r="E42">
        <v>88488.59</v>
      </c>
      <c r="F42">
        <v>105932.35</v>
      </c>
      <c r="G42">
        <v>102236</v>
      </c>
      <c r="H42">
        <v>105128.24</v>
      </c>
      <c r="I42">
        <v>110577.14</v>
      </c>
      <c r="J42">
        <v>119986</v>
      </c>
      <c r="K42">
        <v>108048</v>
      </c>
    </row>
    <row r="43" spans="1:11" s="6" customFormat="1" x14ac:dyDescent="0.35">
      <c r="A43" s="6" t="s">
        <v>7</v>
      </c>
      <c r="B43">
        <v>70156.27</v>
      </c>
      <c r="C43">
        <v>69521.929999999993</v>
      </c>
      <c r="D43">
        <v>74039.06</v>
      </c>
      <c r="E43">
        <v>77668.350000000006</v>
      </c>
      <c r="F43">
        <v>92817.95</v>
      </c>
      <c r="G43">
        <v>89019</v>
      </c>
      <c r="H43">
        <v>91361.3</v>
      </c>
      <c r="I43">
        <v>95158.77</v>
      </c>
      <c r="J43">
        <v>102851</v>
      </c>
      <c r="K43">
        <v>92263</v>
      </c>
    </row>
    <row r="44" spans="1:11" s="6" customFormat="1" x14ac:dyDescent="0.35">
      <c r="A44" s="6" t="s">
        <v>9</v>
      </c>
      <c r="B44">
        <v>188.74</v>
      </c>
      <c r="C44">
        <v>2380.98</v>
      </c>
      <c r="D44">
        <v>1351.14</v>
      </c>
      <c r="E44">
        <v>1129.98</v>
      </c>
      <c r="F44">
        <v>1452.86</v>
      </c>
      <c r="G44">
        <v>895</v>
      </c>
      <c r="H44">
        <v>1507.05</v>
      </c>
      <c r="I44">
        <v>1603.76</v>
      </c>
      <c r="J44">
        <v>1619</v>
      </c>
      <c r="K44">
        <v>1747</v>
      </c>
    </row>
    <row r="45" spans="1:11" s="6" customFormat="1" x14ac:dyDescent="0.35">
      <c r="A45" s="6" t="s">
        <v>10</v>
      </c>
      <c r="B45">
        <v>6432.11</v>
      </c>
      <c r="C45">
        <v>5841.04</v>
      </c>
      <c r="D45">
        <v>5897.34</v>
      </c>
      <c r="E45">
        <v>6071.78</v>
      </c>
      <c r="F45">
        <v>7050.2</v>
      </c>
      <c r="G45">
        <v>6633</v>
      </c>
      <c r="H45">
        <v>6636.42</v>
      </c>
      <c r="I45">
        <v>6850</v>
      </c>
      <c r="J45">
        <v>7151</v>
      </c>
      <c r="K45">
        <v>6574</v>
      </c>
    </row>
    <row r="46" spans="1:11" s="6" customFormat="1" x14ac:dyDescent="0.35">
      <c r="A46" s="6" t="s">
        <v>11</v>
      </c>
      <c r="B46">
        <v>2380.52</v>
      </c>
      <c r="C46">
        <v>2420.7199999999998</v>
      </c>
      <c r="D46">
        <v>2487.2600000000002</v>
      </c>
      <c r="E46">
        <v>2675.83</v>
      </c>
      <c r="F46">
        <v>2641.67</v>
      </c>
      <c r="G46">
        <v>2615</v>
      </c>
      <c r="H46">
        <v>2651.69</v>
      </c>
      <c r="I46">
        <v>2484.91</v>
      </c>
      <c r="J46">
        <v>2234</v>
      </c>
      <c r="K46">
        <v>2088</v>
      </c>
    </row>
    <row r="47" spans="1:11" s="6" customFormat="1" x14ac:dyDescent="0.35">
      <c r="A47" s="6" t="s">
        <v>12</v>
      </c>
      <c r="B47">
        <v>-341.1</v>
      </c>
      <c r="C47">
        <v>-3468.05</v>
      </c>
      <c r="D47">
        <v>-1461.15</v>
      </c>
      <c r="E47">
        <v>3202.61</v>
      </c>
      <c r="F47">
        <v>4875.3900000000003</v>
      </c>
      <c r="G47">
        <v>4864</v>
      </c>
      <c r="H47">
        <v>5985.88</v>
      </c>
      <c r="I47">
        <v>7687.22</v>
      </c>
      <c r="J47">
        <v>9369</v>
      </c>
      <c r="K47">
        <v>8870</v>
      </c>
    </row>
    <row r="48" spans="1:11" s="6" customFormat="1" x14ac:dyDescent="0.35">
      <c r="A48" s="6" t="s">
        <v>13</v>
      </c>
      <c r="B48">
        <v>758.22</v>
      </c>
      <c r="C48">
        <v>1518.96</v>
      </c>
      <c r="D48">
        <v>-457.08</v>
      </c>
      <c r="E48">
        <v>262.83</v>
      </c>
      <c r="F48">
        <v>-620.65</v>
      </c>
      <c r="G48">
        <v>1563</v>
      </c>
      <c r="H48">
        <v>2202.84</v>
      </c>
      <c r="I48">
        <v>541.79</v>
      </c>
      <c r="J48">
        <v>-8160</v>
      </c>
      <c r="K48">
        <v>3178</v>
      </c>
    </row>
    <row r="49" spans="1:11" s="6" customFormat="1" x14ac:dyDescent="0.35">
      <c r="A49" s="6" t="s">
        <v>14</v>
      </c>
      <c r="B49">
        <v>-1032.8399999999999</v>
      </c>
      <c r="C49">
        <v>-5006.6000000000004</v>
      </c>
      <c r="D49">
        <v>-944.61</v>
      </c>
      <c r="E49">
        <v>2957.71</v>
      </c>
      <c r="F49">
        <v>5407.79</v>
      </c>
      <c r="G49">
        <v>3203</v>
      </c>
      <c r="H49">
        <v>3764</v>
      </c>
      <c r="I49">
        <v>7025.11</v>
      </c>
      <c r="J49">
        <v>17407</v>
      </c>
      <c r="K49">
        <v>5566</v>
      </c>
    </row>
    <row r="50" spans="1:11" x14ac:dyDescent="0.35">
      <c r="A50" s="6" t="s">
        <v>8</v>
      </c>
      <c r="B50">
        <v>8282.7900000000009</v>
      </c>
      <c r="C50">
        <v>2412.73</v>
      </c>
      <c r="D50">
        <v>5572.31</v>
      </c>
      <c r="E50">
        <v>10820.24</v>
      </c>
      <c r="F50">
        <v>13114.4</v>
      </c>
      <c r="G50">
        <v>13217</v>
      </c>
      <c r="H50">
        <v>13766.94</v>
      </c>
      <c r="I50">
        <v>15418.37</v>
      </c>
      <c r="J50">
        <v>17135</v>
      </c>
      <c r="K50">
        <v>15785</v>
      </c>
    </row>
    <row r="51" spans="1:11" x14ac:dyDescent="0.35">
      <c r="A51" s="6" t="s">
        <v>104</v>
      </c>
      <c r="B51" s="4">
        <f>B49+B48+B46+B45</f>
        <v>8538.01</v>
      </c>
      <c r="C51" s="4">
        <f t="shared" ref="C51:K51" si="1">C49+C48+C46+C45</f>
        <v>4774.119999999999</v>
      </c>
      <c r="D51" s="4">
        <f t="shared" si="1"/>
        <v>6982.91</v>
      </c>
      <c r="E51" s="4">
        <f t="shared" si="1"/>
        <v>11968.15</v>
      </c>
      <c r="F51" s="4">
        <f t="shared" si="1"/>
        <v>14479.01</v>
      </c>
      <c r="G51" s="4">
        <f t="shared" si="1"/>
        <v>14014</v>
      </c>
      <c r="H51" s="4">
        <f t="shared" si="1"/>
        <v>15254.95</v>
      </c>
      <c r="I51" s="4">
        <f t="shared" si="1"/>
        <v>16901.809999999998</v>
      </c>
      <c r="J51" s="4">
        <f t="shared" si="1"/>
        <v>18632</v>
      </c>
      <c r="K51" s="4">
        <f t="shared" si="1"/>
        <v>17406</v>
      </c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3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3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35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35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3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3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3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3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35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3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35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35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35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35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35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35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35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35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4F9-9C0E-4D5C-A531-604B82A7E8E3}">
  <dimension ref="B2:L33"/>
  <sheetViews>
    <sheetView topLeftCell="A18" workbookViewId="0">
      <selection activeCell="C35" sqref="C35"/>
    </sheetView>
  </sheetViews>
  <sheetFormatPr defaultRowHeight="14.5" x14ac:dyDescent="0.35"/>
  <cols>
    <col min="2" max="2" width="33.81640625" customWidth="1"/>
  </cols>
  <sheetData>
    <row r="2" spans="2:12" x14ac:dyDescent="0.35">
      <c r="C2" s="40">
        <v>42064</v>
      </c>
      <c r="D2" s="40">
        <v>42430</v>
      </c>
      <c r="E2" s="40">
        <v>42795</v>
      </c>
      <c r="F2" s="40">
        <v>43160</v>
      </c>
      <c r="G2" s="40">
        <v>43525</v>
      </c>
      <c r="H2" s="40">
        <v>43891</v>
      </c>
      <c r="I2" s="40">
        <v>44256</v>
      </c>
      <c r="J2" s="40">
        <v>44621</v>
      </c>
      <c r="K2" s="40">
        <v>44986</v>
      </c>
      <c r="L2" s="40">
        <v>45352</v>
      </c>
    </row>
    <row r="3" spans="2:12" x14ac:dyDescent="0.35">
      <c r="B3" t="s">
        <v>124</v>
      </c>
      <c r="C3" s="41">
        <v>35531</v>
      </c>
      <c r="D3" s="41">
        <v>37900</v>
      </c>
      <c r="E3" s="41">
        <v>30199</v>
      </c>
      <c r="F3" s="41">
        <v>23857</v>
      </c>
      <c r="G3" s="41">
        <v>18891</v>
      </c>
      <c r="H3" s="41">
        <v>26633</v>
      </c>
      <c r="I3" s="41">
        <v>29001</v>
      </c>
      <c r="J3" s="41">
        <v>14283</v>
      </c>
      <c r="K3" s="41">
        <v>35388</v>
      </c>
      <c r="L3" s="41">
        <v>67915</v>
      </c>
    </row>
    <row r="4" spans="2:12" x14ac:dyDescent="0.35">
      <c r="B4" t="s">
        <v>125</v>
      </c>
      <c r="C4" s="41">
        <v>43397</v>
      </c>
      <c r="D4" s="41">
        <v>38626</v>
      </c>
      <c r="E4" s="41">
        <v>28840</v>
      </c>
      <c r="F4" s="41">
        <v>33312</v>
      </c>
      <c r="G4" s="41">
        <v>28771</v>
      </c>
      <c r="H4" s="41">
        <v>23352</v>
      </c>
      <c r="I4" s="41">
        <v>31198</v>
      </c>
      <c r="J4" s="41">
        <v>26943</v>
      </c>
      <c r="K4" s="41">
        <v>41694</v>
      </c>
      <c r="L4" s="41">
        <v>65106</v>
      </c>
    </row>
    <row r="5" spans="2:12" x14ac:dyDescent="0.35">
      <c r="B5" t="s">
        <v>78</v>
      </c>
      <c r="C5" s="41">
        <v>-3179</v>
      </c>
      <c r="D5" s="41">
        <v>-2223</v>
      </c>
      <c r="E5" s="41">
        <v>-4152</v>
      </c>
      <c r="F5" s="41">
        <v>-10688</v>
      </c>
      <c r="G5" s="41">
        <v>-9109</v>
      </c>
      <c r="H5" s="41">
        <v>9950</v>
      </c>
      <c r="I5" s="41">
        <v>-5505</v>
      </c>
      <c r="J5">
        <v>185</v>
      </c>
      <c r="K5" s="41">
        <v>-2213</v>
      </c>
      <c r="L5" s="41">
        <v>-1875</v>
      </c>
    </row>
    <row r="6" spans="2:12" x14ac:dyDescent="0.35">
      <c r="B6" t="s">
        <v>45</v>
      </c>
      <c r="C6" s="41">
        <v>-3692</v>
      </c>
      <c r="D6" s="41">
        <v>-5743</v>
      </c>
      <c r="E6" s="41">
        <v>-6621</v>
      </c>
      <c r="F6" s="41">
        <v>-3560</v>
      </c>
      <c r="G6" s="41">
        <v>2069</v>
      </c>
      <c r="H6" s="41">
        <v>2326</v>
      </c>
      <c r="I6" s="41">
        <v>3814</v>
      </c>
      <c r="J6">
        <v>472</v>
      </c>
      <c r="K6" s="41">
        <v>-5665</v>
      </c>
      <c r="L6" s="41">
        <v>-7265</v>
      </c>
    </row>
    <row r="7" spans="2:12" x14ac:dyDescent="0.35">
      <c r="B7" t="s">
        <v>126</v>
      </c>
      <c r="C7" s="41">
        <v>3598</v>
      </c>
      <c r="D7" s="41">
        <v>3947</v>
      </c>
      <c r="E7" s="41">
        <v>9301</v>
      </c>
      <c r="F7" s="41">
        <v>7320</v>
      </c>
      <c r="G7" s="41">
        <v>-4692</v>
      </c>
      <c r="H7" s="41">
        <v>-8085</v>
      </c>
      <c r="I7" s="41">
        <v>5748</v>
      </c>
      <c r="J7" s="41">
        <v>-7012</v>
      </c>
      <c r="K7" s="41">
        <v>6945</v>
      </c>
      <c r="L7" s="41">
        <v>13706</v>
      </c>
    </row>
    <row r="8" spans="2:12" x14ac:dyDescent="0.35">
      <c r="B8" t="s">
        <v>127</v>
      </c>
      <c r="C8">
        <v>0</v>
      </c>
      <c r="D8">
        <v>-520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35">
      <c r="B9" t="s">
        <v>128</v>
      </c>
      <c r="C9">
        <v>-398</v>
      </c>
      <c r="D9" s="41">
        <v>5852</v>
      </c>
      <c r="E9" s="41">
        <v>4727</v>
      </c>
      <c r="F9">
        <v>494</v>
      </c>
      <c r="G9" s="41">
        <v>4512</v>
      </c>
      <c r="H9">
        <v>875</v>
      </c>
      <c r="I9" s="41">
        <v>-4150</v>
      </c>
      <c r="J9" s="41">
        <v>-4396</v>
      </c>
      <c r="K9" s="41">
        <v>-2194</v>
      </c>
      <c r="L9" s="41">
        <v>2760</v>
      </c>
    </row>
    <row r="10" spans="2:12" x14ac:dyDescent="0.35">
      <c r="B10" t="s">
        <v>129</v>
      </c>
      <c r="C10" s="41">
        <v>-3672</v>
      </c>
      <c r="D10" s="41">
        <v>1313</v>
      </c>
      <c r="E10" s="41">
        <v>3254</v>
      </c>
      <c r="F10" s="41">
        <v>-6434</v>
      </c>
      <c r="G10" s="41">
        <v>-7221</v>
      </c>
      <c r="H10" s="41">
        <v>5065</v>
      </c>
      <c r="I10">
        <v>-93</v>
      </c>
      <c r="J10" s="41">
        <v>-10750</v>
      </c>
      <c r="K10" s="41">
        <v>-3127</v>
      </c>
      <c r="L10" s="41">
        <v>7325</v>
      </c>
    </row>
    <row r="11" spans="2:12" x14ac:dyDescent="0.35">
      <c r="B11" t="s">
        <v>130</v>
      </c>
      <c r="C11" s="41">
        <v>-4194</v>
      </c>
      <c r="D11" s="41">
        <v>-2040</v>
      </c>
      <c r="E11" s="41">
        <v>-1895</v>
      </c>
      <c r="F11" s="41">
        <v>-3021</v>
      </c>
      <c r="G11" s="41">
        <v>-2659</v>
      </c>
      <c r="H11" s="41">
        <v>-1785</v>
      </c>
      <c r="I11" s="41">
        <v>-2105</v>
      </c>
      <c r="J11" s="41">
        <v>-1910</v>
      </c>
      <c r="K11" s="41">
        <v>-3179</v>
      </c>
      <c r="L11" s="41">
        <v>-4516</v>
      </c>
    </row>
    <row r="12" spans="2:12" x14ac:dyDescent="0.35">
      <c r="B12" t="s">
        <v>131</v>
      </c>
      <c r="C12" s="41">
        <v>-36232</v>
      </c>
      <c r="D12" s="41">
        <v>-36694</v>
      </c>
      <c r="E12" s="41">
        <v>-39571</v>
      </c>
      <c r="F12" s="41">
        <v>-25139</v>
      </c>
      <c r="G12" s="41">
        <v>-20878</v>
      </c>
      <c r="H12" s="41">
        <v>-33115</v>
      </c>
      <c r="I12" s="41">
        <v>-25672</v>
      </c>
      <c r="J12" s="41">
        <v>-4444</v>
      </c>
      <c r="K12" s="41">
        <v>-15417</v>
      </c>
      <c r="L12" s="41">
        <v>-22782</v>
      </c>
    </row>
    <row r="13" spans="2:12" x14ac:dyDescent="0.35">
      <c r="B13" t="s">
        <v>132</v>
      </c>
      <c r="C13" s="41">
        <v>-31962</v>
      </c>
      <c r="D13" s="41">
        <v>-31503</v>
      </c>
      <c r="E13" s="41">
        <v>-16072</v>
      </c>
      <c r="F13" s="41">
        <v>-35079</v>
      </c>
      <c r="G13" s="41">
        <v>-35304</v>
      </c>
      <c r="H13" s="41">
        <v>-29702</v>
      </c>
      <c r="I13" s="41">
        <v>-20205</v>
      </c>
      <c r="J13" s="41">
        <v>-15168</v>
      </c>
      <c r="K13" s="41">
        <v>-19230</v>
      </c>
      <c r="L13" s="41">
        <v>-31414</v>
      </c>
    </row>
    <row r="14" spans="2:12" x14ac:dyDescent="0.35">
      <c r="B14" t="s">
        <v>133</v>
      </c>
      <c r="C14">
        <v>74</v>
      </c>
      <c r="D14">
        <v>59</v>
      </c>
      <c r="E14">
        <v>53</v>
      </c>
      <c r="F14">
        <v>30</v>
      </c>
      <c r="G14">
        <v>67</v>
      </c>
      <c r="H14">
        <v>171</v>
      </c>
      <c r="I14">
        <v>351</v>
      </c>
      <c r="J14">
        <v>230</v>
      </c>
      <c r="K14">
        <v>285</v>
      </c>
      <c r="L14">
        <v>231</v>
      </c>
    </row>
    <row r="15" spans="2:12" x14ac:dyDescent="0.35">
      <c r="B15" t="s">
        <v>134</v>
      </c>
      <c r="C15" s="41">
        <v>-5461</v>
      </c>
      <c r="D15" s="41">
        <v>-4728</v>
      </c>
      <c r="E15">
        <v>-6</v>
      </c>
      <c r="F15">
        <v>-329</v>
      </c>
      <c r="G15">
        <v>-130</v>
      </c>
      <c r="H15" s="41">
        <v>-1439</v>
      </c>
      <c r="I15" s="41">
        <v>-7530</v>
      </c>
      <c r="J15" s="41">
        <v>-3008</v>
      </c>
      <c r="K15">
        <v>-50</v>
      </c>
      <c r="L15">
        <v>-74</v>
      </c>
    </row>
    <row r="16" spans="2:12" x14ac:dyDescent="0.35">
      <c r="B16" t="s">
        <v>135</v>
      </c>
      <c r="C16">
        <v>42</v>
      </c>
      <c r="D16">
        <v>89</v>
      </c>
      <c r="E16" s="41">
        <v>1965</v>
      </c>
      <c r="F16" s="41">
        <v>2381</v>
      </c>
      <c r="G16" s="41">
        <v>5644</v>
      </c>
      <c r="H16">
        <v>21</v>
      </c>
      <c r="I16">
        <v>226</v>
      </c>
      <c r="J16">
        <v>104</v>
      </c>
      <c r="K16" s="41">
        <v>6895</v>
      </c>
      <c r="L16" s="41">
        <v>10820</v>
      </c>
    </row>
    <row r="17" spans="2:12" x14ac:dyDescent="0.35">
      <c r="B17" t="s">
        <v>136</v>
      </c>
      <c r="C17">
        <v>698</v>
      </c>
      <c r="D17">
        <v>731</v>
      </c>
      <c r="E17">
        <v>638</v>
      </c>
      <c r="F17">
        <v>690</v>
      </c>
      <c r="G17">
        <v>761</v>
      </c>
      <c r="H17" s="41">
        <v>1104</v>
      </c>
      <c r="I17">
        <v>428</v>
      </c>
      <c r="J17">
        <v>653</v>
      </c>
      <c r="K17">
        <v>973</v>
      </c>
      <c r="L17" s="41">
        <v>2493</v>
      </c>
    </row>
    <row r="18" spans="2:12" x14ac:dyDescent="0.35">
      <c r="B18" t="s">
        <v>137</v>
      </c>
      <c r="C18">
        <v>80</v>
      </c>
      <c r="D18">
        <v>58</v>
      </c>
      <c r="E18">
        <v>620</v>
      </c>
      <c r="F18" s="41">
        <v>1797</v>
      </c>
      <c r="G18">
        <v>232</v>
      </c>
      <c r="H18">
        <v>21</v>
      </c>
      <c r="I18">
        <v>18</v>
      </c>
      <c r="J18">
        <v>32</v>
      </c>
      <c r="K18">
        <v>46</v>
      </c>
      <c r="L18">
        <v>47</v>
      </c>
    </row>
    <row r="19" spans="2:12" x14ac:dyDescent="0.35">
      <c r="B19" t="s">
        <v>138</v>
      </c>
      <c r="C19">
        <v>-160</v>
      </c>
      <c r="D19">
        <v>0</v>
      </c>
      <c r="E19">
        <v>-107</v>
      </c>
      <c r="F19">
        <v>-4</v>
      </c>
      <c r="G19">
        <v>-9</v>
      </c>
      <c r="H19">
        <v>-606</v>
      </c>
      <c r="I19">
        <v>-10</v>
      </c>
      <c r="J19">
        <v>0</v>
      </c>
      <c r="K19">
        <v>0</v>
      </c>
      <c r="L19">
        <v>-150</v>
      </c>
    </row>
    <row r="20" spans="2:12" x14ac:dyDescent="0.35">
      <c r="B20" t="s">
        <v>139</v>
      </c>
      <c r="C20">
        <v>0</v>
      </c>
      <c r="D20">
        <v>0</v>
      </c>
      <c r="E20">
        <v>0</v>
      </c>
      <c r="F20">
        <v>14</v>
      </c>
      <c r="G20">
        <v>533</v>
      </c>
      <c r="H20">
        <v>0</v>
      </c>
      <c r="I20">
        <v>0</v>
      </c>
      <c r="J20">
        <v>0</v>
      </c>
      <c r="K20">
        <v>19</v>
      </c>
      <c r="L20">
        <v>108</v>
      </c>
    </row>
    <row r="21" spans="2:12" x14ac:dyDescent="0.35">
      <c r="B21" t="s">
        <v>140</v>
      </c>
      <c r="C21">
        <v>0</v>
      </c>
      <c r="D21">
        <v>-111</v>
      </c>
      <c r="E21">
        <v>0</v>
      </c>
      <c r="F21">
        <v>0</v>
      </c>
      <c r="G21">
        <v>-8</v>
      </c>
      <c r="H21">
        <v>-27</v>
      </c>
      <c r="I21">
        <v>0</v>
      </c>
      <c r="J21">
        <v>-98</v>
      </c>
      <c r="K21">
        <v>0</v>
      </c>
      <c r="L21">
        <v>0</v>
      </c>
    </row>
    <row r="22" spans="2:12" x14ac:dyDescent="0.35">
      <c r="B22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-24</v>
      </c>
    </row>
    <row r="23" spans="2:12" x14ac:dyDescent="0.35">
      <c r="B23" t="s">
        <v>142</v>
      </c>
      <c r="C23">
        <v>456</v>
      </c>
      <c r="D23" s="41">
        <v>-1289</v>
      </c>
      <c r="E23" s="41">
        <v>-26663</v>
      </c>
      <c r="F23" s="41">
        <v>5360</v>
      </c>
      <c r="G23" s="41">
        <v>7335</v>
      </c>
      <c r="H23" s="41">
        <v>-2659</v>
      </c>
      <c r="I23" s="41">
        <v>1051</v>
      </c>
      <c r="J23" s="41">
        <v>12813</v>
      </c>
      <c r="K23" s="41">
        <v>-4357</v>
      </c>
      <c r="L23" s="41">
        <v>-4817</v>
      </c>
    </row>
    <row r="24" spans="2:12" x14ac:dyDescent="0.35">
      <c r="B24" t="s">
        <v>143</v>
      </c>
      <c r="C24" s="41">
        <v>5201</v>
      </c>
      <c r="D24" s="41">
        <v>-3795</v>
      </c>
      <c r="E24" s="41">
        <v>6205</v>
      </c>
      <c r="F24" s="41">
        <v>2012</v>
      </c>
      <c r="G24" s="41">
        <v>8830</v>
      </c>
      <c r="H24" s="41">
        <v>3390</v>
      </c>
      <c r="I24" s="41">
        <v>9904</v>
      </c>
      <c r="J24" s="41">
        <v>-3380</v>
      </c>
      <c r="K24" s="41">
        <v>-26243</v>
      </c>
      <c r="L24" s="41">
        <v>-37006</v>
      </c>
    </row>
    <row r="25" spans="2:12" x14ac:dyDescent="0.35">
      <c r="B25" t="s">
        <v>144</v>
      </c>
      <c r="C25">
        <v>0</v>
      </c>
      <c r="D25" s="41">
        <v>7433</v>
      </c>
      <c r="E25">
        <v>5</v>
      </c>
      <c r="F25">
        <v>0</v>
      </c>
      <c r="G25">
        <v>0</v>
      </c>
      <c r="H25" s="41">
        <v>3889</v>
      </c>
      <c r="I25" s="41">
        <v>2603</v>
      </c>
      <c r="J25">
        <v>19</v>
      </c>
      <c r="K25">
        <v>20</v>
      </c>
      <c r="L25">
        <v>82</v>
      </c>
    </row>
    <row r="26" spans="2:12" x14ac:dyDescent="0.35">
      <c r="B26" t="s">
        <v>145</v>
      </c>
      <c r="C26">
        <v>-744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35">
      <c r="B27" t="s">
        <v>146</v>
      </c>
      <c r="C27" s="41">
        <v>36363</v>
      </c>
      <c r="D27" s="41">
        <v>19519</v>
      </c>
      <c r="E27" s="41">
        <v>33390</v>
      </c>
      <c r="F27" s="41">
        <v>37482</v>
      </c>
      <c r="G27" s="41">
        <v>51128</v>
      </c>
      <c r="H27" s="41">
        <v>38297</v>
      </c>
      <c r="I27" s="41">
        <v>46641</v>
      </c>
      <c r="J27" s="41">
        <v>46578</v>
      </c>
      <c r="K27" s="41">
        <v>43934</v>
      </c>
      <c r="L27" s="41">
        <v>18747</v>
      </c>
    </row>
    <row r="28" spans="2:12" x14ac:dyDescent="0.35">
      <c r="B28" t="s">
        <v>147</v>
      </c>
      <c r="C28" s="41">
        <v>-23332</v>
      </c>
      <c r="D28" s="41">
        <v>-24924</v>
      </c>
      <c r="E28" s="41">
        <v>-21732</v>
      </c>
      <c r="F28" s="41">
        <v>-29964</v>
      </c>
      <c r="G28" s="41">
        <v>-35198</v>
      </c>
      <c r="H28" s="41">
        <v>-29847</v>
      </c>
      <c r="I28" s="41">
        <v>-29709</v>
      </c>
      <c r="J28" s="41">
        <v>-42816</v>
      </c>
      <c r="K28" s="41">
        <v>-62557</v>
      </c>
      <c r="L28" s="41">
        <v>-47332</v>
      </c>
    </row>
    <row r="29" spans="2:12" x14ac:dyDescent="0.35">
      <c r="B29" t="s">
        <v>148</v>
      </c>
      <c r="C29" s="41">
        <v>-6307</v>
      </c>
      <c r="D29" s="41">
        <v>-5716</v>
      </c>
      <c r="E29" s="41">
        <v>-5336</v>
      </c>
      <c r="F29" s="41">
        <v>-5411</v>
      </c>
      <c r="G29" s="41">
        <v>-7005</v>
      </c>
      <c r="H29" s="41">
        <v>-7518</v>
      </c>
      <c r="I29" s="41">
        <v>-8123</v>
      </c>
      <c r="J29" s="41">
        <v>-9251</v>
      </c>
      <c r="K29" s="41">
        <v>-9336</v>
      </c>
      <c r="L29" s="41">
        <v>-9332</v>
      </c>
    </row>
    <row r="30" spans="2:12" x14ac:dyDescent="0.35">
      <c r="B30" t="s">
        <v>149</v>
      </c>
      <c r="C30">
        <v>-720</v>
      </c>
      <c r="D30">
        <v>-108</v>
      </c>
      <c r="E30">
        <v>-121</v>
      </c>
      <c r="F30">
        <v>-96</v>
      </c>
      <c r="G30">
        <v>-95</v>
      </c>
      <c r="H30">
        <v>-57</v>
      </c>
      <c r="I30">
        <v>-30</v>
      </c>
      <c r="J30">
        <v>-100</v>
      </c>
      <c r="K30">
        <v>-141</v>
      </c>
      <c r="L30" s="41">
        <v>-1059</v>
      </c>
    </row>
    <row r="31" spans="2:12" x14ac:dyDescent="0.35">
      <c r="B31" t="s">
        <v>150</v>
      </c>
      <c r="C31">
        <v>0</v>
      </c>
      <c r="D31">
        <v>0</v>
      </c>
      <c r="E31">
        <v>0</v>
      </c>
      <c r="F31">
        <v>0</v>
      </c>
      <c r="G31">
        <v>0</v>
      </c>
      <c r="H31" s="41">
        <v>-1346</v>
      </c>
      <c r="I31" s="41">
        <v>-1477</v>
      </c>
      <c r="J31" s="41">
        <v>-1559</v>
      </c>
      <c r="K31" s="41">
        <v>-1517</v>
      </c>
      <c r="L31" s="41">
        <v>-1924</v>
      </c>
    </row>
    <row r="32" spans="2:12" x14ac:dyDescent="0.35">
      <c r="B32" t="s">
        <v>151</v>
      </c>
      <c r="C32">
        <v>-57</v>
      </c>
      <c r="D32">
        <v>0</v>
      </c>
      <c r="E32">
        <v>0</v>
      </c>
      <c r="F32">
        <v>0</v>
      </c>
      <c r="G32">
        <v>0</v>
      </c>
      <c r="H32">
        <v>-29</v>
      </c>
      <c r="I32">
        <v>0</v>
      </c>
      <c r="J32" s="41">
        <v>3750</v>
      </c>
      <c r="K32" s="41">
        <v>3355</v>
      </c>
      <c r="L32" s="41">
        <v>3812</v>
      </c>
    </row>
    <row r="33" spans="2:12" x14ac:dyDescent="0.35">
      <c r="B33" t="s">
        <v>35</v>
      </c>
      <c r="C33" s="41">
        <v>4500</v>
      </c>
      <c r="D33" s="41">
        <v>-2589</v>
      </c>
      <c r="E33" s="41">
        <v>-3167</v>
      </c>
      <c r="F33">
        <v>730</v>
      </c>
      <c r="G33" s="41">
        <v>6843</v>
      </c>
      <c r="H33" s="41">
        <v>-3092</v>
      </c>
      <c r="I33" s="41">
        <v>13232</v>
      </c>
      <c r="J33" s="41">
        <v>6459</v>
      </c>
      <c r="K33" s="41">
        <v>-6272</v>
      </c>
      <c r="L33" s="41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Profit &amp; Loss</vt:lpstr>
      <vt:lpstr>Quarters</vt:lpstr>
      <vt:lpstr>Balance Sheet</vt:lpstr>
      <vt:lpstr>Cash Flow</vt:lpstr>
      <vt:lpstr>Customization</vt:lpstr>
      <vt:lpstr>Financials&gt;</vt:lpstr>
      <vt:lpstr>HistoricalFS</vt:lpstr>
      <vt:lpstr>Ratio Analysis</vt:lpstr>
      <vt:lpstr>forecasting</vt:lpstr>
      <vt:lpstr>Data&gt;</vt:lpstr>
      <vt:lpstr>Data Sheet</vt:lpstr>
      <vt:lpstr>CFS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NAMAHA SHIVAY</cp:lastModifiedBy>
  <cp:lastPrinted>2012-12-06T18:14:13Z</cp:lastPrinted>
  <dcterms:created xsi:type="dcterms:W3CDTF">2012-08-17T09:55:37Z</dcterms:created>
  <dcterms:modified xsi:type="dcterms:W3CDTF">2024-10-25T17:30:31Z</dcterms:modified>
</cp:coreProperties>
</file>