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iyanshu 10-11\"/>
    </mc:Choice>
  </mc:AlternateContent>
  <xr:revisionPtr revIDLastSave="0" documentId="13_ncr:1_{0D8052FD-C3D8-40D6-9826-83221004562A}" xr6:coauthVersionLast="47" xr6:coauthVersionMax="47" xr10:uidLastSave="{00000000-0000-0000-0000-000000000000}"/>
  <bookViews>
    <workbookView xWindow="-110" yWindow="-110" windowWidth="19420" windowHeight="10300" activeTab="3" xr2:uid="{55BCB060-59A0-4CBB-9980-2CDE9A170E86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Sheet1!$B$2:$B$41</definedName>
    <definedName name="_xlchart.v1.1" hidden="1">Sheet1!$N$2:$N$41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4" l="1"/>
  <c r="L22" i="4" s="1"/>
  <c r="L23" i="4" s="1"/>
  <c r="L24" i="4" s="1"/>
  <c r="L25" i="4" s="1"/>
  <c r="L26" i="4" s="1"/>
  <c r="L20" i="4"/>
  <c r="L19" i="4"/>
  <c r="J28" i="3"/>
  <c r="F30" i="3"/>
  <c r="I37" i="3"/>
  <c r="I36" i="3"/>
  <c r="I35" i="3"/>
  <c r="I34" i="3"/>
  <c r="I33" i="3"/>
  <c r="H37" i="3"/>
  <c r="H36" i="3"/>
  <c r="H35" i="3"/>
  <c r="H34" i="3"/>
  <c r="H33" i="3"/>
  <c r="G37" i="3"/>
  <c r="G36" i="3"/>
  <c r="G35" i="3"/>
  <c r="G34" i="3"/>
  <c r="G33" i="3"/>
  <c r="F37" i="3"/>
  <c r="F36" i="3"/>
  <c r="F35" i="3"/>
  <c r="F34" i="3"/>
  <c r="F33" i="3"/>
  <c r="H28" i="3"/>
  <c r="F29" i="3"/>
  <c r="L2" i="2"/>
  <c r="L3" i="2"/>
  <c r="L4" i="2"/>
  <c r="L5" i="2"/>
  <c r="L6" i="2"/>
  <c r="L7" i="2"/>
  <c r="L8" i="2"/>
  <c r="L9" i="2"/>
  <c r="L10" i="2"/>
  <c r="L11" i="2"/>
  <c r="C78" i="1"/>
  <c r="B78" i="1"/>
  <c r="C77" i="1"/>
  <c r="B77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N63" i="1"/>
  <c r="AN68" i="1" s="1"/>
  <c r="AM63" i="1"/>
  <c r="AM68" i="1" s="1"/>
  <c r="AM71" i="1" s="1"/>
  <c r="AL63" i="1"/>
  <c r="AL68" i="1" s="1"/>
  <c r="AK63" i="1"/>
  <c r="AK68" i="1" s="1"/>
  <c r="AJ63" i="1"/>
  <c r="AJ68" i="1" s="1"/>
  <c r="AI63" i="1"/>
  <c r="AI68" i="1" s="1"/>
  <c r="AH63" i="1"/>
  <c r="AH68" i="1" s="1"/>
  <c r="AG63" i="1"/>
  <c r="AG68" i="1" s="1"/>
  <c r="AF63" i="1"/>
  <c r="AF68" i="1" s="1"/>
  <c r="AE63" i="1"/>
  <c r="AE68" i="1" s="1"/>
  <c r="AD63" i="1"/>
  <c r="AD68" i="1" s="1"/>
  <c r="AC63" i="1"/>
  <c r="AC68" i="1" s="1"/>
  <c r="AB63" i="1"/>
  <c r="AB68" i="1" s="1"/>
  <c r="AA63" i="1"/>
  <c r="AA68" i="1" s="1"/>
  <c r="Z63" i="1"/>
  <c r="Z68" i="1" s="1"/>
  <c r="Y63" i="1"/>
  <c r="Y68" i="1" s="1"/>
  <c r="X63" i="1"/>
  <c r="X68" i="1" s="1"/>
  <c r="W63" i="1"/>
  <c r="W68" i="1" s="1"/>
  <c r="V63" i="1"/>
  <c r="V68" i="1" s="1"/>
  <c r="U63" i="1"/>
  <c r="U68" i="1" s="1"/>
  <c r="T63" i="1"/>
  <c r="T68" i="1" s="1"/>
  <c r="S63" i="1"/>
  <c r="S68" i="1" s="1"/>
  <c r="R63" i="1"/>
  <c r="R68" i="1" s="1"/>
  <c r="Q63" i="1"/>
  <c r="Q68" i="1" s="1"/>
  <c r="P63" i="1"/>
  <c r="P68" i="1" s="1"/>
  <c r="O63" i="1"/>
  <c r="O68" i="1" s="1"/>
  <c r="N63" i="1"/>
  <c r="N68" i="1" s="1"/>
  <c r="M63" i="1"/>
  <c r="M68" i="1" s="1"/>
  <c r="L63" i="1"/>
  <c r="L68" i="1" s="1"/>
  <c r="K63" i="1"/>
  <c r="K68" i="1" s="1"/>
  <c r="J63" i="1"/>
  <c r="J68" i="1" s="1"/>
  <c r="I63" i="1"/>
  <c r="I68" i="1" s="1"/>
  <c r="H63" i="1"/>
  <c r="H68" i="1" s="1"/>
  <c r="G63" i="1"/>
  <c r="G68" i="1" s="1"/>
  <c r="F63" i="1"/>
  <c r="F68" i="1" s="1"/>
  <c r="E63" i="1"/>
  <c r="E68" i="1" s="1"/>
  <c r="D63" i="1"/>
  <c r="D68" i="1" s="1"/>
  <c r="C63" i="1"/>
  <c r="C68" i="1" s="1"/>
  <c r="B63" i="1"/>
  <c r="B68" i="1" s="1"/>
  <c r="A63" i="1"/>
  <c r="A68" i="1" s="1"/>
  <c r="O7" i="2"/>
  <c r="O8" i="2"/>
  <c r="O9" i="2"/>
  <c r="O10" i="2"/>
  <c r="O11" i="2"/>
  <c r="O12" i="2"/>
  <c r="O13" i="2"/>
  <c r="O14" i="2"/>
  <c r="O15" i="2"/>
  <c r="O16" i="2"/>
  <c r="O6" i="2"/>
  <c r="K11" i="2"/>
  <c r="K10" i="2"/>
  <c r="K9" i="2"/>
  <c r="K8" i="2"/>
  <c r="K7" i="2"/>
  <c r="K6" i="2"/>
  <c r="K5" i="2"/>
  <c r="K4" i="2"/>
  <c r="K3" i="2"/>
  <c r="K2" i="2"/>
  <c r="F2" i="1"/>
  <c r="K2" i="1" s="1"/>
  <c r="G2" i="1"/>
  <c r="H2" i="1"/>
  <c r="J2" i="1"/>
  <c r="L2" i="1"/>
  <c r="M2" i="1"/>
  <c r="F3" i="1"/>
  <c r="G3" i="1"/>
  <c r="K3" i="1" s="1"/>
  <c r="N3" i="1" s="1"/>
  <c r="H3" i="1"/>
  <c r="J3" i="1"/>
  <c r="L3" i="1"/>
  <c r="M3" i="1"/>
  <c r="S3" i="1"/>
  <c r="F4" i="1"/>
  <c r="K4" i="1" s="1"/>
  <c r="N4" i="1" s="1"/>
  <c r="G4" i="1"/>
  <c r="H4" i="1"/>
  <c r="J4" i="1"/>
  <c r="L4" i="1"/>
  <c r="M4" i="1"/>
  <c r="S8" i="1" s="1"/>
  <c r="F5" i="1"/>
  <c r="G5" i="1"/>
  <c r="K5" i="1" s="1"/>
  <c r="N5" i="1" s="1"/>
  <c r="H5" i="1"/>
  <c r="J5" i="1"/>
  <c r="L5" i="1"/>
  <c r="M5" i="1"/>
  <c r="S5" i="1"/>
  <c r="F6" i="1"/>
  <c r="G6" i="1"/>
  <c r="H6" i="1"/>
  <c r="J6" i="1"/>
  <c r="K6" i="1"/>
  <c r="N6" i="1" s="1"/>
  <c r="L6" i="1"/>
  <c r="M6" i="1"/>
  <c r="T6" i="1"/>
  <c r="F7" i="1"/>
  <c r="G7" i="1"/>
  <c r="H7" i="1"/>
  <c r="J7" i="1"/>
  <c r="N7" i="1" s="1"/>
  <c r="K7" i="1"/>
  <c r="L7" i="1"/>
  <c r="M7" i="1"/>
  <c r="F8" i="1"/>
  <c r="G8" i="1"/>
  <c r="H8" i="1"/>
  <c r="K8" i="1" s="1"/>
  <c r="J8" i="1"/>
  <c r="L8" i="1"/>
  <c r="M8" i="1"/>
  <c r="F9" i="1"/>
  <c r="G9" i="1"/>
  <c r="T4" i="1" s="1"/>
  <c r="H9" i="1"/>
  <c r="J9" i="1"/>
  <c r="S7" i="1" s="1"/>
  <c r="L9" i="1"/>
  <c r="M9" i="1"/>
  <c r="F10" i="1"/>
  <c r="S11" i="1" s="1"/>
  <c r="G10" i="1"/>
  <c r="H10" i="1"/>
  <c r="J10" i="1"/>
  <c r="L10" i="1"/>
  <c r="M10" i="1"/>
  <c r="S10" i="1"/>
  <c r="F11" i="1"/>
  <c r="K11" i="1" s="1"/>
  <c r="N11" i="1" s="1"/>
  <c r="G11" i="1"/>
  <c r="H11" i="1"/>
  <c r="J11" i="1"/>
  <c r="L11" i="1"/>
  <c r="M11" i="1"/>
  <c r="F12" i="1"/>
  <c r="K12" i="1" s="1"/>
  <c r="N12" i="1" s="1"/>
  <c r="G12" i="1"/>
  <c r="H12" i="1"/>
  <c r="J12" i="1"/>
  <c r="L12" i="1"/>
  <c r="M12" i="1"/>
  <c r="F13" i="1"/>
  <c r="K13" i="1" s="1"/>
  <c r="N13" i="1" s="1"/>
  <c r="G13" i="1"/>
  <c r="H13" i="1"/>
  <c r="J13" i="1"/>
  <c r="L13" i="1"/>
  <c r="M13" i="1"/>
  <c r="F14" i="1"/>
  <c r="K14" i="1" s="1"/>
  <c r="N14" i="1" s="1"/>
  <c r="E48" i="1" s="1"/>
  <c r="G14" i="1"/>
  <c r="H14" i="1"/>
  <c r="J14" i="1"/>
  <c r="L14" i="1"/>
  <c r="M14" i="1"/>
  <c r="S14" i="1"/>
  <c r="F15" i="1"/>
  <c r="G15" i="1"/>
  <c r="H15" i="1"/>
  <c r="J15" i="1"/>
  <c r="K15" i="1"/>
  <c r="N15" i="1" s="1"/>
  <c r="L15" i="1"/>
  <c r="M15" i="1"/>
  <c r="S15" i="1"/>
  <c r="F16" i="1"/>
  <c r="G16" i="1"/>
  <c r="H16" i="1"/>
  <c r="J16" i="1"/>
  <c r="N16" i="1" s="1"/>
  <c r="K16" i="1"/>
  <c r="L16" i="1"/>
  <c r="M16" i="1"/>
  <c r="F17" i="1"/>
  <c r="G17" i="1"/>
  <c r="H17" i="1"/>
  <c r="K17" i="1" s="1"/>
  <c r="J17" i="1"/>
  <c r="N17" i="1" s="1"/>
  <c r="L17" i="1"/>
  <c r="M17" i="1"/>
  <c r="F18" i="1"/>
  <c r="G18" i="1"/>
  <c r="K18" i="1" s="1"/>
  <c r="H18" i="1"/>
  <c r="J18" i="1"/>
  <c r="L18" i="1"/>
  <c r="M18" i="1"/>
  <c r="S18" i="1"/>
  <c r="F19" i="1"/>
  <c r="K19" i="1" s="1"/>
  <c r="G19" i="1"/>
  <c r="H19" i="1"/>
  <c r="J19" i="1"/>
  <c r="L19" i="1"/>
  <c r="M19" i="1"/>
  <c r="F20" i="1"/>
  <c r="K20" i="1" s="1"/>
  <c r="G20" i="1"/>
  <c r="H20" i="1"/>
  <c r="J20" i="1"/>
  <c r="N20" i="1" s="1"/>
  <c r="L20" i="1"/>
  <c r="M20" i="1"/>
  <c r="F21" i="1"/>
  <c r="K21" i="1" s="1"/>
  <c r="N21" i="1" s="1"/>
  <c r="G21" i="1"/>
  <c r="H21" i="1"/>
  <c r="J21" i="1"/>
  <c r="L21" i="1"/>
  <c r="M21" i="1"/>
  <c r="F22" i="1"/>
  <c r="K22" i="1" s="1"/>
  <c r="N22" i="1" s="1"/>
  <c r="G22" i="1"/>
  <c r="H22" i="1"/>
  <c r="J22" i="1"/>
  <c r="L22" i="1"/>
  <c r="M22" i="1"/>
  <c r="U22" i="1"/>
  <c r="F23" i="1"/>
  <c r="G23" i="1"/>
  <c r="H23" i="1"/>
  <c r="J23" i="1"/>
  <c r="K23" i="1"/>
  <c r="N23" i="1" s="1"/>
  <c r="L23" i="1"/>
  <c r="M23" i="1"/>
  <c r="U23" i="1"/>
  <c r="F24" i="1"/>
  <c r="G24" i="1"/>
  <c r="H24" i="1"/>
  <c r="J24" i="1"/>
  <c r="N24" i="1" s="1"/>
  <c r="K24" i="1"/>
  <c r="L24" i="1"/>
  <c r="M24" i="1"/>
  <c r="U24" i="1"/>
  <c r="F25" i="1"/>
  <c r="G25" i="1"/>
  <c r="H25" i="1"/>
  <c r="K25" i="1" s="1"/>
  <c r="J25" i="1"/>
  <c r="N25" i="1" s="1"/>
  <c r="L25" i="1"/>
  <c r="M25" i="1"/>
  <c r="F26" i="1"/>
  <c r="G26" i="1"/>
  <c r="H26" i="1"/>
  <c r="K26" i="1" s="1"/>
  <c r="J26" i="1"/>
  <c r="N26" i="1" s="1"/>
  <c r="L26" i="1"/>
  <c r="M26" i="1"/>
  <c r="F27" i="1"/>
  <c r="G27" i="1"/>
  <c r="H27" i="1"/>
  <c r="K27" i="1" s="1"/>
  <c r="J27" i="1"/>
  <c r="N27" i="1" s="1"/>
  <c r="L27" i="1"/>
  <c r="M27" i="1"/>
  <c r="F28" i="1"/>
  <c r="G28" i="1"/>
  <c r="H28" i="1"/>
  <c r="K28" i="1" s="1"/>
  <c r="J28" i="1"/>
  <c r="N28" i="1" s="1"/>
  <c r="L28" i="1"/>
  <c r="M28" i="1"/>
  <c r="F29" i="1"/>
  <c r="G29" i="1"/>
  <c r="H29" i="1"/>
  <c r="K29" i="1" s="1"/>
  <c r="J29" i="1"/>
  <c r="N29" i="1" s="1"/>
  <c r="L29" i="1"/>
  <c r="M29" i="1"/>
  <c r="F30" i="1"/>
  <c r="G30" i="1"/>
  <c r="H30" i="1"/>
  <c r="K30" i="1" s="1"/>
  <c r="J30" i="1"/>
  <c r="N30" i="1" s="1"/>
  <c r="L30" i="1"/>
  <c r="M30" i="1"/>
  <c r="F31" i="1"/>
  <c r="G31" i="1"/>
  <c r="H31" i="1"/>
  <c r="K31" i="1" s="1"/>
  <c r="J31" i="1"/>
  <c r="N31" i="1" s="1"/>
  <c r="L31" i="1"/>
  <c r="M31" i="1"/>
  <c r="F32" i="1"/>
  <c r="G32" i="1"/>
  <c r="H32" i="1"/>
  <c r="K32" i="1" s="1"/>
  <c r="J32" i="1"/>
  <c r="N32" i="1" s="1"/>
  <c r="L32" i="1"/>
  <c r="M32" i="1"/>
  <c r="F33" i="1"/>
  <c r="G33" i="1"/>
  <c r="H33" i="1"/>
  <c r="K33" i="1" s="1"/>
  <c r="J33" i="1"/>
  <c r="N33" i="1" s="1"/>
  <c r="L33" i="1"/>
  <c r="M33" i="1"/>
  <c r="F34" i="1"/>
  <c r="G34" i="1"/>
  <c r="H34" i="1"/>
  <c r="K34" i="1" s="1"/>
  <c r="J34" i="1"/>
  <c r="N34" i="1" s="1"/>
  <c r="L34" i="1"/>
  <c r="M34" i="1"/>
  <c r="F35" i="1"/>
  <c r="G35" i="1"/>
  <c r="H35" i="1"/>
  <c r="K35" i="1" s="1"/>
  <c r="J35" i="1"/>
  <c r="N35" i="1" s="1"/>
  <c r="L35" i="1"/>
  <c r="M35" i="1"/>
  <c r="F36" i="1"/>
  <c r="G36" i="1"/>
  <c r="H36" i="1"/>
  <c r="K36" i="1" s="1"/>
  <c r="J36" i="1"/>
  <c r="N36" i="1" s="1"/>
  <c r="L36" i="1"/>
  <c r="M36" i="1"/>
  <c r="F37" i="1"/>
  <c r="G37" i="1"/>
  <c r="H37" i="1"/>
  <c r="K37" i="1" s="1"/>
  <c r="J37" i="1"/>
  <c r="N37" i="1" s="1"/>
  <c r="L37" i="1"/>
  <c r="M37" i="1"/>
  <c r="F38" i="1"/>
  <c r="G38" i="1"/>
  <c r="H38" i="1"/>
  <c r="K38" i="1" s="1"/>
  <c r="J38" i="1"/>
  <c r="N38" i="1" s="1"/>
  <c r="L38" i="1"/>
  <c r="M38" i="1"/>
  <c r="F39" i="1"/>
  <c r="G39" i="1"/>
  <c r="H39" i="1"/>
  <c r="K39" i="1" s="1"/>
  <c r="J39" i="1"/>
  <c r="N39" i="1" s="1"/>
  <c r="L39" i="1"/>
  <c r="M39" i="1"/>
  <c r="F40" i="1"/>
  <c r="G40" i="1"/>
  <c r="H40" i="1"/>
  <c r="K40" i="1" s="1"/>
  <c r="J40" i="1"/>
  <c r="N40" i="1" s="1"/>
  <c r="L40" i="1"/>
  <c r="M40" i="1"/>
  <c r="F41" i="1"/>
  <c r="G41" i="1"/>
  <c r="H41" i="1"/>
  <c r="K41" i="1" s="1"/>
  <c r="J41" i="1"/>
  <c r="N41" i="1" s="1"/>
  <c r="L41" i="1"/>
  <c r="M41" i="1"/>
  <c r="E49" i="1"/>
  <c r="E50" i="1"/>
  <c r="I54" i="1"/>
  <c r="J34" i="3" l="1"/>
  <c r="J36" i="3"/>
  <c r="J35" i="3"/>
  <c r="J37" i="3"/>
  <c r="J33" i="3"/>
  <c r="W71" i="1"/>
  <c r="AE71" i="1"/>
  <c r="H71" i="1"/>
  <c r="P71" i="1"/>
  <c r="X71" i="1"/>
  <c r="AF71" i="1"/>
  <c r="AN71" i="1"/>
  <c r="A71" i="1"/>
  <c r="I71" i="1"/>
  <c r="Q71" i="1"/>
  <c r="Y71" i="1"/>
  <c r="AG71" i="1"/>
  <c r="O71" i="1"/>
  <c r="B71" i="1"/>
  <c r="AH71" i="1"/>
  <c r="K71" i="1"/>
  <c r="AI71" i="1"/>
  <c r="D71" i="1"/>
  <c r="L71" i="1"/>
  <c r="T71" i="1"/>
  <c r="AB71" i="1"/>
  <c r="AJ71" i="1"/>
  <c r="J71" i="1"/>
  <c r="Z71" i="1"/>
  <c r="C71" i="1"/>
  <c r="AA71" i="1"/>
  <c r="E71" i="1"/>
  <c r="M71" i="1"/>
  <c r="U71" i="1"/>
  <c r="AC71" i="1"/>
  <c r="AK71" i="1"/>
  <c r="G71" i="1"/>
  <c r="R71" i="1"/>
  <c r="S71" i="1"/>
  <c r="F71" i="1"/>
  <c r="N71" i="1"/>
  <c r="V71" i="1"/>
  <c r="AD71" i="1"/>
  <c r="AL71" i="1"/>
  <c r="N18" i="1"/>
  <c r="N19" i="1"/>
  <c r="N8" i="1"/>
  <c r="N2" i="1"/>
  <c r="S9" i="1"/>
  <c r="N9" i="1"/>
  <c r="J54" i="1" s="1"/>
  <c r="S16" i="1"/>
  <c r="K10" i="1"/>
  <c r="S13" i="1" s="1"/>
  <c r="K9" i="1"/>
  <c r="K54" i="1" s="1"/>
  <c r="G40" i="3" l="1"/>
  <c r="G41" i="3" s="1"/>
  <c r="N10" i="1"/>
  <c r="S17" i="1" s="1"/>
  <c r="S20" i="1"/>
  <c r="T20" i="1"/>
  <c r="I40" i="3" l="1"/>
  <c r="I41" i="3" s="1"/>
  <c r="U20" i="1"/>
</calcChain>
</file>

<file path=xl/sharedStrings.xml><?xml version="1.0" encoding="utf-8"?>
<sst xmlns="http://schemas.openxmlformats.org/spreadsheetml/2006/main" count="553" uniqueCount="353">
  <si>
    <t>s.no.</t>
  </si>
  <si>
    <t>Employee name</t>
  </si>
  <si>
    <t>employee ID</t>
  </si>
  <si>
    <t>designation</t>
  </si>
  <si>
    <t>basic salary</t>
  </si>
  <si>
    <t>HRA</t>
  </si>
  <si>
    <t>TA</t>
  </si>
  <si>
    <t>other allowances</t>
  </si>
  <si>
    <t>overtime hours</t>
  </si>
  <si>
    <t>overtime amount</t>
  </si>
  <si>
    <t>Gross salary</t>
  </si>
  <si>
    <t>PF</t>
  </si>
  <si>
    <t>ESI</t>
  </si>
  <si>
    <t>in the hand salary</t>
  </si>
  <si>
    <t>James</t>
  </si>
  <si>
    <t>Elizabeth</t>
  </si>
  <si>
    <t>William</t>
  </si>
  <si>
    <t>Joseph</t>
  </si>
  <si>
    <t>Thomas</t>
  </si>
  <si>
    <t>Michael</t>
  </si>
  <si>
    <t>David</t>
  </si>
  <si>
    <t>Samuel</t>
  </si>
  <si>
    <t>Daniel</t>
  </si>
  <si>
    <t>Benjamin</t>
  </si>
  <si>
    <t>Andrew</t>
  </si>
  <si>
    <t>Nathan</t>
  </si>
  <si>
    <t>Evelyn</t>
  </si>
  <si>
    <t>Emma</t>
  </si>
  <si>
    <t>Grace</t>
  </si>
  <si>
    <t>Charlotte</t>
  </si>
  <si>
    <t>Abigail</t>
  </si>
  <si>
    <t>Amelia</t>
  </si>
  <si>
    <t>Olivia</t>
  </si>
  <si>
    <t>Madison</t>
  </si>
  <si>
    <t>Aaron</t>
  </si>
  <si>
    <t>Chloe</t>
  </si>
  <si>
    <t>Sophia</t>
  </si>
  <si>
    <t>Isabella</t>
  </si>
  <si>
    <t>Ava</t>
  </si>
  <si>
    <t>Mia</t>
  </si>
  <si>
    <t>Ella</t>
  </si>
  <si>
    <t>Scarlett</t>
  </si>
  <si>
    <t>Harper</t>
  </si>
  <si>
    <t>Alexander</t>
  </si>
  <si>
    <t>Matthew</t>
  </si>
  <si>
    <t>Joshua</t>
  </si>
  <si>
    <t>Ryan</t>
  </si>
  <si>
    <t>Avery</t>
  </si>
  <si>
    <t>Sofia</t>
  </si>
  <si>
    <t>Jonathan</t>
  </si>
  <si>
    <t>Christian</t>
  </si>
  <si>
    <t>Caleb</t>
  </si>
  <si>
    <t>Lily</t>
  </si>
  <si>
    <t>Evan</t>
  </si>
  <si>
    <t>ENP0001</t>
  </si>
  <si>
    <t>ENP0002</t>
  </si>
  <si>
    <t>ENP0003</t>
  </si>
  <si>
    <t>ENP0004</t>
  </si>
  <si>
    <t>ENP0005</t>
  </si>
  <si>
    <t>ENP0006</t>
  </si>
  <si>
    <t>ENP0007</t>
  </si>
  <si>
    <t>ENP0008</t>
  </si>
  <si>
    <t>ENP0009</t>
  </si>
  <si>
    <t>ENP0010</t>
  </si>
  <si>
    <t>ENP0011</t>
  </si>
  <si>
    <t>ENP0012</t>
  </si>
  <si>
    <t>ENP0013</t>
  </si>
  <si>
    <t>ENP0014</t>
  </si>
  <si>
    <t>ENP0015</t>
  </si>
  <si>
    <t>ENP0016</t>
  </si>
  <si>
    <t>ENP0017</t>
  </si>
  <si>
    <t>ENP0018</t>
  </si>
  <si>
    <t>ENP0019</t>
  </si>
  <si>
    <t>ENP0020</t>
  </si>
  <si>
    <t>ENP0021</t>
  </si>
  <si>
    <t>ENP0022</t>
  </si>
  <si>
    <t>ENP0023</t>
  </si>
  <si>
    <t>ENP0024</t>
  </si>
  <si>
    <t>ENP0025</t>
  </si>
  <si>
    <t>ENP0026</t>
  </si>
  <si>
    <t>ENP0027</t>
  </si>
  <si>
    <t>ENP0028</t>
  </si>
  <si>
    <t>ENP0029</t>
  </si>
  <si>
    <t>ENP0030</t>
  </si>
  <si>
    <t>ENP0031</t>
  </si>
  <si>
    <t>ENP0032</t>
  </si>
  <si>
    <t>ENP0033</t>
  </si>
  <si>
    <t>ENP0034</t>
  </si>
  <si>
    <t>ENP0035</t>
  </si>
  <si>
    <t>ENP0036</t>
  </si>
  <si>
    <t>ENP0037</t>
  </si>
  <si>
    <t>ENP0038</t>
  </si>
  <si>
    <t>ENP0039</t>
  </si>
  <si>
    <t>ENP0040</t>
  </si>
  <si>
    <t>Chief Financial Officer (CFO)</t>
  </si>
  <si>
    <t>Operations Manager</t>
  </si>
  <si>
    <t>Software Engineer</t>
  </si>
  <si>
    <t>Marketing Manager</t>
  </si>
  <si>
    <t>Data Analyst</t>
  </si>
  <si>
    <t>Human Resources Specialist</t>
  </si>
  <si>
    <t>UX Designer</t>
  </si>
  <si>
    <t>Project Coordinator</t>
  </si>
  <si>
    <t>Cybersecurity Analyst</t>
  </si>
  <si>
    <t>Sales Executive</t>
  </si>
  <si>
    <t>Content Strategist</t>
  </si>
  <si>
    <t>Product Owner</t>
  </si>
  <si>
    <t>Business Analyst</t>
  </si>
  <si>
    <t>Legal Advisor</t>
  </si>
  <si>
    <t>Customer Support Representative</t>
  </si>
  <si>
    <t>Art Director</t>
  </si>
  <si>
    <t>Mechanical Engineer</t>
  </si>
  <si>
    <t>Research Scientist</t>
  </si>
  <si>
    <t>Financial Analyst</t>
  </si>
  <si>
    <t>Creative Director</t>
  </si>
  <si>
    <t>what is the highest gross salary</t>
  </si>
  <si>
    <t xml:space="preserve">maximum amount generted by overtime is </t>
  </si>
  <si>
    <t>average basic salary of all the employee</t>
  </si>
  <si>
    <t>difference of gross salary and basic salary of fifth employee in your excel sheet</t>
  </si>
  <si>
    <t>find sum of in hand salary of all the employee</t>
  </si>
  <si>
    <t>average overtime hours of the employee</t>
  </si>
  <si>
    <t>find what percentage of in hand salary of 6th and 8th employee generated by overtime work</t>
  </si>
  <si>
    <t>find the sum of gross salaryy of highest and lowest earning employee</t>
  </si>
  <si>
    <t xml:space="preserve">create a new coloum and categorize employee based on their gross salary </t>
  </si>
  <si>
    <t>a) if salary greater than 9000000 than "high"</t>
  </si>
  <si>
    <t>b) if salary greater than 5000000 than "mediam"</t>
  </si>
  <si>
    <t>c) if salary less than 2000000 than "low"</t>
  </si>
  <si>
    <t xml:space="preserve"> </t>
  </si>
  <si>
    <t>how many employees have a basic salary greater than 2000000 ?</t>
  </si>
  <si>
    <t xml:space="preserve">how many employees received exactly 30000 as TA (transport allowance) ? </t>
  </si>
  <si>
    <t xml:space="preserve">what is the totale gross salary of employees whose basic salary is more than 3000000 ? </t>
  </si>
  <si>
    <t>what is the total PF for employees whose ESI is less than 10000 ?</t>
  </si>
  <si>
    <t>what is the average basic salary of employees whose gross salary is more than 2500000</t>
  </si>
  <si>
    <t xml:space="preserve">what is the average overtime amount for employees who worked more than 6 hours ? </t>
  </si>
  <si>
    <t>what is the average in hand salary of employees whose HRAis greater than 4000000</t>
  </si>
  <si>
    <t xml:space="preserve">                                                                       Question  </t>
  </si>
  <si>
    <t>Column1</t>
  </si>
  <si>
    <t>Column2</t>
  </si>
  <si>
    <t>Column3</t>
  </si>
  <si>
    <t xml:space="preserve">how many employees worked more than 5 overtime hours ? </t>
  </si>
  <si>
    <t>What is the average TA of employees whose Basic Salary is less than ₹30,000 and designation is "Trainee"?</t>
  </si>
  <si>
    <t>Trainee</t>
  </si>
  <si>
    <t>what is the total Basic Salary of employees whose TA is more than ₹5000 and HRA is less than 1500000 ?</t>
  </si>
  <si>
    <t>How many employees with the designation "Helper" have an Overtime Amount greater than 3000000 ?</t>
  </si>
  <si>
    <t>How many employees have the designation "Data Analyst" and worked more than 5 Overtime Hours ?</t>
  </si>
  <si>
    <t>What is the total In-Hand Salary of employees who worked more than 10 Overtime Hours and have a PF greater than ₹3000 ?</t>
  </si>
  <si>
    <t>What is the average In-Hand Salary of employees who worked more than 5 Overtime Hours and have Gross Salary above ₹40,000 ?</t>
  </si>
  <si>
    <r>
      <t xml:space="preserve">Find the in-hand salary of the </t>
    </r>
    <r>
      <rPr>
        <b/>
        <sz val="10"/>
        <color theme="1"/>
        <rFont val="Arial Unicode MS"/>
      </rPr>
      <t>Charlotte</t>
    </r>
  </si>
  <si>
    <t>find the designation of Elizabeth</t>
  </si>
  <si>
    <t>Find the overtime amount for sophia</t>
  </si>
  <si>
    <t xml:space="preserve">Name </t>
  </si>
  <si>
    <t xml:space="preserve">desigation </t>
  </si>
  <si>
    <t>in-hand-salary</t>
  </si>
  <si>
    <t xml:space="preserve">gross salary </t>
  </si>
  <si>
    <t>what is the total overtime amount for employees who worked more than 6 hours ?</t>
  </si>
  <si>
    <t>Column4</t>
  </si>
  <si>
    <t xml:space="preserve">   </t>
  </si>
  <si>
    <t>12th</t>
  </si>
  <si>
    <t>Sofia Garcia</t>
  </si>
  <si>
    <t>Kevin Chen</t>
  </si>
  <si>
    <t>Aisha Patel</t>
  </si>
  <si>
    <t>Sara Ahmed</t>
  </si>
  <si>
    <t>Jacob Nguyen</t>
  </si>
  <si>
    <t>Emily Lopez</t>
  </si>
  <si>
    <t>Daniel Kim</t>
  </si>
  <si>
    <t>Priya Sharma</t>
  </si>
  <si>
    <t>Alex Johnson</t>
  </si>
  <si>
    <t>Grade</t>
  </si>
  <si>
    <t>percentage</t>
  </si>
  <si>
    <t xml:space="preserve">total marks </t>
  </si>
  <si>
    <t>Eco</t>
  </si>
  <si>
    <t>Hindi</t>
  </si>
  <si>
    <t>English</t>
  </si>
  <si>
    <t>Maths</t>
  </si>
  <si>
    <t xml:space="preserve">Anccount </t>
  </si>
  <si>
    <t>Class</t>
  </si>
  <si>
    <t xml:space="preserve">s. no. </t>
  </si>
  <si>
    <t>MichaelBrown</t>
  </si>
  <si>
    <t xml:space="preserve">AGE    </t>
  </si>
  <si>
    <t xml:space="preserve"> eligiblity</t>
  </si>
  <si>
    <t>evan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</si>
  <si>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</si>
  <si>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</si>
  <si>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</si>
  <si>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</si>
  <si>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</si>
  <si>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</si>
  <si>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</si>
  <si>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</si>
  <si>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</si>
  <si>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</si>
  <si>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</si>
  <si>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</si>
  <si>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</si>
  <si>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</si>
  <si>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</si>
  <si>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</si>
  <si>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</si>
  <si>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</si>
  <si>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</si>
  <si>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</si>
  <si>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</si>
  <si>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</si>
  <si>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</si>
  <si>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</si>
  <si>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</si>
  <si>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</si>
  <si>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</si>
  <si>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</si>
  <si>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</si>
  <si>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</si>
  <si>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</si>
  <si>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</si>
  <si>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</si>
  <si>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</si>
  <si>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</si>
  <si>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</si>
  <si>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</si>
  <si>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</si>
  <si>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</si>
  <si>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</si>
  <si>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overtime</t>
  </si>
  <si>
    <t>Name</t>
  </si>
  <si>
    <t>Age</t>
  </si>
  <si>
    <t>Marksheet</t>
  </si>
  <si>
    <t>Sno.</t>
  </si>
  <si>
    <t>Roll no.</t>
  </si>
  <si>
    <t>Father name</t>
  </si>
  <si>
    <t>Mother name</t>
  </si>
  <si>
    <t>Aarav Sharma</t>
  </si>
  <si>
    <t>Anaya Reddy</t>
  </si>
  <si>
    <t>Vivaan Mehta</t>
  </si>
  <si>
    <t>Diya Kapoor</t>
  </si>
  <si>
    <t>Arnav Singh</t>
  </si>
  <si>
    <t>Kiara Joshi</t>
  </si>
  <si>
    <t>Rishi Verma</t>
  </si>
  <si>
    <t>Meher Nair</t>
  </si>
  <si>
    <t>Kunal Thakur</t>
  </si>
  <si>
    <t>Tanya Iyer</t>
  </si>
  <si>
    <t>Manav Jain</t>
  </si>
  <si>
    <t>Sanya Das</t>
  </si>
  <si>
    <t>Kabir Roy</t>
  </si>
  <si>
    <t>Myra Pillai</t>
  </si>
  <si>
    <t>Dev Chauhan</t>
  </si>
  <si>
    <t>Rhea Malhotra</t>
  </si>
  <si>
    <t>Ishaan Sethi</t>
  </si>
  <si>
    <t>Naina Bhatia</t>
  </si>
  <si>
    <t>Veer Gulati</t>
  </si>
  <si>
    <t>Sanika Rao</t>
  </si>
  <si>
    <t>11th</t>
  </si>
  <si>
    <t>Rajesh Sharma</t>
  </si>
  <si>
    <t>Suresh Reddy</t>
  </si>
  <si>
    <t>Anil Mehta</t>
  </si>
  <si>
    <t>Vinod Kapoor</t>
  </si>
  <si>
    <t>Mahesh Singh</t>
  </si>
  <si>
    <t>Rakesh Joshi</t>
  </si>
  <si>
    <t>Deepak Verma</t>
  </si>
  <si>
    <t>Prakash Nair</t>
  </si>
  <si>
    <t>Manoj Thakur</t>
  </si>
  <si>
    <t>Amit Iyer</t>
  </si>
  <si>
    <t>Ashok Jain</t>
  </si>
  <si>
    <t>Subhash Das</t>
  </si>
  <si>
    <t>Sanjay Roy</t>
  </si>
  <si>
    <t>Ravi Pillai</t>
  </si>
  <si>
    <t>Dinesh Chauhan</t>
  </si>
  <si>
    <t>Alok Malhotra</t>
  </si>
  <si>
    <t>Nitin Sethi</t>
  </si>
  <si>
    <t>Harish Bhatia</t>
  </si>
  <si>
    <t>Ajay Gulati</t>
  </si>
  <si>
    <t>Vikas Rao</t>
  </si>
  <si>
    <t>Sunita Sharma</t>
  </si>
  <si>
    <t>Kavita Reddy</t>
  </si>
  <si>
    <t>Nandini Mehta</t>
  </si>
  <si>
    <t>Pooja Kapoor</t>
  </si>
  <si>
    <t>Rekha Singh</t>
  </si>
  <si>
    <t>Anita Joshi</t>
  </si>
  <si>
    <t>Shalini Verma</t>
  </si>
  <si>
    <t>Latha Nair</t>
  </si>
  <si>
    <t>Sneha Thakur</t>
  </si>
  <si>
    <t>Meena Iyer</t>
  </si>
  <si>
    <t>Vandana Jain</t>
  </si>
  <si>
    <t>Anju Das</t>
  </si>
  <si>
    <t>Ritu Roy</t>
  </si>
  <si>
    <t>Maya Pillai</t>
  </si>
  <si>
    <t>Jyoti Chauhan</t>
  </si>
  <si>
    <t>Neeta Malhotra</t>
  </si>
  <si>
    <t>Preeti Sethi</t>
  </si>
  <si>
    <t>Kiran Bhatia</t>
  </si>
  <si>
    <t>Asha Gulati</t>
  </si>
  <si>
    <t>Swati Rao</t>
  </si>
  <si>
    <t>Student Information</t>
  </si>
  <si>
    <t>Math</t>
  </si>
  <si>
    <t>Scince</t>
  </si>
  <si>
    <t>Sst</t>
  </si>
  <si>
    <t>Unit Test-1(40)</t>
  </si>
  <si>
    <t>Mid Test(80)</t>
  </si>
  <si>
    <t>Hindi2</t>
  </si>
  <si>
    <t>Hindi3</t>
  </si>
  <si>
    <t>English2</t>
  </si>
  <si>
    <t>Math2</t>
  </si>
  <si>
    <t>Scince2</t>
  </si>
  <si>
    <t>Sst2</t>
  </si>
  <si>
    <t>English4</t>
  </si>
  <si>
    <t>Math5</t>
  </si>
  <si>
    <t>Scince6</t>
  </si>
  <si>
    <t>Sst7</t>
  </si>
  <si>
    <t>Unit test-2 (40)</t>
  </si>
  <si>
    <t>Final test(80)</t>
  </si>
  <si>
    <t>Mother's name</t>
  </si>
  <si>
    <t>Father's Name</t>
  </si>
  <si>
    <t>UNIT I</t>
  </si>
  <si>
    <t>SUBJECT</t>
  </si>
  <si>
    <t>MID TEST</t>
  </si>
  <si>
    <t>UNIT 2</t>
  </si>
  <si>
    <t xml:space="preserve">FINAL TEST </t>
  </si>
  <si>
    <t>TOTAL MARKS</t>
  </si>
  <si>
    <t>GRADE</t>
  </si>
  <si>
    <t>REMARK</t>
  </si>
  <si>
    <t>OVERALL PERCENTAGE</t>
  </si>
  <si>
    <t>CIF Number:</t>
  </si>
  <si>
    <t>Account Number:</t>
  </si>
  <si>
    <t>IFSC Code:</t>
  </si>
  <si>
    <t>SBIN0001249</t>
  </si>
  <si>
    <t>Customer Name:</t>
  </si>
  <si>
    <t>Suraj</t>
  </si>
  <si>
    <t>S/O/W/H/O:</t>
  </si>
  <si>
    <t>Dharmesh</t>
  </si>
  <si>
    <t>Moblie Number</t>
  </si>
  <si>
    <t>D.O.B:</t>
  </si>
  <si>
    <t>19-04-04</t>
  </si>
  <si>
    <t>Email:</t>
  </si>
  <si>
    <t>Status:</t>
  </si>
  <si>
    <t>Address:</t>
  </si>
  <si>
    <t>Champawat</t>
  </si>
  <si>
    <t>Opening Date:</t>
  </si>
  <si>
    <t>Pin Code:</t>
  </si>
  <si>
    <t>Branch Location:</t>
  </si>
  <si>
    <t>Branch Email:</t>
  </si>
  <si>
    <t>Branch Code:</t>
  </si>
  <si>
    <t>DATE</t>
  </si>
  <si>
    <t>PARTICULAR</t>
  </si>
  <si>
    <t>CHEQUE NO.</t>
  </si>
  <si>
    <t>DEBIT</t>
  </si>
  <si>
    <t>CREDIT</t>
  </si>
  <si>
    <t>BALANCE</t>
  </si>
  <si>
    <t>12-04=21</t>
  </si>
  <si>
    <t>23-04-21</t>
  </si>
  <si>
    <t>29-04-21</t>
  </si>
  <si>
    <t xml:space="preserve">                16-11-22</t>
  </si>
  <si>
    <t xml:space="preserve">Account open </t>
  </si>
  <si>
    <t>Cah deposit</t>
  </si>
  <si>
    <t>Amazonprime autopay</t>
  </si>
  <si>
    <t>Mobile Reaharge</t>
  </si>
  <si>
    <t>NEFT From 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</si>
</sst>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0"/>
      <color theme="1"/>
      <name val="Arial Unicode MS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2" borderId="2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0" borderId="3" xfId="0" applyFont="1" applyBorder="1"/>
    <xf numFmtId="0" fontId="3" fillId="0" borderId="0" xfId="0" applyFont="1" applyAlignment="1">
      <alignment vertical="center" wrapText="1"/>
    </xf>
    <xf numFmtId="0" fontId="3" fillId="8" borderId="0" xfId="0" applyFont="1" applyFill="1"/>
    <xf numFmtId="0" fontId="0" fillId="9" borderId="0" xfId="0" applyFill="1"/>
    <xf numFmtId="0" fontId="3" fillId="11" borderId="0" xfId="0" applyFont="1" applyFill="1"/>
    <xf numFmtId="0" fontId="0" fillId="1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/>
    <xf numFmtId="0" fontId="3" fillId="0" borderId="8" xfId="0" applyFont="1" applyBorder="1"/>
    <xf numFmtId="0" fontId="3" fillId="6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6" fillId="1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14" borderId="7" xfId="0" applyFill="1" applyBorder="1"/>
    <xf numFmtId="0" fontId="0" fillId="14" borderId="0" xfId="0" applyFill="1" applyBorder="1"/>
    <xf numFmtId="0" fontId="0" fillId="14" borderId="8" xfId="0" applyFill="1" applyBorder="1"/>
    <xf numFmtId="14" fontId="0" fillId="14" borderId="8" xfId="0" applyNumberFormat="1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14" fontId="0" fillId="14" borderId="7" xfId="0" applyNumberFormat="1" applyFill="1" applyBorder="1"/>
  </cellXfs>
  <cellStyles count="1">
    <cellStyle name="Normal" xfId="0" builtinId="0"/>
  </cellStyles>
  <dxfs count="9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numFmt numFmtId="0" formatCode="General"/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</font>
    </dxf>
    <dxf>
      <font>
        <b val="0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EDB9805-F27D-4CC2-828D-6F5B27659B34}">
          <cx:dataId val="0"/>
          <cx:layoutPr>
            <cx:aggregation/>
          </cx:layoutPr>
          <cx:axisId val="1"/>
        </cx:series>
        <cx:series layoutId="paretoLine" ownerIdx="0" uniqueId="{4EC8BCAF-235D-4FE0-B96C-CDEA0ACB128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2885994</xdr:colOff>
      <xdr:row>74</xdr:row>
      <xdr:rowOff>12586</xdr:rowOff>
    </xdr:from>
    <xdr:to>
      <xdr:col>12</xdr:col>
      <xdr:colOff>1245125</xdr:colOff>
      <xdr:row>103</xdr:row>
      <xdr:rowOff>169606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8F95EC-9C1A-BD72-3625-09FEF0DF73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7594" y="13639686"/>
              <a:ext cx="12106881" cy="5497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75CF8E-30A2-4A6A-9A2F-B6478F59C99D}" name="Table2" displayName="Table2" ref="A1:N41" totalsRowShown="0" dataDxfId="91">
  <autoFilter ref="A1:N41" xr:uid="{E375CF8E-30A2-4A6A-9A2F-B6478F59C99D}"/>
  <tableColumns count="14">
    <tableColumn id="1" xr3:uid="{682F3B84-A9CB-4690-9DD8-E734C7D4B820}" name="s.no." dataDxfId="90"/>
    <tableColumn id="2" xr3:uid="{BE46F481-1190-4ABA-9DA2-79B5A520C66A}" name="Employee name" dataDxfId="89"/>
    <tableColumn id="3" xr3:uid="{3B92088E-E41A-4E2B-917A-BED74983E134}" name="employee ID" dataDxfId="88"/>
    <tableColumn id="4" xr3:uid="{1FBEF42F-7323-44D7-B8FA-1963DF90B697}" name="designation" dataDxfId="87"/>
    <tableColumn id="5" xr3:uid="{58245B8D-FFFC-4C7F-B7E4-31395BC93216}" name="basic salary" dataDxfId="86"/>
    <tableColumn id="6" xr3:uid="{70F4AFB7-020A-42D6-B9EB-7E94C2D89C02}" name="HRA" dataDxfId="85">
      <calculatedColumnFormula>E2*25%</calculatedColumnFormula>
    </tableColumn>
    <tableColumn id="7" xr3:uid="{A88B814B-79CF-408F-98BC-1FC02A9EA1BE}" name="TA" dataDxfId="84">
      <calculatedColumnFormula>E2*10%</calculatedColumnFormula>
    </tableColumn>
    <tableColumn id="8" xr3:uid="{4AD4C767-0180-40F1-AFC2-8740EB0FB542}" name="other allowances" dataDxfId="83">
      <calculatedColumnFormula>E2*15%</calculatedColumnFormula>
    </tableColumn>
    <tableColumn id="9" xr3:uid="{5EDC2282-F347-4850-B5A8-B4CE689BCB31}" name="overtime hours" dataDxfId="82"/>
    <tableColumn id="10" xr3:uid="{FBC8689D-B6D3-4C8D-807B-0507E410BF63}" name="overtime amount" dataDxfId="81">
      <calculatedColumnFormula>I2*100000</calculatedColumnFormula>
    </tableColumn>
    <tableColumn id="11" xr3:uid="{28E5E479-951D-4B81-A5DC-FF9C89AF28CE}" name="Gross salary" dataDxfId="80">
      <calculatedColumnFormula>E2+F2+G2+H2</calculatedColumnFormula>
    </tableColumn>
    <tableColumn id="12" xr3:uid="{3FACA56D-3B04-4A91-8CD2-20B8219D05CC}" name="PF" dataDxfId="79">
      <calculatedColumnFormula>E2*12%</calculatedColumnFormula>
    </tableColumn>
    <tableColumn id="13" xr3:uid="{9219D262-7950-4A53-8A5E-FB0A21009EDB}" name="ESI" dataDxfId="78">
      <calculatedColumnFormula>Sheet1!$E2*5%</calculatedColumnFormula>
    </tableColumn>
    <tableColumn id="14" xr3:uid="{2E90EB94-6498-4F34-A53C-0009FE9A521A}" name="in the hand salary" dataDxfId="77">
      <calculatedColumnFormula>Sheet1!$J2+Sheet1!$K2-L2-M2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29EF49-970C-4F47-8A74-26E26C70CB89}" name="Table8" displayName="Table8" ref="N5:O16" totalsRowShown="0">
  <autoFilter ref="N5:O16" xr:uid="{5829EF49-970C-4F47-8A74-26E26C70CB89}"/>
  <tableColumns count="2">
    <tableColumn id="1" xr3:uid="{F43BAA4E-5F60-4802-8438-3AE522823F22}" name="AGE    "/>
    <tableColumn id="2" xr3:uid="{9BE3482C-84C1-4BBF-BD3A-6DDC9F5DD59D}" name=" eligiblity">
      <calculatedColumnFormula>IF(N6&gt;=18,"yes","no")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A4875-285E-4575-8FA4-C72210344734}" name="Table12" displayName="Table12" ref="A3:F23" headerRowDxfId="18">
  <autoFilter ref="A3:F23" xr:uid="{306A4875-285E-4575-8FA4-C722103447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3BE2C48-06EB-4D5A-9410-AA2B567EB848}" name="Sno." totalsRowLabel="Total"/>
    <tableColumn id="2" xr3:uid="{43822662-5318-47F7-90BD-581E9D95A8B3}" name="Name"/>
    <tableColumn id="3" xr3:uid="{0B02F531-2909-4375-934B-9D8579A07481}" name="Class"/>
    <tableColumn id="4" xr3:uid="{76356AF4-DD29-4B5D-BFDE-C75420D7CAA0}" name="Roll no."/>
    <tableColumn id="5" xr3:uid="{21147A67-5024-4B96-8D58-9A387ED3142F}" name="Father name"/>
    <tableColumn id="6" xr3:uid="{FEC71121-4EC6-4134-B064-9401EB7C0032}" name="Mother name" totalsRowFunction="count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F153AA-9F9B-447D-9966-C51997A42FF5}" name="Table13" displayName="Table13" ref="G3:K23" totalsRowShown="0" headerRowDxfId="17">
  <autoFilter ref="G3:K23" xr:uid="{B8F153AA-9F9B-447D-9966-C51997A42FF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C26BC01-3C86-46B1-A4A8-EB6634EA8BBA}" name="Hindi"/>
    <tableColumn id="2" xr3:uid="{6DAC73B3-FE66-4353-AB6F-AB06F3B61B8C}" name="English"/>
    <tableColumn id="3" xr3:uid="{5F5D16C9-3F79-422C-B440-EFFCDF9E3D36}" name="Math"/>
    <tableColumn id="4" xr3:uid="{90FC9DEA-7491-42CC-81D6-FDCC0D0545E8}" name="Scince"/>
    <tableColumn id="5" xr3:uid="{6D387DEB-7003-47F2-AC95-F42DABEAF083}" name="Sst"/>
  </tableColumns>
  <tableStyleInfo name="TableStyleMedium2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402746-4720-4AAF-8939-6A131742CF4C}" name="Table14" displayName="Table14" ref="L3:Z23" totalsRowShown="0" headerRowDxfId="16">
  <autoFilter ref="L3:Z23" xr:uid="{7C402746-4720-4AAF-8939-6A131742CF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F664E4F8-1B53-4F0E-B08E-E7633B619996}" name="Hindi"/>
    <tableColumn id="2" xr3:uid="{CFBDB7F8-F20A-4AA0-B2A7-874B271C3571}" name="English"/>
    <tableColumn id="3" xr3:uid="{AFFF7F38-0A91-450E-809F-A2200398A4E7}" name="Math"/>
    <tableColumn id="4" xr3:uid="{0DD5756D-37F5-4C71-ACEA-F5E9D5772E82}" name="Scince"/>
    <tableColumn id="5" xr3:uid="{603FD1F0-98D0-477A-9AF1-1A34238572D1}" name="Sst"/>
    <tableColumn id="6" xr3:uid="{B1DB5F6B-532C-41C6-B60B-E77F3515D721}" name="Hindi2" dataDxfId="15"/>
    <tableColumn id="7" xr3:uid="{F2AEB5FB-8A3B-41B4-84CA-B62F6F9D820F}" name="English2" dataDxfId="14"/>
    <tableColumn id="8" xr3:uid="{D8BD8A4D-0138-44E9-8578-B401A9CE8CD9}" name="Math2" dataDxfId="13"/>
    <tableColumn id="9" xr3:uid="{C438D2C2-A9E0-4382-BAC6-6D2454DC70B4}" name="Scince2" dataDxfId="12"/>
    <tableColumn id="10" xr3:uid="{F89AA88D-7A2A-4334-8B93-D5EB394B9C38}" name="Sst2" dataDxfId="11"/>
    <tableColumn id="11" xr3:uid="{17BC170B-9FDA-4A96-9FB0-DE756E644AB8}" name="Hindi3" dataDxfId="10"/>
    <tableColumn id="12" xr3:uid="{71409D24-2097-4347-8D23-3654FF4962C9}" name="English4" dataDxfId="9"/>
    <tableColumn id="13" xr3:uid="{9CBD4DD4-9352-4091-99E4-0D09784322AD}" name="Math5" dataDxfId="8"/>
    <tableColumn id="14" xr3:uid="{2C495D4D-3A4F-4204-988C-8AA79AF013E9}" name="Scince6" dataDxfId="7"/>
    <tableColumn id="15" xr3:uid="{79F9EF4F-06DF-43D4-8161-106E2C4E0DCB}" name="Sst7" dataDxfId="6"/>
  </tableColumns>
  <tableStyleInfo name="TableStyleMedium2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18F2BC-F052-4301-B0B8-BBCFA5B9294D}" name="Table11" displayName="Table11" ref="E32:J37" totalsRowShown="0" headerRowDxfId="5">
  <autoFilter ref="E32:J37" xr:uid="{7A18F2BC-F052-4301-B0B8-BBCFA5B929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3F9675D-CE2A-40B2-89A9-A24DB2F2A97B}" name="SUBJECT" dataDxfId="4"/>
    <tableColumn id="2" xr3:uid="{F9B8FB58-5EB8-41BB-AEC8-64289191317E}" name="UNIT I"/>
    <tableColumn id="3" xr3:uid="{EA36D6D4-3616-4B92-9C27-C189B358439B}" name="MID TEST"/>
    <tableColumn id="4" xr3:uid="{82AC3573-D0F8-4DF8-97E0-A4EE8DADFC82}" name="UNIT 2"/>
    <tableColumn id="5" xr3:uid="{2DD2571F-1534-43AA-BB4D-6726D2EBA8F9}" name="FINAL TEST "/>
    <tableColumn id="6" xr3:uid="{B55BA8A4-1202-4DE6-B120-0DF6E1AB1E0B}" name="TOTAL MARKS" dataDxfId="3">
      <calculatedColumnFormula>SUM(Table11[[#This Row],[UNIT I]],Table11[[#This Row],[MID TEST]],Table11[[#This Row],[UNIT 2]],Table11[[#This Row],[FINAL TEST ]])</calculatedColumnFormula>
    </tableColumn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208B4C7-1EB8-4341-AE9F-63AF4E81CD4C}" name="Table15" displayName="Table15" ref="E28:J30" headerRowCount="0" totalsRowShown="0">
  <tableColumns count="6">
    <tableColumn id="1" xr3:uid="{602B63E7-D2B8-4762-97CA-C5E02B3EF253}" name="Column1"/>
    <tableColumn id="2" xr3:uid="{F151BE9E-1D54-41F7-A466-ABDD87557BBD}" name="Column2"/>
    <tableColumn id="3" xr3:uid="{E503620D-4CCD-4AE3-AA02-715F273142B6}" name="Column3"/>
    <tableColumn id="4" xr3:uid="{4798342F-72E7-4074-BFB2-F2EEE567A0B3}" name="Column4"/>
    <tableColumn id="5" xr3:uid="{601014A3-8D66-4A57-9D39-45306D57A7F3}" name="Column5"/>
    <tableColumn id="6" xr3:uid="{58CF44E6-D0FF-410E-8033-E90F14E4244B}" name="Column6" dataDxfId="2">
      <calculatedColumnFormula>VLOOKUP(F28,B4:Z23,3,0)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BAD88B-CE57-49F5-B0EC-943ABFF27558}" name="Table16" displayName="Table16" ref="E40:J41" headerRowCount="0" totalsRowShown="0">
  <tableColumns count="6">
    <tableColumn id="1" xr3:uid="{401D277D-0D6C-44AE-9C76-15C2AB210098}" name="Column1"/>
    <tableColumn id="2" xr3:uid="{D502226F-DFE8-418E-B921-5F56C9552B26}" name="Column2"/>
    <tableColumn id="3" xr3:uid="{A4D8BF63-7C49-4480-97EA-A69AB37A9585}" name="Column3" dataDxfId="1">
      <calculatedColumnFormula>SUM(J32,J33,J34,J35,J36,)</calculatedColumnFormula>
    </tableColumn>
    <tableColumn id="4" xr3:uid="{DE3FF9B9-AB66-4864-9A37-A3A8BA74C6A9}" name="Column4"/>
    <tableColumn id="5" xr3:uid="{52F1535A-1ECE-4609-A41C-B6C1D2BE0455}" name="Column5" dataDxfId="0">
      <calculatedColumnFormula>_xlfn.IFS(Table16[[#This Row],[Column3]]&gt;800,"a",Table16[[#This Row],[Column3]]&gt;600,"b",Table16[[#This Row],[Column3]]&gt;500,"c",Table16[[#This Row],[Column3]]&lt;300,"fail")</calculatedColumnFormula>
    </tableColumn>
    <tableColumn id="6" xr3:uid="{5F6BC601-69E1-476F-942F-31410A2E542E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F73D2B-2AC6-476B-BC33-2EC1D950BF1F}" name="Table1" displayName="Table1" ref="R1:U24" totalsRowShown="0">
  <autoFilter ref="R1:U24" xr:uid="{51F73D2B-2AC6-476B-BC33-2EC1D950BF1F}"/>
  <tableColumns count="4">
    <tableColumn id="1" xr3:uid="{941F83A1-CAC2-40B5-8A43-7AADD94F64E0}" name="Column1"/>
    <tableColumn id="2" xr3:uid="{1C5021DA-69F7-4D4C-9B16-B118DA342BC3}" name="Column2"/>
    <tableColumn id="3" xr3:uid="{544766B4-9143-4F14-A2AC-CBF251405424}" name="Column3"/>
    <tableColumn id="4" xr3:uid="{853C5A10-E74C-433C-AFC8-86CFA234E3DE}" name="Column4" dataDxfId="76">
      <calculatedColumnFormula>SUM(Table1[[#This Row],[Column2]:[Column3]])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E7A82-C808-4D2D-8FF0-5EAAEBB7D8CB}" name="Table3" displayName="Table3" ref="R28:R34" totalsRowShown="0" headerRowDxfId="75" dataDxfId="74">
  <autoFilter ref="R28:R34" xr:uid="{79AE7A82-C808-4D2D-8FF0-5EAAEBB7D8CB}"/>
  <tableColumns count="1">
    <tableColumn id="1" xr3:uid="{53E99ECB-6852-40C1-8E03-B774CCBCE2F4}" name="Column1" dataDxfId="7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80F9AF-330F-4EA1-8059-5BB46FF838A2}" name="Table4" displayName="Table4" ref="S28:S34" totalsRowShown="0">
  <autoFilter ref="S28:S34" xr:uid="{FC80F9AF-330F-4EA1-8059-5BB46FF838A2}"/>
  <tableColumns count="1">
    <tableColumn id="1" xr3:uid="{B3BD4D3D-8F32-4CBC-8832-E490AACFECA7}" name="Column1" dataDxfId="72">
      <calculatedColumnFormula>SUMIFS(N2:N42,I2:I42,"&gt;5",L2:L42,"&gt;30000")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4FBD33-45B8-4F97-8A61-89D8489DCF24}" name="Table5" displayName="Table5" ref="D47:E50" totalsRowShown="0">
  <autoFilter ref="D47:E50" xr:uid="{184FBD33-45B8-4F97-8A61-89D8489DCF24}"/>
  <tableColumns count="2">
    <tableColumn id="1" xr3:uid="{A30B9091-AB88-4019-963F-B76BCD6E3261}" name="Column1" dataDxfId="71"/>
    <tableColumn id="2" xr3:uid="{B0B2F012-DE67-460B-92CD-034770211619}" name="Column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8C1C25-1467-4D1D-BB5F-02F260E78272}" name="Table6" displayName="Table6" ref="H53:K54" totalsRowShown="0">
  <autoFilter ref="H53:K54" xr:uid="{7F8C1C25-1467-4D1D-BB5F-02F260E78272}"/>
  <tableColumns count="4">
    <tableColumn id="1" xr3:uid="{7A96F3C4-630A-414E-AF56-EDBD7F0EDEB1}" name="Name " dataDxfId="70"/>
    <tableColumn id="2" xr3:uid="{F7AFA0E2-D412-4856-9EA8-54BEBF53456A}" name="desigation ">
      <calculatedColumnFormula>VLOOKUP(H54,B2:N42,3,FALSE)</calculatedColumnFormula>
    </tableColumn>
    <tableColumn id="3" xr3:uid="{D4534328-91A1-45C9-A937-40CDC54CC789}" name="in-hand-salary">
      <calculatedColumnFormula>VLOOKUP(H54,B2:N42,13,FALSE)</calculatedColumnFormula>
    </tableColumn>
    <tableColumn id="4" xr3:uid="{15A95A18-5572-4F13-A6F3-35D8F92C0E33}" name="gross salary ">
      <calculatedColumnFormula>VLOOKUP(H54,B2:N42,10,FALSE)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979322-D5D0-416D-875A-6841ABD860C6}" name="Table9" displayName="Table9" ref="A75:C78" totalsRowShown="0" dataDxfId="69">
  <autoFilter ref="A75:C78" xr:uid="{FF979322-D5D0-416D-875A-6841ABD860C6}"/>
  <tableColumns count="3">
    <tableColumn id="1" xr3:uid="{6501FE2B-AEA1-4466-9826-1906F55F90E1}" name="Column1" dataDxfId="68"/>
    <tableColumn id="2" xr3:uid="{705F90F9-18E6-4A4C-A819-681BD2C22D5F}" name="Column2" dataDxfId="67">
      <calculatedColumnFormula>HLOOKUP(B75,A58:AN70,3,0)</calculatedColumnFormula>
    </tableColumn>
    <tableColumn id="3" xr3:uid="{C9FEB111-81E9-4633-8585-2948EC6ECE2F}" name="Column3" dataDxfId="66">
      <calculatedColumnFormula>HLOOKUP(C75,A58:AN70,3,0)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67A934-592C-4D59-A034-7F8E594FEA3A}" name="Table10" displayName="Table10" ref="A58:AN71" totalsRowShown="0" headerRowDxfId="65" dataDxfId="63" headerRowBorderDxfId="64" tableBorderDxfId="62" totalsRowBorderDxfId="61">
  <autoFilter ref="A58:AN71" xr:uid="{C867A934-592C-4D59-A034-7F8E594FEA3A}"/>
  <tableColumns count="40">
    <tableColumn id="1" xr3:uid="{97673416-C44B-4238-896D-DCCC44F02CA1}" name="1" dataDxfId="60"/>
    <tableColumn id="2" xr3:uid="{60269E27-C231-46F6-9038-C3449F8EB365}" name="2" dataDxfId="59"/>
    <tableColumn id="3" xr3:uid="{AE5E2E33-5C0B-43C8-B75A-27D44589B119}" name="3" dataDxfId="58"/>
    <tableColumn id="4" xr3:uid="{E3725479-97E4-4327-8ED4-302876AE4482}" name="4" dataDxfId="57"/>
    <tableColumn id="5" xr3:uid="{8DF09188-D4DF-41F2-ACD1-6779844A0418}" name="5" dataDxfId="56"/>
    <tableColumn id="6" xr3:uid="{4D7ECAA3-D74F-4CBB-9480-969139B9D391}" name="6" dataDxfId="55"/>
    <tableColumn id="7" xr3:uid="{B3B3E48E-E495-47EA-A454-B201461F4098}" name="7" dataDxfId="54"/>
    <tableColumn id="8" xr3:uid="{C182EE01-C0C0-4B27-914F-A6E75BAE003F}" name="8" dataDxfId="53"/>
    <tableColumn id="9" xr3:uid="{CC2E8225-F475-4287-A4F6-CF985FCB3FEE}" name="9" dataDxfId="52"/>
    <tableColumn id="10" xr3:uid="{4E8A2D39-2081-44D7-B7B5-A51CC8C82BFA}" name="10" dataDxfId="51"/>
    <tableColumn id="11" xr3:uid="{52FE379E-0522-40E6-89CC-D3ECA6B82FF8}" name="11" dataDxfId="50"/>
    <tableColumn id="12" xr3:uid="{13BFFB84-84F1-4E45-A41E-2FCE96C7BA29}" name="12" dataDxfId="49"/>
    <tableColumn id="13" xr3:uid="{8B38A670-60A3-4AEF-9271-BAD5B8FF55CD}" name="13" dataDxfId="48"/>
    <tableColumn id="14" xr3:uid="{94B7A805-80C1-429B-B72E-69F89251404F}" name="14" dataDxfId="47"/>
    <tableColumn id="15" xr3:uid="{539CA4B1-CCC5-419A-BD32-44C9FAC9CDA7}" name="15" dataDxfId="46"/>
    <tableColumn id="16" xr3:uid="{351911D0-BFE3-432E-BE53-48E891CECD5F}" name="16" dataDxfId="45"/>
    <tableColumn id="17" xr3:uid="{8CA0FA58-DECD-4EC6-8387-54F58E9C9146}" name="17" dataDxfId="44"/>
    <tableColumn id="18" xr3:uid="{DCD93AB8-F5C7-4295-A794-45B874524929}" name="18" dataDxfId="43"/>
    <tableColumn id="19" xr3:uid="{CFB5D8E5-32C3-4A3D-8648-99B72C8E03F0}" name="19" dataDxfId="42"/>
    <tableColumn id="20" xr3:uid="{612EADFD-CBC7-4EAB-9785-041872007F75}" name="20" dataDxfId="41"/>
    <tableColumn id="21" xr3:uid="{1A4799D6-8214-41EB-BAC0-6EA3BC0B8F02}" name="21" dataDxfId="40"/>
    <tableColumn id="22" xr3:uid="{1210F538-6F96-4E39-BD89-1C8159E49C4B}" name="22" dataDxfId="39"/>
    <tableColumn id="23" xr3:uid="{0B4BB230-3A81-4188-891E-751CCB2D95EE}" name="23" dataDxfId="38"/>
    <tableColumn id="24" xr3:uid="{1DA16A1D-4128-41BA-8D8A-76C67EE16D33}" name="24" dataDxfId="37"/>
    <tableColumn id="25" xr3:uid="{E639C021-D94A-41B5-8558-13CF82F6119B}" name="25" dataDxfId="36"/>
    <tableColumn id="26" xr3:uid="{33C4377B-C19E-44CA-9BBD-EEDA065C4EC8}" name="26" dataDxfId="35"/>
    <tableColumn id="27" xr3:uid="{610101D7-D466-4C07-971D-2BC020BCC7FD}" name="27" dataDxfId="34"/>
    <tableColumn id="28" xr3:uid="{7CF33366-CEF3-465B-B12C-6FDD0A04B27D}" name="28" dataDxfId="33"/>
    <tableColumn id="29" xr3:uid="{F24D0023-98F2-45F4-93D0-515996A022C6}" name="29" dataDxfId="32"/>
    <tableColumn id="30" xr3:uid="{32FEE771-681C-4A9C-9B63-8440817FA7E5}" name="30" dataDxfId="31"/>
    <tableColumn id="31" xr3:uid="{DA8250BB-51FD-4877-BEE2-3C2A1147EE7D}" name="31" dataDxfId="30"/>
    <tableColumn id="32" xr3:uid="{96A7CD8B-BB4E-464E-8C82-4715F3DDA0A3}" name="32" dataDxfId="29"/>
    <tableColumn id="33" xr3:uid="{9DE84A06-9CAA-49C2-BFF2-A7D45E191141}" name="33" dataDxfId="28"/>
    <tableColumn id="34" xr3:uid="{9A2323F6-0006-424B-879D-D71E704A55A1}" name="34" dataDxfId="27"/>
    <tableColumn id="35" xr3:uid="{ECD5E38E-0671-43DC-A0B4-0B1770ACEC57}" name="35" dataDxfId="26"/>
    <tableColumn id="36" xr3:uid="{0CC3D358-3450-43BF-97B0-B37F3E7566A0}" name="36" dataDxfId="25"/>
    <tableColumn id="37" xr3:uid="{5E150FC0-7D24-4801-9BAE-E19DCB71D91B}" name="37" dataDxfId="24"/>
    <tableColumn id="38" xr3:uid="{B331EBDF-AB05-4C10-9CC0-ABFE235A7C37}" name="38" dataDxfId="23"/>
    <tableColumn id="39" xr3:uid="{075543DA-AAB7-4B34-B26B-E5F08ADD4780}" name="39" dataDxfId="22"/>
    <tableColumn id="40" xr3:uid="{556BE2B1-CABC-4254-9789-CD409CEFFF7B}" name="40" dataDxfId="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BEAAF0-2F43-436A-9ED0-A317BC0A5B05}" name="markssheet" displayName="markssheet" ref="A1:L11" totalsRowShown="0">
  <autoFilter ref="A1:L11" xr:uid="{87BEAAF0-2F43-436A-9ED0-A317BC0A5B05}"/>
  <tableColumns count="12">
    <tableColumn id="1" xr3:uid="{F5E53940-FA0D-4569-AAE6-8C8414E03973}" name="s. no. "/>
    <tableColumn id="2" xr3:uid="{3B7544A5-1DAE-456E-AA60-DE350E079D52}" name="Name " dataDxfId="20"/>
    <tableColumn id="3" xr3:uid="{2E58053F-D995-4AF2-9A43-12276D99BBD1}" name="Class"/>
    <tableColumn id="4" xr3:uid="{D95FF896-264B-4BC1-A425-8610384C80FC}" name="Anccount "/>
    <tableColumn id="5" xr3:uid="{0325C57F-99AE-42ED-80F3-F0DD42E13E13}" name="Maths"/>
    <tableColumn id="6" xr3:uid="{9AA09817-193B-4F22-AF1F-A4F7CF9D5FCE}" name="English"/>
    <tableColumn id="7" xr3:uid="{1F849008-A2E2-40FD-87C8-C8F5147D2CF8}" name="Hindi"/>
    <tableColumn id="8" xr3:uid="{B2DB6CA4-9208-470A-A658-70EC23ADA9DD}" name="Eco"/>
    <tableColumn id="9" xr3:uid="{F87B7669-19C6-4277-A41E-151A9F019421}" name="total marks "/>
    <tableColumn id="10" xr3:uid="{492E4DD4-5A48-491D-9A76-5A47F6D751BF}" name="percentage"/>
    <tableColumn id="11" xr3:uid="{FC03F52E-37F6-4E43-BC90-C77CF66D43E0}" name="Grade">
      <calculatedColumnFormula>_xlfn.IFS(J2&gt;90,"A",J2&gt;80,"B",J2&gt;70,"C",J2&gt;60,"D",J2&gt;50,"E",J2&lt;50,"fail")</calculatedColumnFormula>
    </tableColumn>
    <tableColumn id="12" xr3:uid="{8A6CB8A0-5417-4887-BD8C-492BF0073EF1}" name="Age" dataDxfId="19">
      <calculatedColumnFormula>RANDBETWEEN(15,18)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039F-DF34-4A20-9C8F-F18E080BF04E}">
  <dimension ref="A1:AN200"/>
  <sheetViews>
    <sheetView zoomScale="55" zoomScaleNormal="130" workbookViewId="0">
      <pane xSplit="2" ySplit="1" topLeftCell="C81" activePane="bottomRight" state="frozen"/>
      <selection pane="topRight" activeCell="C1" sqref="C1"/>
      <selection pane="bottomLeft" activeCell="A2" sqref="A2"/>
      <selection pane="bottomRight" activeCell="C79" sqref="C79"/>
    </sheetView>
  </sheetViews>
  <sheetFormatPr defaultRowHeight="14.5" x14ac:dyDescent="0.35"/>
  <cols>
    <col min="1" max="1" width="11.1796875" bestFit="1" customWidth="1"/>
    <col min="2" max="2" width="27.90625" bestFit="1" customWidth="1"/>
    <col min="3" max="3" width="16.90625" customWidth="1"/>
    <col min="4" max="4" width="41.453125" customWidth="1"/>
    <col min="5" max="5" width="16.81640625" customWidth="1"/>
    <col min="6" max="6" width="9.453125" customWidth="1"/>
    <col min="7" max="7" width="23.08984375" bestFit="1" customWidth="1"/>
    <col min="8" max="8" width="21.90625" customWidth="1"/>
    <col min="9" max="9" width="19.90625" customWidth="1"/>
    <col min="10" max="10" width="21.6328125" customWidth="1"/>
    <col min="11" max="11" width="17.36328125" customWidth="1"/>
    <col min="12" max="13" width="25.1796875" bestFit="1" customWidth="1"/>
    <col min="14" max="14" width="23.453125" customWidth="1"/>
    <col min="15" max="16" width="23.08984375" bestFit="1" customWidth="1"/>
    <col min="17" max="17" width="25.1796875" bestFit="1" customWidth="1"/>
    <col min="18" max="18" width="145.36328125" bestFit="1" customWidth="1"/>
    <col min="19" max="19" width="10.453125" customWidth="1"/>
    <col min="20" max="20" width="25.1796875" bestFit="1" customWidth="1"/>
    <col min="21" max="22" width="23.08984375" bestFit="1" customWidth="1"/>
    <col min="23" max="23" width="25.1796875" bestFit="1" customWidth="1"/>
    <col min="24" max="24" width="23.08984375" bestFit="1" customWidth="1"/>
    <col min="25" max="25" width="25.1796875" bestFit="1" customWidth="1"/>
    <col min="26" max="26" width="23.08984375" bestFit="1" customWidth="1"/>
    <col min="27" max="29" width="25.1796875" bestFit="1" customWidth="1"/>
    <col min="30" max="30" width="23.08984375" bestFit="1" customWidth="1"/>
    <col min="31" max="32" width="25.1796875" bestFit="1" customWidth="1"/>
    <col min="33" max="35" width="23.08984375" bestFit="1" customWidth="1"/>
    <col min="36" max="38" width="25.17968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135</v>
      </c>
      <c r="S1" t="s">
        <v>136</v>
      </c>
      <c r="T1" t="s">
        <v>137</v>
      </c>
      <c r="U1" t="s">
        <v>154</v>
      </c>
    </row>
    <row r="2" spans="1:21" x14ac:dyDescent="0.35">
      <c r="A2" s="3">
        <v>1</v>
      </c>
      <c r="B2" s="3" t="s">
        <v>32</v>
      </c>
      <c r="C2" s="3" t="s">
        <v>54</v>
      </c>
      <c r="D2" s="3" t="s">
        <v>96</v>
      </c>
      <c r="E2" s="3">
        <v>7051973</v>
      </c>
      <c r="F2" s="3">
        <f>E2*25%</f>
        <v>1762993.25</v>
      </c>
      <c r="G2" s="3">
        <f>E2*10%</f>
        <v>705197.3</v>
      </c>
      <c r="H2" s="3">
        <f>E2*15%</f>
        <v>1057795.95</v>
      </c>
      <c r="I2" s="3">
        <v>8</v>
      </c>
      <c r="J2" s="3">
        <f>I2*100000</f>
        <v>800000</v>
      </c>
      <c r="K2" s="3">
        <f>E2+F2+G2+H2</f>
        <v>10577959.5</v>
      </c>
      <c r="L2" s="3">
        <f>E2*12%</f>
        <v>846236.76</v>
      </c>
      <c r="M2" s="3">
        <f>Sheet1!$E2*5%</f>
        <v>352598.65</v>
      </c>
      <c r="N2" s="3">
        <f>Sheet1!$J2+Sheet1!$K2-L2-M2</f>
        <v>10179124.09</v>
      </c>
      <c r="Q2" t="s">
        <v>126</v>
      </c>
      <c r="R2" t="s">
        <v>134</v>
      </c>
    </row>
    <row r="3" spans="1:21" x14ac:dyDescent="0.35">
      <c r="A3" s="3">
        <v>2</v>
      </c>
      <c r="B3" s="3" t="s">
        <v>14</v>
      </c>
      <c r="C3" s="3" t="s">
        <v>55</v>
      </c>
      <c r="D3" s="3" t="s">
        <v>97</v>
      </c>
      <c r="E3" s="3">
        <v>3287126</v>
      </c>
      <c r="F3" s="3">
        <f t="shared" ref="F3:F41" si="0">E3*25%</f>
        <v>821781.5</v>
      </c>
      <c r="G3" s="3">
        <f t="shared" ref="G3:G41" si="1">E3*10%</f>
        <v>328712.60000000003</v>
      </c>
      <c r="H3" s="3">
        <f t="shared" ref="H3:H41" si="2">E3*15%</f>
        <v>493068.89999999997</v>
      </c>
      <c r="I3" s="3">
        <v>8</v>
      </c>
      <c r="J3" s="3">
        <f t="shared" ref="J3:J41" si="3">I3*100000</f>
        <v>800000</v>
      </c>
      <c r="K3" s="3">
        <f t="shared" ref="K3:K41" si="4">E3+F3+G3+H3</f>
        <v>4930689</v>
      </c>
      <c r="L3" s="3">
        <f t="shared" ref="L3:L41" si="5">E3*12%</f>
        <v>394455.12</v>
      </c>
      <c r="M3" s="3">
        <f>Sheet1!$E3*5%</f>
        <v>164356.30000000002</v>
      </c>
      <c r="N3" s="3">
        <f>Sheet1!$J3+Sheet1!$K3-L3-M3</f>
        <v>5171877.58</v>
      </c>
      <c r="R3" s="4" t="s">
        <v>127</v>
      </c>
      <c r="S3" s="4">
        <f>COUNTIF(Table2[basic salary],"&gt;2000000")</f>
        <v>36</v>
      </c>
      <c r="T3" s="4"/>
    </row>
    <row r="4" spans="1:21" x14ac:dyDescent="0.35">
      <c r="A4" s="3">
        <v>3</v>
      </c>
      <c r="B4" s="3" t="s">
        <v>27</v>
      </c>
      <c r="C4" s="3" t="s">
        <v>56</v>
      </c>
      <c r="D4" s="3" t="s">
        <v>94</v>
      </c>
      <c r="E4" s="3">
        <v>6606071</v>
      </c>
      <c r="F4" s="3">
        <f t="shared" si="0"/>
        <v>1651517.75</v>
      </c>
      <c r="G4" s="3">
        <f t="shared" si="1"/>
        <v>660607.10000000009</v>
      </c>
      <c r="H4" s="3">
        <f t="shared" si="2"/>
        <v>990910.64999999991</v>
      </c>
      <c r="I4" s="3">
        <v>2</v>
      </c>
      <c r="J4" s="3">
        <f t="shared" si="3"/>
        <v>200000</v>
      </c>
      <c r="K4" s="3">
        <f t="shared" si="4"/>
        <v>9909106.5</v>
      </c>
      <c r="L4" s="3">
        <f t="shared" si="5"/>
        <v>792728.52</v>
      </c>
      <c r="M4" s="3">
        <f>Sheet1!$E4*5%</f>
        <v>330303.55000000005</v>
      </c>
      <c r="N4" s="3">
        <f>Sheet1!$J4+Sheet1!$K4-L4-M4</f>
        <v>8986074.4299999997</v>
      </c>
      <c r="R4" s="4" t="s">
        <v>128</v>
      </c>
      <c r="S4" s="4"/>
      <c r="T4" s="4">
        <f>COUNTIF(G2:G41,"&gt;30000")</f>
        <v>40</v>
      </c>
    </row>
    <row r="5" spans="1:21" x14ac:dyDescent="0.35">
      <c r="A5" s="3">
        <v>4</v>
      </c>
      <c r="B5" s="3" t="s">
        <v>19</v>
      </c>
      <c r="C5" s="3" t="s">
        <v>57</v>
      </c>
      <c r="D5" s="3" t="s">
        <v>98</v>
      </c>
      <c r="E5" s="3">
        <v>1105601</v>
      </c>
      <c r="F5" s="3">
        <f t="shared" si="0"/>
        <v>276400.25</v>
      </c>
      <c r="G5" s="3">
        <f t="shared" si="1"/>
        <v>110560.1</v>
      </c>
      <c r="H5" s="3">
        <f t="shared" si="2"/>
        <v>165840.15</v>
      </c>
      <c r="I5" s="3">
        <v>8</v>
      </c>
      <c r="J5" s="3">
        <f t="shared" si="3"/>
        <v>800000</v>
      </c>
      <c r="K5" s="3">
        <f t="shared" si="4"/>
        <v>1658401.5</v>
      </c>
      <c r="L5" s="3">
        <f t="shared" si="5"/>
        <v>132672.12</v>
      </c>
      <c r="M5" s="3">
        <f>Sheet1!$E5*5%</f>
        <v>55280.05</v>
      </c>
      <c r="N5" s="3">
        <f>Sheet1!$J5+Sheet1!$K5-L5-M5</f>
        <v>2270449.33</v>
      </c>
      <c r="R5" s="4" t="s">
        <v>138</v>
      </c>
      <c r="S5" s="4">
        <f>COUNTIF(Table2[overtime hours],"&gt;5")</f>
        <v>22</v>
      </c>
      <c r="T5" s="4"/>
    </row>
    <row r="6" spans="1:21" x14ac:dyDescent="0.35">
      <c r="A6" s="3">
        <v>5</v>
      </c>
      <c r="B6" s="3" t="s">
        <v>38</v>
      </c>
      <c r="C6" s="3" t="s">
        <v>58</v>
      </c>
      <c r="D6" s="3" t="s">
        <v>99</v>
      </c>
      <c r="E6" s="3">
        <v>8229960</v>
      </c>
      <c r="F6" s="3">
        <f t="shared" si="0"/>
        <v>2057490</v>
      </c>
      <c r="G6" s="3">
        <f t="shared" si="1"/>
        <v>822996</v>
      </c>
      <c r="H6" s="3">
        <f t="shared" si="2"/>
        <v>1234494</v>
      </c>
      <c r="I6" s="3">
        <v>7</v>
      </c>
      <c r="J6" s="3">
        <f t="shared" si="3"/>
        <v>700000</v>
      </c>
      <c r="K6" s="3">
        <f t="shared" si="4"/>
        <v>12344940</v>
      </c>
      <c r="L6" s="3">
        <f t="shared" si="5"/>
        <v>987595.2</v>
      </c>
      <c r="M6" s="3">
        <f>Sheet1!$E6*5%</f>
        <v>411498</v>
      </c>
      <c r="N6" s="3">
        <f>Sheet1!$J6+Sheet1!$K6-L6-M6</f>
        <v>11645846.800000001</v>
      </c>
      <c r="R6" s="4" t="s">
        <v>129</v>
      </c>
      <c r="S6" s="4"/>
      <c r="T6" s="4">
        <f>SUMIF(Table2[basic salary],"&gt;3000000")</f>
        <v>210733863</v>
      </c>
    </row>
    <row r="7" spans="1:21" x14ac:dyDescent="0.35">
      <c r="A7" s="3">
        <v>6</v>
      </c>
      <c r="B7" s="3" t="s">
        <v>16</v>
      </c>
      <c r="C7" s="3" t="s">
        <v>59</v>
      </c>
      <c r="D7" s="3" t="s">
        <v>100</v>
      </c>
      <c r="E7" s="3">
        <v>4982852</v>
      </c>
      <c r="F7" s="3">
        <f t="shared" si="0"/>
        <v>1245713</v>
      </c>
      <c r="G7" s="3">
        <f t="shared" si="1"/>
        <v>498285.2</v>
      </c>
      <c r="H7" s="3">
        <f t="shared" si="2"/>
        <v>747427.79999999993</v>
      </c>
      <c r="I7" s="3">
        <v>3</v>
      </c>
      <c r="J7" s="3">
        <f t="shared" si="3"/>
        <v>300000</v>
      </c>
      <c r="K7" s="3">
        <f t="shared" si="4"/>
        <v>7474278</v>
      </c>
      <c r="L7" s="3">
        <f t="shared" si="5"/>
        <v>597942.24</v>
      </c>
      <c r="M7" s="3">
        <f>Sheet1!$E7*5%</f>
        <v>249142.6</v>
      </c>
      <c r="N7" s="3">
        <f>Sheet1!$J7+Sheet1!$K7-L7-M7</f>
        <v>6927193.1600000001</v>
      </c>
      <c r="R7" s="4" t="s">
        <v>153</v>
      </c>
      <c r="S7" s="4">
        <f>SUMIF(Table2[overtime hours],"&gt;6",Table2[overtime amount])</f>
        <v>9200000</v>
      </c>
      <c r="T7" s="4"/>
    </row>
    <row r="8" spans="1:21" x14ac:dyDescent="0.35">
      <c r="A8" s="3">
        <v>7</v>
      </c>
      <c r="B8" s="3" t="s">
        <v>36</v>
      </c>
      <c r="C8" s="3" t="s">
        <v>60</v>
      </c>
      <c r="D8" s="3" t="s">
        <v>101</v>
      </c>
      <c r="E8" s="3">
        <v>6710080</v>
      </c>
      <c r="F8" s="3">
        <f t="shared" si="0"/>
        <v>1677520</v>
      </c>
      <c r="G8" s="3">
        <f t="shared" si="1"/>
        <v>671008</v>
      </c>
      <c r="H8" s="3">
        <f t="shared" si="2"/>
        <v>1006512</v>
      </c>
      <c r="I8" s="3">
        <v>4</v>
      </c>
      <c r="J8" s="3">
        <f t="shared" si="3"/>
        <v>400000</v>
      </c>
      <c r="K8" s="3">
        <f t="shared" si="4"/>
        <v>10065120</v>
      </c>
      <c r="L8" s="3">
        <f t="shared" si="5"/>
        <v>805209.59999999998</v>
      </c>
      <c r="M8" s="3">
        <f>Sheet1!$E8*5%</f>
        <v>335504</v>
      </c>
      <c r="N8" s="3">
        <f>Sheet1!$J8+Sheet1!$K8-L8-M8</f>
        <v>9324406.4000000004</v>
      </c>
      <c r="R8" s="4" t="s">
        <v>130</v>
      </c>
      <c r="S8" s="4">
        <f>SUMIF(Table2[ESI],"&gt;1000",Table2[PF])</f>
        <v>27475727.519999996</v>
      </c>
      <c r="T8" s="4"/>
    </row>
    <row r="9" spans="1:21" x14ac:dyDescent="0.35">
      <c r="A9" s="3">
        <v>8</v>
      </c>
      <c r="B9" s="3" t="s">
        <v>23</v>
      </c>
      <c r="C9" s="3" t="s">
        <v>61</v>
      </c>
      <c r="D9" s="3" t="s">
        <v>102</v>
      </c>
      <c r="E9" s="3">
        <v>1095223</v>
      </c>
      <c r="F9" s="3">
        <f t="shared" si="0"/>
        <v>273805.75</v>
      </c>
      <c r="G9" s="3">
        <f t="shared" si="1"/>
        <v>109522.3</v>
      </c>
      <c r="H9" s="3">
        <f t="shared" si="2"/>
        <v>164283.44999999998</v>
      </c>
      <c r="I9" s="3">
        <v>7</v>
      </c>
      <c r="J9" s="3">
        <f t="shared" si="3"/>
        <v>700000</v>
      </c>
      <c r="K9" s="3">
        <f t="shared" si="4"/>
        <v>1642834.5</v>
      </c>
      <c r="L9" s="3">
        <f t="shared" si="5"/>
        <v>131426.76</v>
      </c>
      <c r="M9" s="3">
        <f>Sheet1!$E9*5%</f>
        <v>54761.15</v>
      </c>
      <c r="N9" s="3">
        <f>Sheet1!$J9+Sheet1!$K9-L9-M9</f>
        <v>2156646.5900000003</v>
      </c>
      <c r="R9" s="4" t="s">
        <v>131</v>
      </c>
      <c r="S9" s="4">
        <f>AVERAGEIF(Table2[Gross salary],"&gt;2500000",Table2[basic salary])</f>
        <v>6228017.944444444</v>
      </c>
      <c r="T9" s="4"/>
    </row>
    <row r="10" spans="1:21" x14ac:dyDescent="0.35">
      <c r="A10" s="3">
        <v>9</v>
      </c>
      <c r="B10" s="3" t="s">
        <v>37</v>
      </c>
      <c r="C10" s="3" t="s">
        <v>62</v>
      </c>
      <c r="D10" s="3" t="s">
        <v>103</v>
      </c>
      <c r="E10" s="3">
        <v>2956320</v>
      </c>
      <c r="F10" s="3">
        <f t="shared" si="0"/>
        <v>739080</v>
      </c>
      <c r="G10" s="3">
        <f t="shared" si="1"/>
        <v>295632</v>
      </c>
      <c r="H10" s="3">
        <f t="shared" si="2"/>
        <v>443448</v>
      </c>
      <c r="I10" s="3">
        <v>2</v>
      </c>
      <c r="J10" s="3">
        <f t="shared" si="3"/>
        <v>200000</v>
      </c>
      <c r="K10" s="3">
        <f t="shared" si="4"/>
        <v>4434480</v>
      </c>
      <c r="L10" s="3">
        <f t="shared" si="5"/>
        <v>354758.39999999997</v>
      </c>
      <c r="M10" s="3">
        <f>Sheet1!$E10*5%</f>
        <v>147816</v>
      </c>
      <c r="N10" s="3">
        <f>Sheet1!$J10+Sheet1!$K10-L10-M10</f>
        <v>4131905.5999999996</v>
      </c>
      <c r="R10" s="4" t="s">
        <v>132</v>
      </c>
      <c r="S10" s="4">
        <f>AVERAGEIF(Table2[overtime hours],"&gt;6",Table2[overtime amount])</f>
        <v>766666.66666666663</v>
      </c>
      <c r="T10" s="4"/>
    </row>
    <row r="11" spans="1:21" x14ac:dyDescent="0.35">
      <c r="A11" s="3">
        <v>10</v>
      </c>
      <c r="B11" s="3" t="s">
        <v>43</v>
      </c>
      <c r="C11" s="3" t="s">
        <v>63</v>
      </c>
      <c r="D11" s="3" t="s">
        <v>95</v>
      </c>
      <c r="E11" s="3">
        <v>9770823</v>
      </c>
      <c r="F11" s="3">
        <f t="shared" si="0"/>
        <v>2442705.75</v>
      </c>
      <c r="G11" s="3">
        <f t="shared" si="1"/>
        <v>977082.3</v>
      </c>
      <c r="H11" s="3">
        <f t="shared" si="2"/>
        <v>1465623.45</v>
      </c>
      <c r="I11" s="3">
        <v>3</v>
      </c>
      <c r="J11" s="3">
        <f t="shared" si="3"/>
        <v>300000</v>
      </c>
      <c r="K11" s="3">
        <f t="shared" si="4"/>
        <v>14656234.5</v>
      </c>
      <c r="L11" s="3">
        <f t="shared" si="5"/>
        <v>1172498.76</v>
      </c>
      <c r="M11" s="3">
        <f>Sheet1!$E11*5%</f>
        <v>488541.15</v>
      </c>
      <c r="N11" s="3">
        <f>Sheet1!$J11+Sheet1!$K11-L11-M11</f>
        <v>13295194.59</v>
      </c>
      <c r="R11" s="4" t="s">
        <v>133</v>
      </c>
      <c r="S11" s="4" t="e">
        <f>AVERAGEIF(Table2[HRA],"&gt;4000000",Table2[in the hand salary])</f>
        <v>#DIV/0!</v>
      </c>
      <c r="T11" s="4"/>
    </row>
    <row r="12" spans="1:21" x14ac:dyDescent="0.35">
      <c r="A12" s="3">
        <v>11</v>
      </c>
      <c r="B12" s="3" t="s">
        <v>39</v>
      </c>
      <c r="C12" s="3" t="s">
        <v>64</v>
      </c>
      <c r="D12" s="3" t="s">
        <v>104</v>
      </c>
      <c r="E12" s="3">
        <v>6979004</v>
      </c>
      <c r="F12" s="3">
        <f t="shared" si="0"/>
        <v>1744751</v>
      </c>
      <c r="G12" s="3">
        <f t="shared" si="1"/>
        <v>697900.4</v>
      </c>
      <c r="H12" s="3">
        <f t="shared" si="2"/>
        <v>1046850.6</v>
      </c>
      <c r="I12" s="3">
        <v>6</v>
      </c>
      <c r="J12" s="3">
        <f t="shared" si="3"/>
        <v>600000</v>
      </c>
      <c r="K12" s="3">
        <f t="shared" si="4"/>
        <v>10468506</v>
      </c>
      <c r="L12" s="3">
        <f t="shared" si="5"/>
        <v>837480.48</v>
      </c>
      <c r="M12" s="3">
        <f>Sheet1!$E12*5%</f>
        <v>348950.2</v>
      </c>
      <c r="N12" s="3">
        <f>Sheet1!$J12+Sheet1!$K12-L12-M12</f>
        <v>9882075.3200000003</v>
      </c>
      <c r="R12" s="4"/>
      <c r="S12" s="4"/>
      <c r="T12" s="4"/>
    </row>
    <row r="13" spans="1:21" x14ac:dyDescent="0.35">
      <c r="A13" s="3">
        <v>12</v>
      </c>
      <c r="B13" s="3" t="s">
        <v>22</v>
      </c>
      <c r="C13" s="3" t="s">
        <v>65</v>
      </c>
      <c r="D13" s="3" t="s">
        <v>105</v>
      </c>
      <c r="E13" s="3">
        <v>4012288</v>
      </c>
      <c r="F13" s="3">
        <f t="shared" si="0"/>
        <v>1003072</v>
      </c>
      <c r="G13" s="3">
        <f t="shared" si="1"/>
        <v>401228.80000000005</v>
      </c>
      <c r="H13" s="3">
        <f t="shared" si="2"/>
        <v>601843.19999999995</v>
      </c>
      <c r="I13" s="3">
        <v>8</v>
      </c>
      <c r="J13" s="3">
        <f t="shared" si="3"/>
        <v>800000</v>
      </c>
      <c r="K13" s="3">
        <f t="shared" si="4"/>
        <v>6018432</v>
      </c>
      <c r="L13" s="3">
        <f t="shared" si="5"/>
        <v>481474.56</v>
      </c>
      <c r="M13" s="3">
        <f>Sheet1!$E13*5%</f>
        <v>200614.40000000002</v>
      </c>
      <c r="N13" s="3">
        <f>Sheet1!$J13+Sheet1!$K13-L13-M13</f>
        <v>6136343.04</v>
      </c>
      <c r="R13" s="4" t="s">
        <v>114</v>
      </c>
      <c r="S13" s="4">
        <f>MAX(Table2[Gross salary])</f>
        <v>14892234</v>
      </c>
      <c r="T13" s="4"/>
    </row>
    <row r="14" spans="1:21" x14ac:dyDescent="0.35">
      <c r="A14" s="3">
        <v>13</v>
      </c>
      <c r="B14" s="3" t="s">
        <v>29</v>
      </c>
      <c r="C14" s="3" t="s">
        <v>66</v>
      </c>
      <c r="D14" s="3" t="s">
        <v>106</v>
      </c>
      <c r="E14" s="3">
        <v>8956616</v>
      </c>
      <c r="F14" s="3">
        <f t="shared" si="0"/>
        <v>2239154</v>
      </c>
      <c r="G14" s="3">
        <f t="shared" si="1"/>
        <v>895661.60000000009</v>
      </c>
      <c r="H14" s="3">
        <f t="shared" si="2"/>
        <v>1343492.4</v>
      </c>
      <c r="I14" s="3">
        <v>6</v>
      </c>
      <c r="J14" s="3">
        <f t="shared" si="3"/>
        <v>600000</v>
      </c>
      <c r="K14" s="3">
        <f t="shared" si="4"/>
        <v>13434924</v>
      </c>
      <c r="L14" s="3">
        <f t="shared" si="5"/>
        <v>1074793.92</v>
      </c>
      <c r="M14" s="3">
        <f>Sheet1!$E14*5%</f>
        <v>447830.80000000005</v>
      </c>
      <c r="N14" s="3">
        <f>Sheet1!$J14+Sheet1!$K14-L14-M14</f>
        <v>12512299.279999999</v>
      </c>
      <c r="R14" s="4" t="s">
        <v>115</v>
      </c>
      <c r="S14" s="4">
        <f>MAX(Table2[overtime hours])</f>
        <v>8</v>
      </c>
      <c r="T14" s="4"/>
    </row>
    <row r="15" spans="1:21" x14ac:dyDescent="0.35">
      <c r="A15" s="3">
        <v>14</v>
      </c>
      <c r="B15" s="3" t="s">
        <v>44</v>
      </c>
      <c r="C15" s="3" t="s">
        <v>67</v>
      </c>
      <c r="D15" s="3" t="s">
        <v>107</v>
      </c>
      <c r="E15" s="3">
        <v>3643621</v>
      </c>
      <c r="F15" s="3">
        <f t="shared" si="0"/>
        <v>910905.25</v>
      </c>
      <c r="G15" s="3">
        <f t="shared" si="1"/>
        <v>364362.10000000003</v>
      </c>
      <c r="H15" s="3">
        <f t="shared" si="2"/>
        <v>546543.15</v>
      </c>
      <c r="I15" s="3">
        <v>8</v>
      </c>
      <c r="J15" s="3">
        <f t="shared" si="3"/>
        <v>800000</v>
      </c>
      <c r="K15" s="3">
        <f t="shared" si="4"/>
        <v>5465431.5</v>
      </c>
      <c r="L15" s="3">
        <f t="shared" si="5"/>
        <v>437234.51999999996</v>
      </c>
      <c r="M15" s="3">
        <f>Sheet1!$E15*5%</f>
        <v>182181.05000000002</v>
      </c>
      <c r="N15" s="3">
        <f>Sheet1!$J15+Sheet1!$K15-L15-M15</f>
        <v>5646015.9300000006</v>
      </c>
      <c r="R15" s="4" t="s">
        <v>116</v>
      </c>
      <c r="S15" s="4">
        <f>AVERAGE(Table2[basic salary])</f>
        <v>5724109.9000000004</v>
      </c>
      <c r="T15" s="4"/>
    </row>
    <row r="16" spans="1:21" x14ac:dyDescent="0.35">
      <c r="A16" s="3">
        <v>15</v>
      </c>
      <c r="B16" s="3" t="s">
        <v>31</v>
      </c>
      <c r="C16" s="3" t="s">
        <v>68</v>
      </c>
      <c r="D16" s="3" t="s">
        <v>108</v>
      </c>
      <c r="E16" s="3">
        <v>6275399</v>
      </c>
      <c r="F16" s="3">
        <f t="shared" si="0"/>
        <v>1568849.75</v>
      </c>
      <c r="G16" s="3">
        <f t="shared" si="1"/>
        <v>627539.9</v>
      </c>
      <c r="H16" s="3">
        <f t="shared" si="2"/>
        <v>941309.85</v>
      </c>
      <c r="I16" s="3">
        <v>8</v>
      </c>
      <c r="J16" s="3">
        <f t="shared" si="3"/>
        <v>800000</v>
      </c>
      <c r="K16" s="3">
        <f t="shared" si="4"/>
        <v>9413098.5</v>
      </c>
      <c r="L16" s="3">
        <f t="shared" si="5"/>
        <v>753047.88</v>
      </c>
      <c r="M16" s="3">
        <f>Sheet1!$E16*5%</f>
        <v>313769.95</v>
      </c>
      <c r="N16" s="3">
        <f>Sheet1!$J16+Sheet1!$K16-L16-M16</f>
        <v>9146280.6699999999</v>
      </c>
      <c r="R16" s="4" t="s">
        <v>117</v>
      </c>
      <c r="S16" s="4">
        <f>K6-E6</f>
        <v>4114980</v>
      </c>
      <c r="T16" s="4"/>
    </row>
    <row r="17" spans="1:21" x14ac:dyDescent="0.35">
      <c r="A17" s="3">
        <v>16</v>
      </c>
      <c r="B17" s="3" t="s">
        <v>17</v>
      </c>
      <c r="C17" s="3" t="s">
        <v>69</v>
      </c>
      <c r="D17" s="3" t="s">
        <v>109</v>
      </c>
      <c r="E17" s="3">
        <v>6054211</v>
      </c>
      <c r="F17" s="3">
        <f t="shared" si="0"/>
        <v>1513552.75</v>
      </c>
      <c r="G17" s="3">
        <f t="shared" si="1"/>
        <v>605421.1</v>
      </c>
      <c r="H17" s="3">
        <f t="shared" si="2"/>
        <v>908131.65</v>
      </c>
      <c r="I17" s="3">
        <v>7</v>
      </c>
      <c r="J17" s="3">
        <f t="shared" si="3"/>
        <v>700000</v>
      </c>
      <c r="K17" s="3">
        <f t="shared" si="4"/>
        <v>9081316.5</v>
      </c>
      <c r="L17" s="3">
        <f t="shared" si="5"/>
        <v>726505.32</v>
      </c>
      <c r="M17" s="3">
        <f>Sheet1!$E17*5%</f>
        <v>302710.55</v>
      </c>
      <c r="N17" s="3">
        <f>Sheet1!$J17+Sheet1!$K17-L17-M17</f>
        <v>8752100.629999999</v>
      </c>
      <c r="R17" s="4" t="s">
        <v>118</v>
      </c>
      <c r="S17" s="4">
        <f>SUM(Table2[in the hand salary])</f>
        <v>324522646.68000001</v>
      </c>
      <c r="T17" s="4"/>
    </row>
    <row r="18" spans="1:21" x14ac:dyDescent="0.35">
      <c r="A18" s="3">
        <v>17</v>
      </c>
      <c r="B18" s="3" t="s">
        <v>42</v>
      </c>
      <c r="C18" s="3" t="s">
        <v>70</v>
      </c>
      <c r="D18" s="3" t="s">
        <v>110</v>
      </c>
      <c r="E18" s="3">
        <v>2479112</v>
      </c>
      <c r="F18" s="3">
        <f t="shared" si="0"/>
        <v>619778</v>
      </c>
      <c r="G18" s="3">
        <f t="shared" si="1"/>
        <v>247911.2</v>
      </c>
      <c r="H18" s="3">
        <f t="shared" si="2"/>
        <v>371866.8</v>
      </c>
      <c r="I18" s="3">
        <v>3</v>
      </c>
      <c r="J18" s="3">
        <f t="shared" si="3"/>
        <v>300000</v>
      </c>
      <c r="K18" s="3">
        <f t="shared" si="4"/>
        <v>3718668</v>
      </c>
      <c r="L18" s="3">
        <f t="shared" si="5"/>
        <v>297493.44</v>
      </c>
      <c r="M18" s="3">
        <f>Sheet1!$E18*5%</f>
        <v>123955.6</v>
      </c>
      <c r="N18" s="3">
        <f>Sheet1!$J18+Sheet1!$K18-L18-M18</f>
        <v>3597218.96</v>
      </c>
      <c r="R18" s="4" t="s">
        <v>119</v>
      </c>
      <c r="S18" s="4">
        <f>AVERAGE(Table2[overtime hours])</f>
        <v>5</v>
      </c>
      <c r="T18" s="4"/>
    </row>
    <row r="19" spans="1:21" x14ac:dyDescent="0.35">
      <c r="A19" s="3">
        <v>18</v>
      </c>
      <c r="B19" s="3" t="s">
        <v>20</v>
      </c>
      <c r="C19" s="3" t="s">
        <v>71</v>
      </c>
      <c r="D19" s="3" t="s">
        <v>111</v>
      </c>
      <c r="E19" s="3">
        <v>2202229</v>
      </c>
      <c r="F19" s="3">
        <f t="shared" si="0"/>
        <v>550557.25</v>
      </c>
      <c r="G19" s="3">
        <f t="shared" si="1"/>
        <v>220222.90000000002</v>
      </c>
      <c r="H19" s="3">
        <f t="shared" si="2"/>
        <v>330334.34999999998</v>
      </c>
      <c r="I19" s="3">
        <v>2</v>
      </c>
      <c r="J19" s="3">
        <f t="shared" si="3"/>
        <v>200000</v>
      </c>
      <c r="K19" s="3">
        <f t="shared" si="4"/>
        <v>3303343.5</v>
      </c>
      <c r="L19" s="3">
        <f t="shared" si="5"/>
        <v>264267.48</v>
      </c>
      <c r="M19" s="3">
        <f>Sheet1!$E19*5%</f>
        <v>110111.45000000001</v>
      </c>
      <c r="N19" s="3">
        <f>Sheet1!$J19+Sheet1!$K19-L19-M19</f>
        <v>3128964.57</v>
      </c>
      <c r="R19" s="4" t="s">
        <v>120</v>
      </c>
      <c r="S19" s="4"/>
      <c r="T19" s="4"/>
    </row>
    <row r="20" spans="1:21" x14ac:dyDescent="0.35">
      <c r="A20" s="3">
        <v>19</v>
      </c>
      <c r="B20" s="3" t="s">
        <v>26</v>
      </c>
      <c r="C20" s="3" t="s">
        <v>72</v>
      </c>
      <c r="D20" s="3" t="s">
        <v>112</v>
      </c>
      <c r="E20" s="3">
        <v>5551100</v>
      </c>
      <c r="F20" s="3">
        <f t="shared" si="0"/>
        <v>1387775</v>
      </c>
      <c r="G20" s="3">
        <f t="shared" si="1"/>
        <v>555110</v>
      </c>
      <c r="H20" s="3">
        <f t="shared" si="2"/>
        <v>832665</v>
      </c>
      <c r="I20" s="3">
        <v>8</v>
      </c>
      <c r="J20" s="3">
        <f t="shared" si="3"/>
        <v>800000</v>
      </c>
      <c r="K20" s="3">
        <f t="shared" si="4"/>
        <v>8326650</v>
      </c>
      <c r="L20" s="3">
        <f t="shared" si="5"/>
        <v>666132</v>
      </c>
      <c r="M20" s="3">
        <f>Sheet1!$E20*5%</f>
        <v>277555</v>
      </c>
      <c r="N20" s="3">
        <f>Sheet1!$J20+Sheet1!$K20-L20-M20</f>
        <v>8182963</v>
      </c>
      <c r="R20" s="4" t="s">
        <v>121</v>
      </c>
      <c r="S20" s="4">
        <f>MAX(Table2[Gross salary])</f>
        <v>14892234</v>
      </c>
      <c r="T20" s="4">
        <f>MIN(Table2[Gross salary])</f>
        <v>1630093.5</v>
      </c>
      <c r="U20">
        <f>SUM(Table1[[#This Row],[Column2]:[Column3]])</f>
        <v>16522327.5</v>
      </c>
    </row>
    <row r="21" spans="1:21" x14ac:dyDescent="0.35">
      <c r="A21" s="3">
        <v>20</v>
      </c>
      <c r="B21" s="3" t="s">
        <v>21</v>
      </c>
      <c r="C21" s="3" t="s">
        <v>73</v>
      </c>
      <c r="D21" s="3" t="s">
        <v>113</v>
      </c>
      <c r="E21" s="3">
        <v>7100135</v>
      </c>
      <c r="F21" s="3">
        <f t="shared" si="0"/>
        <v>1775033.75</v>
      </c>
      <c r="G21" s="3">
        <f t="shared" si="1"/>
        <v>710013.5</v>
      </c>
      <c r="H21" s="3">
        <f t="shared" si="2"/>
        <v>1065020.25</v>
      </c>
      <c r="I21" s="3">
        <v>6</v>
      </c>
      <c r="J21" s="3">
        <f t="shared" si="3"/>
        <v>600000</v>
      </c>
      <c r="K21" s="3">
        <f t="shared" si="4"/>
        <v>10650202.5</v>
      </c>
      <c r="L21" s="3">
        <f t="shared" si="5"/>
        <v>852016.2</v>
      </c>
      <c r="M21" s="3">
        <f>Sheet1!$E21*5%</f>
        <v>355006.75</v>
      </c>
      <c r="N21" s="3">
        <f>Sheet1!$J21+Sheet1!$K21-L21-M21</f>
        <v>10043179.550000001</v>
      </c>
      <c r="R21" s="4" t="s">
        <v>122</v>
      </c>
      <c r="S21" s="4" t="s">
        <v>155</v>
      </c>
      <c r="T21" s="4"/>
    </row>
    <row r="22" spans="1:21" x14ac:dyDescent="0.35">
      <c r="A22" s="3">
        <v>21</v>
      </c>
      <c r="B22" s="3" t="s">
        <v>30</v>
      </c>
      <c r="C22" s="3" t="s">
        <v>74</v>
      </c>
      <c r="D22" s="3" t="s">
        <v>3</v>
      </c>
      <c r="E22" s="3">
        <v>1086729</v>
      </c>
      <c r="F22" s="3">
        <f t="shared" si="0"/>
        <v>271682.25</v>
      </c>
      <c r="G22" s="3">
        <f t="shared" si="1"/>
        <v>108672.90000000001</v>
      </c>
      <c r="H22" s="3">
        <f t="shared" si="2"/>
        <v>163009.35</v>
      </c>
      <c r="I22" s="3">
        <v>6</v>
      </c>
      <c r="J22" s="3">
        <f t="shared" si="3"/>
        <v>600000</v>
      </c>
      <c r="K22" s="3">
        <f t="shared" si="4"/>
        <v>1630093.5</v>
      </c>
      <c r="L22" s="3">
        <f t="shared" si="5"/>
        <v>130407.48</v>
      </c>
      <c r="M22" s="3">
        <f>Sheet1!$E22*5%</f>
        <v>54336.450000000004</v>
      </c>
      <c r="N22" s="3">
        <f>Sheet1!$J22+Sheet1!$K22-L22-M22</f>
        <v>2045349.57</v>
      </c>
      <c r="R22" s="4" t="s">
        <v>123</v>
      </c>
      <c r="S22" s="4"/>
      <c r="T22" s="4"/>
      <c r="U22">
        <f>SUM(Table1[[#This Row],[Column2]:[Column3]])</f>
        <v>0</v>
      </c>
    </row>
    <row r="23" spans="1:21" x14ac:dyDescent="0.35">
      <c r="A23" s="3">
        <v>22</v>
      </c>
      <c r="B23" s="3" t="s">
        <v>24</v>
      </c>
      <c r="C23" s="3" t="s">
        <v>75</v>
      </c>
      <c r="D23" s="3" t="s">
        <v>96</v>
      </c>
      <c r="E23" s="3">
        <v>6169287</v>
      </c>
      <c r="F23" s="3">
        <f t="shared" si="0"/>
        <v>1542321.75</v>
      </c>
      <c r="G23" s="3">
        <f t="shared" si="1"/>
        <v>616928.70000000007</v>
      </c>
      <c r="H23" s="3">
        <f t="shared" si="2"/>
        <v>925393.04999999993</v>
      </c>
      <c r="I23" s="3">
        <v>2</v>
      </c>
      <c r="J23" s="3">
        <f t="shared" si="3"/>
        <v>200000</v>
      </c>
      <c r="K23" s="3">
        <f t="shared" si="4"/>
        <v>9253930.5</v>
      </c>
      <c r="L23" s="3">
        <f t="shared" si="5"/>
        <v>740314.44</v>
      </c>
      <c r="M23" s="3">
        <f>Sheet1!$E23*5%</f>
        <v>308464.35000000003</v>
      </c>
      <c r="N23" s="3">
        <f>Sheet1!$J23+Sheet1!$K23-L23-M23</f>
        <v>8405151.7100000009</v>
      </c>
      <c r="R23" s="4" t="s">
        <v>124</v>
      </c>
      <c r="S23" s="4"/>
      <c r="T23" s="4"/>
      <c r="U23">
        <f>SUM(Table1[[#This Row],[Column2]:[Column3]])</f>
        <v>0</v>
      </c>
    </row>
    <row r="24" spans="1:21" x14ac:dyDescent="0.35">
      <c r="A24" s="3">
        <v>23</v>
      </c>
      <c r="B24" s="3" t="s">
        <v>40</v>
      </c>
      <c r="C24" s="3" t="s">
        <v>76</v>
      </c>
      <c r="D24" s="3" t="s">
        <v>97</v>
      </c>
      <c r="E24" s="3">
        <v>6054912</v>
      </c>
      <c r="F24" s="3">
        <f t="shared" si="0"/>
        <v>1513728</v>
      </c>
      <c r="G24" s="3">
        <f t="shared" si="1"/>
        <v>605491.20000000007</v>
      </c>
      <c r="H24" s="3">
        <f t="shared" si="2"/>
        <v>908236.79999999993</v>
      </c>
      <c r="I24" s="3">
        <v>6</v>
      </c>
      <c r="J24" s="3">
        <f t="shared" si="3"/>
        <v>600000</v>
      </c>
      <c r="K24" s="3">
        <f t="shared" si="4"/>
        <v>9082368</v>
      </c>
      <c r="L24" s="3">
        <f t="shared" si="5"/>
        <v>726589.43999999994</v>
      </c>
      <c r="M24" s="3">
        <f>Sheet1!$E24*5%</f>
        <v>302745.60000000003</v>
      </c>
      <c r="N24" s="3">
        <f>Sheet1!$J24+Sheet1!$K24-L24-M24</f>
        <v>8653032.9600000009</v>
      </c>
      <c r="R24" s="4" t="s">
        <v>125</v>
      </c>
      <c r="S24" s="4"/>
      <c r="T24" s="4"/>
      <c r="U24">
        <f>SUM(Table1[[#This Row],[Column2]:[Column3]])</f>
        <v>0</v>
      </c>
    </row>
    <row r="25" spans="1:21" x14ac:dyDescent="0.35">
      <c r="A25" s="3">
        <v>24</v>
      </c>
      <c r="B25" s="3" t="s">
        <v>45</v>
      </c>
      <c r="C25" s="3" t="s">
        <v>77</v>
      </c>
      <c r="D25" s="3" t="s">
        <v>94</v>
      </c>
      <c r="E25" s="3">
        <v>5590121</v>
      </c>
      <c r="F25" s="3">
        <f t="shared" si="0"/>
        <v>1397530.25</v>
      </c>
      <c r="G25" s="3">
        <f t="shared" si="1"/>
        <v>559012.1</v>
      </c>
      <c r="H25" s="3">
        <f t="shared" si="2"/>
        <v>838518.15</v>
      </c>
      <c r="I25" s="3">
        <v>2</v>
      </c>
      <c r="J25" s="3">
        <f t="shared" si="3"/>
        <v>200000</v>
      </c>
      <c r="K25" s="3">
        <f t="shared" si="4"/>
        <v>8385181.5</v>
      </c>
      <c r="L25" s="3">
        <f t="shared" si="5"/>
        <v>670814.52</v>
      </c>
      <c r="M25" s="3">
        <f>Sheet1!$E25*5%</f>
        <v>279506.05</v>
      </c>
      <c r="N25" s="3">
        <f>Sheet1!$J25+Sheet1!$K25-L25-M25</f>
        <v>7634860.9300000006</v>
      </c>
      <c r="R25" s="2"/>
      <c r="S25" s="2"/>
      <c r="T25" s="2"/>
    </row>
    <row r="26" spans="1:21" x14ac:dyDescent="0.35">
      <c r="A26" s="3">
        <v>25</v>
      </c>
      <c r="B26" s="3" t="s">
        <v>15</v>
      </c>
      <c r="C26" s="3" t="s">
        <v>78</v>
      </c>
      <c r="D26" s="3" t="s">
        <v>98</v>
      </c>
      <c r="E26" s="3">
        <v>1468197</v>
      </c>
      <c r="F26" s="3">
        <f t="shared" si="0"/>
        <v>367049.25</v>
      </c>
      <c r="G26" s="3">
        <f t="shared" si="1"/>
        <v>146819.70000000001</v>
      </c>
      <c r="H26" s="3">
        <f t="shared" si="2"/>
        <v>220229.55</v>
      </c>
      <c r="I26" s="3">
        <v>2</v>
      </c>
      <c r="J26" s="3">
        <f t="shared" si="3"/>
        <v>200000</v>
      </c>
      <c r="K26" s="3">
        <f t="shared" si="4"/>
        <v>2202295.5</v>
      </c>
      <c r="L26" s="3">
        <f t="shared" si="5"/>
        <v>176183.63999999998</v>
      </c>
      <c r="M26" s="3">
        <f>Sheet1!$E26*5%</f>
        <v>73409.850000000006</v>
      </c>
      <c r="N26" s="3">
        <f>Sheet1!$J26+Sheet1!$K26-L26-M26</f>
        <v>2152702.0099999998</v>
      </c>
      <c r="R26" s="2"/>
      <c r="S26" s="2"/>
      <c r="T26" s="2"/>
    </row>
    <row r="27" spans="1:21" x14ac:dyDescent="0.35">
      <c r="A27" s="3">
        <v>26</v>
      </c>
      <c r="B27" s="3" t="s">
        <v>46</v>
      </c>
      <c r="C27" s="3" t="s">
        <v>79</v>
      </c>
      <c r="D27" s="3" t="s">
        <v>99</v>
      </c>
      <c r="E27" s="3">
        <v>5477123</v>
      </c>
      <c r="F27" s="3">
        <f t="shared" si="0"/>
        <v>1369280.75</v>
      </c>
      <c r="G27" s="3">
        <f t="shared" si="1"/>
        <v>547712.30000000005</v>
      </c>
      <c r="H27" s="3">
        <f t="shared" si="2"/>
        <v>821568.45</v>
      </c>
      <c r="I27" s="3">
        <v>6</v>
      </c>
      <c r="J27" s="3">
        <f t="shared" si="3"/>
        <v>600000</v>
      </c>
      <c r="K27" s="3">
        <f t="shared" si="4"/>
        <v>8215684.5</v>
      </c>
      <c r="L27" s="3">
        <f t="shared" si="5"/>
        <v>657254.76</v>
      </c>
      <c r="M27" s="3">
        <f>Sheet1!$E27*5%</f>
        <v>273856.15000000002</v>
      </c>
      <c r="N27" s="3">
        <f>Sheet1!$J27+Sheet1!$K27-L27-M27</f>
        <v>7884573.5899999999</v>
      </c>
    </row>
    <row r="28" spans="1:21" x14ac:dyDescent="0.35">
      <c r="A28" s="3">
        <v>27</v>
      </c>
      <c r="B28" s="3" t="s">
        <v>47</v>
      </c>
      <c r="C28" s="3" t="s">
        <v>80</v>
      </c>
      <c r="D28" s="3" t="s">
        <v>100</v>
      </c>
      <c r="E28" s="3">
        <v>9472868</v>
      </c>
      <c r="F28" s="3">
        <f t="shared" si="0"/>
        <v>2368217</v>
      </c>
      <c r="G28" s="3">
        <f t="shared" si="1"/>
        <v>947286.8</v>
      </c>
      <c r="H28" s="3">
        <f t="shared" si="2"/>
        <v>1420930.2</v>
      </c>
      <c r="I28" s="3">
        <v>8</v>
      </c>
      <c r="J28" s="3">
        <f t="shared" si="3"/>
        <v>800000</v>
      </c>
      <c r="K28" s="3">
        <f t="shared" si="4"/>
        <v>14209302</v>
      </c>
      <c r="L28" s="3">
        <f t="shared" si="5"/>
        <v>1136744.1599999999</v>
      </c>
      <c r="M28" s="3">
        <f>Sheet1!$E28*5%</f>
        <v>473643.4</v>
      </c>
      <c r="N28" s="3">
        <f>Sheet1!$J28+Sheet1!$K28-L28-M28</f>
        <v>13398914.439999999</v>
      </c>
      <c r="R28" s="3" t="s">
        <v>135</v>
      </c>
      <c r="S28" t="s">
        <v>135</v>
      </c>
    </row>
    <row r="29" spans="1:21" x14ac:dyDescent="0.35">
      <c r="A29" s="3">
        <v>28</v>
      </c>
      <c r="B29" s="3" t="s">
        <v>25</v>
      </c>
      <c r="C29" s="3" t="s">
        <v>81</v>
      </c>
      <c r="D29" s="3" t="s">
        <v>101</v>
      </c>
      <c r="E29" s="3">
        <v>7647019</v>
      </c>
      <c r="F29" s="3">
        <f t="shared" si="0"/>
        <v>1911754.75</v>
      </c>
      <c r="G29" s="3">
        <f t="shared" si="1"/>
        <v>764701.9</v>
      </c>
      <c r="H29" s="3">
        <f t="shared" si="2"/>
        <v>1147052.8499999999</v>
      </c>
      <c r="I29" s="3">
        <v>2</v>
      </c>
      <c r="J29" s="3">
        <f t="shared" si="3"/>
        <v>200000</v>
      </c>
      <c r="K29" s="3">
        <f t="shared" si="4"/>
        <v>11470528.5</v>
      </c>
      <c r="L29" s="3">
        <f t="shared" si="5"/>
        <v>917642.27999999991</v>
      </c>
      <c r="M29" s="3">
        <f>Sheet1!$E29*5%</f>
        <v>382350.95</v>
      </c>
      <c r="N29" s="3">
        <f>Sheet1!$J29+Sheet1!$K29-L29-M29</f>
        <v>10370535.270000001</v>
      </c>
      <c r="R29" s="3" t="s">
        <v>144</v>
      </c>
      <c r="S29" t="s">
        <v>126</v>
      </c>
    </row>
    <row r="30" spans="1:21" x14ac:dyDescent="0.35">
      <c r="A30" s="3">
        <v>29</v>
      </c>
      <c r="B30" s="3" t="s">
        <v>48</v>
      </c>
      <c r="C30" s="3" t="s">
        <v>82</v>
      </c>
      <c r="D30" s="3" t="s">
        <v>102</v>
      </c>
      <c r="E30" s="3">
        <v>7753647</v>
      </c>
      <c r="F30" s="3">
        <f t="shared" si="0"/>
        <v>1938411.75</v>
      </c>
      <c r="G30" s="3">
        <f t="shared" si="1"/>
        <v>775364.70000000007</v>
      </c>
      <c r="H30" s="3">
        <f t="shared" si="2"/>
        <v>1163047.05</v>
      </c>
      <c r="I30" s="3">
        <v>2</v>
      </c>
      <c r="J30" s="3">
        <f t="shared" si="3"/>
        <v>200000</v>
      </c>
      <c r="K30" s="3">
        <f t="shared" si="4"/>
        <v>11630470.5</v>
      </c>
      <c r="L30" s="3">
        <f t="shared" si="5"/>
        <v>930437.64</v>
      </c>
      <c r="M30" s="3">
        <f>Sheet1!$E30*5%</f>
        <v>387682.35000000003</v>
      </c>
      <c r="N30" s="3">
        <f>Sheet1!$J30+Sheet1!$K30-L30-M30</f>
        <v>10512350.51</v>
      </c>
      <c r="R30" s="3" t="s">
        <v>141</v>
      </c>
    </row>
    <row r="31" spans="1:21" x14ac:dyDescent="0.35">
      <c r="A31" s="3">
        <v>30</v>
      </c>
      <c r="B31" s="3" t="s">
        <v>49</v>
      </c>
      <c r="C31" s="3" t="s">
        <v>83</v>
      </c>
      <c r="D31" s="3" t="s">
        <v>103</v>
      </c>
      <c r="E31" s="3">
        <v>5751943</v>
      </c>
      <c r="F31" s="3">
        <f t="shared" si="0"/>
        <v>1437985.75</v>
      </c>
      <c r="G31" s="3">
        <f t="shared" si="1"/>
        <v>575194.30000000005</v>
      </c>
      <c r="H31" s="3">
        <f t="shared" si="2"/>
        <v>862791.45</v>
      </c>
      <c r="I31" s="3">
        <v>6</v>
      </c>
      <c r="J31" s="3">
        <f t="shared" si="3"/>
        <v>600000</v>
      </c>
      <c r="K31" s="3">
        <f t="shared" si="4"/>
        <v>8627914.5</v>
      </c>
      <c r="L31" s="3">
        <f t="shared" si="5"/>
        <v>690233.16</v>
      </c>
      <c r="M31" s="3">
        <f>Sheet1!$E31*5%</f>
        <v>287597.15000000002</v>
      </c>
      <c r="N31" s="3">
        <f>Sheet1!$J31+Sheet1!$K31-L31-M31</f>
        <v>8250084.1899999995</v>
      </c>
      <c r="R31" s="3" t="s">
        <v>143</v>
      </c>
    </row>
    <row r="32" spans="1:21" x14ac:dyDescent="0.35">
      <c r="A32" s="3">
        <v>31</v>
      </c>
      <c r="B32" s="3" t="s">
        <v>41</v>
      </c>
      <c r="C32" s="3" t="s">
        <v>84</v>
      </c>
      <c r="D32" s="3" t="s">
        <v>95</v>
      </c>
      <c r="E32" s="3">
        <v>7852949</v>
      </c>
      <c r="F32" s="3">
        <f t="shared" si="0"/>
        <v>1963237.25</v>
      </c>
      <c r="G32" s="3">
        <f t="shared" si="1"/>
        <v>785294.9</v>
      </c>
      <c r="H32" s="3">
        <f t="shared" si="2"/>
        <v>1177942.3499999999</v>
      </c>
      <c r="I32" s="3">
        <v>6</v>
      </c>
      <c r="J32" s="3">
        <f t="shared" si="3"/>
        <v>600000</v>
      </c>
      <c r="K32" s="3">
        <f t="shared" si="4"/>
        <v>11779423.5</v>
      </c>
      <c r="L32" s="3">
        <f t="shared" si="5"/>
        <v>942353.88</v>
      </c>
      <c r="M32" s="3">
        <f>Sheet1!$E32*5%</f>
        <v>392647.45</v>
      </c>
      <c r="N32" s="3">
        <f>Sheet1!$J32+Sheet1!$K32-L32-M32</f>
        <v>11044422.17</v>
      </c>
      <c r="R32" s="3" t="s">
        <v>142</v>
      </c>
    </row>
    <row r="33" spans="1:18" x14ac:dyDescent="0.35">
      <c r="A33" s="3">
        <v>32</v>
      </c>
      <c r="B33" s="3" t="s">
        <v>50</v>
      </c>
      <c r="C33" s="3" t="s">
        <v>85</v>
      </c>
      <c r="D33" s="3" t="s">
        <v>140</v>
      </c>
      <c r="E33" s="3">
        <v>9928156</v>
      </c>
      <c r="F33" s="3">
        <f t="shared" si="0"/>
        <v>2482039</v>
      </c>
      <c r="G33" s="3">
        <f t="shared" si="1"/>
        <v>992815.60000000009</v>
      </c>
      <c r="H33" s="3">
        <f t="shared" si="2"/>
        <v>1489223.4</v>
      </c>
      <c r="I33" s="3">
        <v>2</v>
      </c>
      <c r="J33" s="3">
        <f t="shared" si="3"/>
        <v>200000</v>
      </c>
      <c r="K33" s="3">
        <f t="shared" si="4"/>
        <v>14892234</v>
      </c>
      <c r="L33" s="3">
        <f t="shared" si="5"/>
        <v>1191378.72</v>
      </c>
      <c r="M33" s="3">
        <f>Sheet1!$E33*5%</f>
        <v>496407.80000000005</v>
      </c>
      <c r="N33" s="3">
        <f>Sheet1!$J33+Sheet1!$K33-L33-M33</f>
        <v>13404447.479999999</v>
      </c>
      <c r="R33" s="3" t="s">
        <v>139</v>
      </c>
    </row>
    <row r="34" spans="1:18" x14ac:dyDescent="0.35">
      <c r="A34" s="3">
        <v>33</v>
      </c>
      <c r="B34" s="3" t="s">
        <v>33</v>
      </c>
      <c r="C34" s="3" t="s">
        <v>86</v>
      </c>
      <c r="D34" s="3" t="s">
        <v>105</v>
      </c>
      <c r="E34" s="3">
        <v>2952153</v>
      </c>
      <c r="F34" s="3">
        <f t="shared" si="0"/>
        <v>738038.25</v>
      </c>
      <c r="G34" s="3">
        <f t="shared" si="1"/>
        <v>295215.3</v>
      </c>
      <c r="H34" s="3">
        <f t="shared" si="2"/>
        <v>442822.95</v>
      </c>
      <c r="I34" s="3">
        <v>6</v>
      </c>
      <c r="J34" s="3">
        <f t="shared" si="3"/>
        <v>600000</v>
      </c>
      <c r="K34" s="3">
        <f t="shared" si="4"/>
        <v>4428229.5</v>
      </c>
      <c r="L34" s="3">
        <f t="shared" si="5"/>
        <v>354258.36</v>
      </c>
      <c r="M34" s="3">
        <f>Sheet1!$E34*5%</f>
        <v>147607.65</v>
      </c>
      <c r="N34" s="3">
        <f>Sheet1!$J34+Sheet1!$K34-L34-M34</f>
        <v>4526363.4899999993</v>
      </c>
      <c r="R34" s="3" t="s">
        <v>145</v>
      </c>
    </row>
    <row r="35" spans="1:18" x14ac:dyDescent="0.35">
      <c r="A35" s="3">
        <v>34</v>
      </c>
      <c r="B35" s="3" t="s">
        <v>51</v>
      </c>
      <c r="C35" s="3" t="s">
        <v>87</v>
      </c>
      <c r="D35" s="3" t="s">
        <v>106</v>
      </c>
      <c r="E35" s="3">
        <v>6033504</v>
      </c>
      <c r="F35" s="3">
        <f t="shared" si="0"/>
        <v>1508376</v>
      </c>
      <c r="G35" s="3">
        <f t="shared" si="1"/>
        <v>603350.4</v>
      </c>
      <c r="H35" s="3">
        <f t="shared" si="2"/>
        <v>905025.6</v>
      </c>
      <c r="I35" s="3">
        <v>3</v>
      </c>
      <c r="J35" s="3">
        <f t="shared" si="3"/>
        <v>300000</v>
      </c>
      <c r="K35" s="3">
        <f t="shared" si="4"/>
        <v>9050256</v>
      </c>
      <c r="L35" s="3">
        <f t="shared" si="5"/>
        <v>724020.48</v>
      </c>
      <c r="M35" s="3">
        <f>Sheet1!$E35*5%</f>
        <v>301675.2</v>
      </c>
      <c r="N35" s="3">
        <f>Sheet1!$J35+Sheet1!$K35-L35-M35</f>
        <v>8324560.3199999994</v>
      </c>
    </row>
    <row r="36" spans="1:18" x14ac:dyDescent="0.35">
      <c r="A36" s="3">
        <v>35</v>
      </c>
      <c r="B36" s="3" t="s">
        <v>52</v>
      </c>
      <c r="C36" s="3" t="s">
        <v>88</v>
      </c>
      <c r="D36" s="3" t="s">
        <v>107</v>
      </c>
      <c r="E36" s="3">
        <v>2884969</v>
      </c>
      <c r="F36" s="3">
        <f t="shared" si="0"/>
        <v>721242.25</v>
      </c>
      <c r="G36" s="3">
        <f t="shared" si="1"/>
        <v>288496.90000000002</v>
      </c>
      <c r="H36" s="3">
        <f t="shared" si="2"/>
        <v>432745.35</v>
      </c>
      <c r="I36" s="3">
        <v>6</v>
      </c>
      <c r="J36" s="3">
        <f t="shared" si="3"/>
        <v>600000</v>
      </c>
      <c r="K36" s="3">
        <f t="shared" si="4"/>
        <v>4327453.5</v>
      </c>
      <c r="L36" s="3">
        <f t="shared" si="5"/>
        <v>346196.27999999997</v>
      </c>
      <c r="M36" s="3">
        <f>Sheet1!$E36*5%</f>
        <v>144248.45000000001</v>
      </c>
      <c r="N36" s="3">
        <f>Sheet1!$J36+Sheet1!$K36-L36-M36</f>
        <v>4437008.7699999996</v>
      </c>
    </row>
    <row r="37" spans="1:18" x14ac:dyDescent="0.35">
      <c r="A37" s="3">
        <v>36</v>
      </c>
      <c r="B37" s="3" t="s">
        <v>18</v>
      </c>
      <c r="C37" s="3" t="s">
        <v>89</v>
      </c>
      <c r="D37" s="3" t="s">
        <v>108</v>
      </c>
      <c r="E37" s="3">
        <v>7091497</v>
      </c>
      <c r="F37" s="3">
        <f t="shared" si="0"/>
        <v>1772874.25</v>
      </c>
      <c r="G37" s="3">
        <f t="shared" si="1"/>
        <v>709149.70000000007</v>
      </c>
      <c r="H37" s="3">
        <f t="shared" si="2"/>
        <v>1063724.55</v>
      </c>
      <c r="I37" s="3">
        <v>4</v>
      </c>
      <c r="J37" s="3">
        <f t="shared" si="3"/>
        <v>400000</v>
      </c>
      <c r="K37" s="3">
        <f t="shared" si="4"/>
        <v>10637245.5</v>
      </c>
      <c r="L37" s="3">
        <f t="shared" si="5"/>
        <v>850979.64</v>
      </c>
      <c r="M37" s="3">
        <f>Sheet1!$E37*5%</f>
        <v>354574.85000000003</v>
      </c>
      <c r="N37" s="3">
        <f>Sheet1!$J37+Sheet1!$K37-L37-M37</f>
        <v>9831691.0099999998</v>
      </c>
    </row>
    <row r="38" spans="1:18" x14ac:dyDescent="0.35">
      <c r="A38" s="3">
        <v>37</v>
      </c>
      <c r="B38" s="3" t="s">
        <v>28</v>
      </c>
      <c r="C38" s="3" t="s">
        <v>90</v>
      </c>
      <c r="D38" s="3" t="s">
        <v>109</v>
      </c>
      <c r="E38" s="3">
        <v>9630734</v>
      </c>
      <c r="F38" s="3">
        <f t="shared" si="0"/>
        <v>2407683.5</v>
      </c>
      <c r="G38" s="3">
        <f t="shared" si="1"/>
        <v>963073.4</v>
      </c>
      <c r="H38" s="3">
        <f t="shared" si="2"/>
        <v>1444610.0999999999</v>
      </c>
      <c r="I38" s="3">
        <v>4</v>
      </c>
      <c r="J38" s="3">
        <f t="shared" si="3"/>
        <v>400000</v>
      </c>
      <c r="K38" s="3">
        <f t="shared" si="4"/>
        <v>14446101</v>
      </c>
      <c r="L38" s="3">
        <f t="shared" si="5"/>
        <v>1155688.0799999998</v>
      </c>
      <c r="M38" s="3">
        <f>Sheet1!$E38*5%</f>
        <v>481536.7</v>
      </c>
      <c r="N38" s="3">
        <f>Sheet1!$J38+Sheet1!$K38-L38-M38</f>
        <v>13208876.220000001</v>
      </c>
    </row>
    <row r="39" spans="1:18" x14ac:dyDescent="0.35">
      <c r="A39" s="3">
        <v>38</v>
      </c>
      <c r="B39" s="3" t="s">
        <v>34</v>
      </c>
      <c r="C39" s="3" t="s">
        <v>91</v>
      </c>
      <c r="D39" s="3" t="s">
        <v>110</v>
      </c>
      <c r="E39" s="3">
        <v>9688154</v>
      </c>
      <c r="F39" s="3">
        <f t="shared" si="0"/>
        <v>2422038.5</v>
      </c>
      <c r="G39" s="3">
        <f t="shared" si="1"/>
        <v>968815.4</v>
      </c>
      <c r="H39" s="3">
        <f t="shared" si="2"/>
        <v>1453223.0999999999</v>
      </c>
      <c r="I39" s="3">
        <v>7</v>
      </c>
      <c r="J39" s="3">
        <f t="shared" si="3"/>
        <v>700000</v>
      </c>
      <c r="K39" s="3">
        <f t="shared" si="4"/>
        <v>14532231</v>
      </c>
      <c r="L39" s="3">
        <f t="shared" si="5"/>
        <v>1162578.48</v>
      </c>
      <c r="M39" s="3">
        <f>Sheet1!$E39*5%</f>
        <v>484407.7</v>
      </c>
      <c r="N39" s="3">
        <f>Sheet1!$J39+Sheet1!$K39-L39-M39</f>
        <v>13585244.82</v>
      </c>
    </row>
    <row r="40" spans="1:18" x14ac:dyDescent="0.35">
      <c r="A40" s="3">
        <v>39</v>
      </c>
      <c r="B40" s="3" t="s">
        <v>35</v>
      </c>
      <c r="C40" s="3" t="s">
        <v>92</v>
      </c>
      <c r="D40" s="3" t="s">
        <v>111</v>
      </c>
      <c r="E40" s="3">
        <v>5705799</v>
      </c>
      <c r="F40" s="3">
        <f t="shared" si="0"/>
        <v>1426449.75</v>
      </c>
      <c r="G40" s="3">
        <f t="shared" si="1"/>
        <v>570579.9</v>
      </c>
      <c r="H40" s="3">
        <f t="shared" si="2"/>
        <v>855869.85</v>
      </c>
      <c r="I40" s="3">
        <v>3</v>
      </c>
      <c r="J40" s="3">
        <f t="shared" si="3"/>
        <v>300000</v>
      </c>
      <c r="K40" s="3">
        <f t="shared" si="4"/>
        <v>8558698.5</v>
      </c>
      <c r="L40" s="3">
        <f t="shared" si="5"/>
        <v>684695.88</v>
      </c>
      <c r="M40" s="3">
        <f>Sheet1!$E40*5%</f>
        <v>285289.95</v>
      </c>
      <c r="N40" s="3">
        <f>Sheet1!$J40+Sheet1!$K40-L40-M40</f>
        <v>7888712.6699999999</v>
      </c>
    </row>
    <row r="41" spans="1:18" x14ac:dyDescent="0.35">
      <c r="A41" s="3">
        <v>40</v>
      </c>
      <c r="B41" s="3" t="s">
        <v>53</v>
      </c>
      <c r="C41" s="3" t="s">
        <v>93</v>
      </c>
      <c r="D41" s="3" t="s">
        <v>112</v>
      </c>
      <c r="E41" s="3">
        <v>5674891</v>
      </c>
      <c r="F41" s="3">
        <f t="shared" si="0"/>
        <v>1418722.75</v>
      </c>
      <c r="G41" s="3">
        <f t="shared" si="1"/>
        <v>567489.1</v>
      </c>
      <c r="H41" s="3">
        <f t="shared" si="2"/>
        <v>851233.65</v>
      </c>
      <c r="I41" s="3">
        <v>3</v>
      </c>
      <c r="J41" s="3">
        <f t="shared" si="3"/>
        <v>300000</v>
      </c>
      <c r="K41" s="3">
        <f t="shared" si="4"/>
        <v>8512336.5</v>
      </c>
      <c r="L41" s="3">
        <f t="shared" si="5"/>
        <v>680986.91999999993</v>
      </c>
      <c r="M41" s="3">
        <f>Sheet1!$E41*5%</f>
        <v>283744.55</v>
      </c>
      <c r="N41" s="3">
        <f>Sheet1!$J41+Sheet1!$K41-L41-M41</f>
        <v>7847605.0300000003</v>
      </c>
    </row>
    <row r="42" spans="1:18" x14ac:dyDescent="0.35">
      <c r="B42" s="1"/>
      <c r="C42" s="1"/>
    </row>
    <row r="43" spans="1:18" x14ac:dyDescent="0.35">
      <c r="B43" s="1"/>
      <c r="C43" s="1"/>
    </row>
    <row r="44" spans="1:18" x14ac:dyDescent="0.35">
      <c r="B44" s="1"/>
      <c r="C44" s="1"/>
    </row>
    <row r="45" spans="1:18" x14ac:dyDescent="0.35">
      <c r="B45" s="1"/>
      <c r="C45" s="1"/>
    </row>
    <row r="46" spans="1:18" x14ac:dyDescent="0.35">
      <c r="B46" s="1"/>
      <c r="C46" s="1"/>
    </row>
    <row r="47" spans="1:18" x14ac:dyDescent="0.35">
      <c r="B47" s="1"/>
      <c r="C47" s="1"/>
      <c r="D47" s="3" t="s">
        <v>135</v>
      </c>
      <c r="E47" t="s">
        <v>136</v>
      </c>
    </row>
    <row r="48" spans="1:18" x14ac:dyDescent="0.35">
      <c r="B48" s="1"/>
      <c r="C48" s="1"/>
      <c r="D48" s="3" t="s">
        <v>146</v>
      </c>
      <c r="E48">
        <f>VLOOKUP(B14,B2:N42,13,FALSE)</f>
        <v>12512299.279999999</v>
      </c>
    </row>
    <row r="49" spans="1:40" x14ac:dyDescent="0.35">
      <c r="B49" s="1"/>
      <c r="C49" s="1"/>
      <c r="D49" s="3" t="s">
        <v>147</v>
      </c>
      <c r="E49" t="str">
        <f>VLOOKUP(B26,B2:N42,3,FALSE)</f>
        <v>Data Analyst</v>
      </c>
    </row>
    <row r="50" spans="1:40" x14ac:dyDescent="0.35">
      <c r="B50" s="1"/>
      <c r="C50" s="1"/>
      <c r="D50" s="3" t="s">
        <v>148</v>
      </c>
      <c r="E50">
        <f>VLOOKUP(B8,B2:N42,9,FALSE)</f>
        <v>400000</v>
      </c>
    </row>
    <row r="51" spans="1:40" x14ac:dyDescent="0.35">
      <c r="B51" s="1"/>
      <c r="C51" s="1"/>
    </row>
    <row r="52" spans="1:40" x14ac:dyDescent="0.35">
      <c r="B52" s="1"/>
      <c r="C52" s="1"/>
    </row>
    <row r="53" spans="1:40" x14ac:dyDescent="0.35">
      <c r="B53" s="1"/>
      <c r="C53" s="1"/>
      <c r="H53" t="s">
        <v>149</v>
      </c>
      <c r="I53" t="s">
        <v>150</v>
      </c>
      <c r="J53" t="s">
        <v>151</v>
      </c>
      <c r="K53" t="s">
        <v>152</v>
      </c>
    </row>
    <row r="54" spans="1:40" x14ac:dyDescent="0.35">
      <c r="B54" s="1"/>
      <c r="C54" s="1"/>
      <c r="H54" s="5" t="s">
        <v>53</v>
      </c>
      <c r="I54" t="str">
        <f>VLOOKUP(H54,B2:N42,3,FALSE)</f>
        <v>Financial Analyst</v>
      </c>
      <c r="J54">
        <f>VLOOKUP(H54,B2:N42,13,FALSE)</f>
        <v>7847605.0300000003</v>
      </c>
      <c r="K54">
        <f>VLOOKUP(H54,B2:N42,10,FALSE)</f>
        <v>8512336.5</v>
      </c>
    </row>
    <row r="55" spans="1:40" x14ac:dyDescent="0.35">
      <c r="B55" s="1"/>
      <c r="C55" s="1"/>
    </row>
    <row r="56" spans="1:40" x14ac:dyDescent="0.35">
      <c r="B56" s="1"/>
      <c r="C56" s="1"/>
    </row>
    <row r="57" spans="1:40" x14ac:dyDescent="0.35">
      <c r="B57" s="1"/>
      <c r="C57" s="1"/>
    </row>
    <row r="58" spans="1:40" x14ac:dyDescent="0.35">
      <c r="A58" s="7" t="s">
        <v>180</v>
      </c>
      <c r="B58" s="8" t="s">
        <v>181</v>
      </c>
      <c r="C58" s="7" t="s">
        <v>182</v>
      </c>
      <c r="D58" s="8" t="s">
        <v>183</v>
      </c>
      <c r="E58" s="7" t="s">
        <v>184</v>
      </c>
      <c r="F58" s="8" t="s">
        <v>185</v>
      </c>
      <c r="G58" s="7" t="s">
        <v>186</v>
      </c>
      <c r="H58" s="8" t="s">
        <v>187</v>
      </c>
      <c r="I58" s="7" t="s">
        <v>188</v>
      </c>
      <c r="J58" s="8" t="s">
        <v>189</v>
      </c>
      <c r="K58" s="7" t="s">
        <v>190</v>
      </c>
      <c r="L58" s="8" t="s">
        <v>191</v>
      </c>
      <c r="M58" s="7" t="s">
        <v>192</v>
      </c>
      <c r="N58" s="8" t="s">
        <v>193</v>
      </c>
      <c r="O58" s="7" t="s">
        <v>194</v>
      </c>
      <c r="P58" s="8" t="s">
        <v>195</v>
      </c>
      <c r="Q58" s="7" t="s">
        <v>196</v>
      </c>
      <c r="R58" s="8" t="s">
        <v>197</v>
      </c>
      <c r="S58" s="7" t="s">
        <v>198</v>
      </c>
      <c r="T58" s="8" t="s">
        <v>199</v>
      </c>
      <c r="U58" s="7" t="s">
        <v>200</v>
      </c>
      <c r="V58" s="8" t="s">
        <v>201</v>
      </c>
      <c r="W58" s="7" t="s">
        <v>202</v>
      </c>
      <c r="X58" s="8" t="s">
        <v>203</v>
      </c>
      <c r="Y58" s="7" t="s">
        <v>204</v>
      </c>
      <c r="Z58" s="8" t="s">
        <v>205</v>
      </c>
      <c r="AA58" s="7" t="s">
        <v>206</v>
      </c>
      <c r="AB58" s="8" t="s">
        <v>207</v>
      </c>
      <c r="AC58" s="7" t="s">
        <v>208</v>
      </c>
      <c r="AD58" s="8" t="s">
        <v>209</v>
      </c>
      <c r="AE58" s="7" t="s">
        <v>210</v>
      </c>
      <c r="AF58" s="8" t="s">
        <v>211</v>
      </c>
      <c r="AG58" s="7" t="s">
        <v>212</v>
      </c>
      <c r="AH58" s="8" t="s">
        <v>213</v>
      </c>
      <c r="AI58" s="7" t="s">
        <v>214</v>
      </c>
      <c r="AJ58" s="8" t="s">
        <v>215</v>
      </c>
      <c r="AK58" s="7" t="s">
        <v>216</v>
      </c>
      <c r="AL58" s="8" t="s">
        <v>217</v>
      </c>
      <c r="AM58" s="7" t="s">
        <v>218</v>
      </c>
      <c r="AN58" s="8" t="s">
        <v>219</v>
      </c>
    </row>
    <row r="59" spans="1:40" x14ac:dyDescent="0.35">
      <c r="A59" s="5" t="s">
        <v>32</v>
      </c>
      <c r="B59" s="6" t="s">
        <v>14</v>
      </c>
      <c r="C59" s="5" t="s">
        <v>27</v>
      </c>
      <c r="D59" s="6" t="s">
        <v>19</v>
      </c>
      <c r="E59" s="5" t="s">
        <v>38</v>
      </c>
      <c r="F59" s="6" t="s">
        <v>16</v>
      </c>
      <c r="G59" s="5" t="s">
        <v>36</v>
      </c>
      <c r="H59" s="6" t="s">
        <v>23</v>
      </c>
      <c r="I59" s="5" t="s">
        <v>37</v>
      </c>
      <c r="J59" s="6" t="s">
        <v>43</v>
      </c>
      <c r="K59" s="5" t="s">
        <v>39</v>
      </c>
      <c r="L59" s="6" t="s">
        <v>22</v>
      </c>
      <c r="M59" s="5" t="s">
        <v>29</v>
      </c>
      <c r="N59" s="6" t="s">
        <v>44</v>
      </c>
      <c r="O59" s="5" t="s">
        <v>31</v>
      </c>
      <c r="P59" s="6" t="s">
        <v>17</v>
      </c>
      <c r="Q59" s="5" t="s">
        <v>42</v>
      </c>
      <c r="R59" s="6" t="s">
        <v>20</v>
      </c>
      <c r="S59" s="5" t="s">
        <v>26</v>
      </c>
      <c r="T59" s="6" t="s">
        <v>21</v>
      </c>
      <c r="U59" s="5" t="s">
        <v>30</v>
      </c>
      <c r="V59" s="6" t="s">
        <v>24</v>
      </c>
      <c r="W59" s="5" t="s">
        <v>40</v>
      </c>
      <c r="X59" s="6" t="s">
        <v>45</v>
      </c>
      <c r="Y59" s="5" t="s">
        <v>15</v>
      </c>
      <c r="Z59" s="6" t="s">
        <v>46</v>
      </c>
      <c r="AA59" s="5" t="s">
        <v>47</v>
      </c>
      <c r="AB59" s="6" t="s">
        <v>25</v>
      </c>
      <c r="AC59" s="5" t="s">
        <v>48</v>
      </c>
      <c r="AD59" s="6" t="s">
        <v>49</v>
      </c>
      <c r="AE59" s="5" t="s">
        <v>41</v>
      </c>
      <c r="AF59" s="6" t="s">
        <v>50</v>
      </c>
      <c r="AG59" s="5" t="s">
        <v>33</v>
      </c>
      <c r="AH59" s="6" t="s">
        <v>51</v>
      </c>
      <c r="AI59" s="5" t="s">
        <v>52</v>
      </c>
      <c r="AJ59" s="6" t="s">
        <v>18</v>
      </c>
      <c r="AK59" s="5" t="s">
        <v>28</v>
      </c>
      <c r="AL59" s="6" t="s">
        <v>34</v>
      </c>
      <c r="AM59" s="5" t="s">
        <v>35</v>
      </c>
      <c r="AN59" s="6" t="s">
        <v>53</v>
      </c>
    </row>
    <row r="60" spans="1:40" x14ac:dyDescent="0.35">
      <c r="A60" s="5" t="s">
        <v>54</v>
      </c>
      <c r="B60" s="6" t="s">
        <v>55</v>
      </c>
      <c r="C60" s="5" t="s">
        <v>56</v>
      </c>
      <c r="D60" s="6" t="s">
        <v>57</v>
      </c>
      <c r="E60" s="5" t="s">
        <v>58</v>
      </c>
      <c r="F60" s="6" t="s">
        <v>59</v>
      </c>
      <c r="G60" s="5" t="s">
        <v>60</v>
      </c>
      <c r="H60" s="6" t="s">
        <v>61</v>
      </c>
      <c r="I60" s="5" t="s">
        <v>62</v>
      </c>
      <c r="J60" s="6" t="s">
        <v>63</v>
      </c>
      <c r="K60" s="5" t="s">
        <v>64</v>
      </c>
      <c r="L60" s="6" t="s">
        <v>65</v>
      </c>
      <c r="M60" s="5" t="s">
        <v>66</v>
      </c>
      <c r="N60" s="6" t="s">
        <v>67</v>
      </c>
      <c r="O60" s="5" t="s">
        <v>68</v>
      </c>
      <c r="P60" s="6" t="s">
        <v>69</v>
      </c>
      <c r="Q60" s="5" t="s">
        <v>70</v>
      </c>
      <c r="R60" s="6" t="s">
        <v>71</v>
      </c>
      <c r="S60" s="5" t="s">
        <v>72</v>
      </c>
      <c r="T60" s="6" t="s">
        <v>73</v>
      </c>
      <c r="U60" s="5" t="s">
        <v>74</v>
      </c>
      <c r="V60" s="6" t="s">
        <v>75</v>
      </c>
      <c r="W60" s="5" t="s">
        <v>76</v>
      </c>
      <c r="X60" s="6" t="s">
        <v>77</v>
      </c>
      <c r="Y60" s="5" t="s">
        <v>78</v>
      </c>
      <c r="Z60" s="6" t="s">
        <v>79</v>
      </c>
      <c r="AA60" s="5" t="s">
        <v>80</v>
      </c>
      <c r="AB60" s="6" t="s">
        <v>81</v>
      </c>
      <c r="AC60" s="5" t="s">
        <v>82</v>
      </c>
      <c r="AD60" s="6" t="s">
        <v>83</v>
      </c>
      <c r="AE60" s="5" t="s">
        <v>84</v>
      </c>
      <c r="AF60" s="6" t="s">
        <v>85</v>
      </c>
      <c r="AG60" s="5" t="s">
        <v>86</v>
      </c>
      <c r="AH60" s="6" t="s">
        <v>87</v>
      </c>
      <c r="AI60" s="5" t="s">
        <v>88</v>
      </c>
      <c r="AJ60" s="6" t="s">
        <v>89</v>
      </c>
      <c r="AK60" s="5" t="s">
        <v>90</v>
      </c>
      <c r="AL60" s="6" t="s">
        <v>91</v>
      </c>
      <c r="AM60" s="5" t="s">
        <v>92</v>
      </c>
      <c r="AN60" s="6" t="s">
        <v>93</v>
      </c>
    </row>
    <row r="61" spans="1:40" x14ac:dyDescent="0.35">
      <c r="A61" s="5" t="s">
        <v>96</v>
      </c>
      <c r="B61" s="6" t="s">
        <v>97</v>
      </c>
      <c r="C61" s="5" t="s">
        <v>94</v>
      </c>
      <c r="D61" s="6" t="s">
        <v>98</v>
      </c>
      <c r="E61" s="5" t="s">
        <v>99</v>
      </c>
      <c r="F61" s="6" t="s">
        <v>100</v>
      </c>
      <c r="G61" s="5" t="s">
        <v>101</v>
      </c>
      <c r="H61" s="6" t="s">
        <v>102</v>
      </c>
      <c r="I61" s="5" t="s">
        <v>103</v>
      </c>
      <c r="J61" s="6" t="s">
        <v>95</v>
      </c>
      <c r="K61" s="5" t="s">
        <v>104</v>
      </c>
      <c r="L61" s="6" t="s">
        <v>105</v>
      </c>
      <c r="M61" s="5" t="s">
        <v>106</v>
      </c>
      <c r="N61" s="6" t="s">
        <v>107</v>
      </c>
      <c r="O61" s="5" t="s">
        <v>108</v>
      </c>
      <c r="P61" s="6" t="s">
        <v>109</v>
      </c>
      <c r="Q61" s="5" t="s">
        <v>110</v>
      </c>
      <c r="R61" s="6" t="s">
        <v>111</v>
      </c>
      <c r="S61" s="5" t="s">
        <v>112</v>
      </c>
      <c r="T61" s="6" t="s">
        <v>113</v>
      </c>
      <c r="U61" s="5" t="s">
        <v>3</v>
      </c>
      <c r="V61" s="6" t="s">
        <v>96</v>
      </c>
      <c r="W61" s="5" t="s">
        <v>97</v>
      </c>
      <c r="X61" s="6" t="s">
        <v>94</v>
      </c>
      <c r="Y61" s="5" t="s">
        <v>98</v>
      </c>
      <c r="Z61" s="6" t="s">
        <v>99</v>
      </c>
      <c r="AA61" s="5" t="s">
        <v>100</v>
      </c>
      <c r="AB61" s="6" t="s">
        <v>101</v>
      </c>
      <c r="AC61" s="5" t="s">
        <v>102</v>
      </c>
      <c r="AD61" s="6" t="s">
        <v>103</v>
      </c>
      <c r="AE61" s="5" t="s">
        <v>95</v>
      </c>
      <c r="AF61" s="6" t="s">
        <v>140</v>
      </c>
      <c r="AG61" s="5" t="s">
        <v>105</v>
      </c>
      <c r="AH61" s="6" t="s">
        <v>106</v>
      </c>
      <c r="AI61" s="5" t="s">
        <v>107</v>
      </c>
      <c r="AJ61" s="6" t="s">
        <v>108</v>
      </c>
      <c r="AK61" s="5" t="s">
        <v>109</v>
      </c>
      <c r="AL61" s="6" t="s">
        <v>110</v>
      </c>
      <c r="AM61" s="5" t="s">
        <v>111</v>
      </c>
      <c r="AN61" s="6" t="s">
        <v>112</v>
      </c>
    </row>
    <row r="62" spans="1:40" x14ac:dyDescent="0.35">
      <c r="A62" s="5">
        <v>7051973</v>
      </c>
      <c r="B62" s="6">
        <v>3287126</v>
      </c>
      <c r="C62" s="5">
        <v>6606071</v>
      </c>
      <c r="D62" s="6">
        <v>1105601</v>
      </c>
      <c r="E62" s="5">
        <v>8229960</v>
      </c>
      <c r="F62" s="6">
        <v>4982852</v>
      </c>
      <c r="G62" s="5">
        <v>6710080</v>
      </c>
      <c r="H62" s="6">
        <v>1095223</v>
      </c>
      <c r="I62" s="5">
        <v>2956320</v>
      </c>
      <c r="J62" s="6">
        <v>9770823</v>
      </c>
      <c r="K62" s="5">
        <v>6979004</v>
      </c>
      <c r="L62" s="6">
        <v>4012288</v>
      </c>
      <c r="M62" s="5">
        <v>8956616</v>
      </c>
      <c r="N62" s="6">
        <v>3643621</v>
      </c>
      <c r="O62" s="5">
        <v>6275399</v>
      </c>
      <c r="P62" s="6">
        <v>6054211</v>
      </c>
      <c r="Q62" s="5">
        <v>2479112</v>
      </c>
      <c r="R62" s="6">
        <v>2202229</v>
      </c>
      <c r="S62" s="5">
        <v>5551100</v>
      </c>
      <c r="T62" s="6">
        <v>7100135</v>
      </c>
      <c r="U62" s="5">
        <v>1086729</v>
      </c>
      <c r="V62" s="6">
        <v>6169287</v>
      </c>
      <c r="W62" s="5">
        <v>6054912</v>
      </c>
      <c r="X62" s="6">
        <v>5590121</v>
      </c>
      <c r="Y62" s="5">
        <v>1468197</v>
      </c>
      <c r="Z62" s="6">
        <v>5477123</v>
      </c>
      <c r="AA62" s="5">
        <v>9472868</v>
      </c>
      <c r="AB62" s="6">
        <v>7647019</v>
      </c>
      <c r="AC62" s="5">
        <v>7753647</v>
      </c>
      <c r="AD62" s="6">
        <v>5751943</v>
      </c>
      <c r="AE62" s="5">
        <v>7852949</v>
      </c>
      <c r="AF62" s="6">
        <v>9928156</v>
      </c>
      <c r="AG62" s="5">
        <v>2952153</v>
      </c>
      <c r="AH62" s="6">
        <v>6033504</v>
      </c>
      <c r="AI62" s="5">
        <v>2884969</v>
      </c>
      <c r="AJ62" s="6">
        <v>7091497</v>
      </c>
      <c r="AK62" s="5">
        <v>9630734</v>
      </c>
      <c r="AL62" s="6">
        <v>9688154</v>
      </c>
      <c r="AM62" s="5">
        <v>5705799</v>
      </c>
      <c r="AN62" s="6">
        <v>5674891</v>
      </c>
    </row>
    <row r="63" spans="1:40" x14ac:dyDescent="0.35">
      <c r="A63" s="5">
        <f t="shared" ref="A63:AN63" si="6">A62*25%</f>
        <v>1762993.25</v>
      </c>
      <c r="B63" s="6">
        <f t="shared" si="6"/>
        <v>821781.5</v>
      </c>
      <c r="C63" s="5">
        <f t="shared" si="6"/>
        <v>1651517.75</v>
      </c>
      <c r="D63" s="6">
        <f t="shared" si="6"/>
        <v>276400.25</v>
      </c>
      <c r="E63" s="5">
        <f t="shared" si="6"/>
        <v>2057490</v>
      </c>
      <c r="F63" s="6">
        <f t="shared" si="6"/>
        <v>1245713</v>
      </c>
      <c r="G63" s="5">
        <f t="shared" si="6"/>
        <v>1677520</v>
      </c>
      <c r="H63" s="6">
        <f t="shared" si="6"/>
        <v>273805.75</v>
      </c>
      <c r="I63" s="5">
        <f t="shared" si="6"/>
        <v>739080</v>
      </c>
      <c r="J63" s="6">
        <f t="shared" si="6"/>
        <v>2442705.75</v>
      </c>
      <c r="K63" s="5">
        <f t="shared" si="6"/>
        <v>1744751</v>
      </c>
      <c r="L63" s="6">
        <f t="shared" si="6"/>
        <v>1003072</v>
      </c>
      <c r="M63" s="5">
        <f t="shared" si="6"/>
        <v>2239154</v>
      </c>
      <c r="N63" s="6">
        <f t="shared" si="6"/>
        <v>910905.25</v>
      </c>
      <c r="O63" s="5">
        <f t="shared" si="6"/>
        <v>1568849.75</v>
      </c>
      <c r="P63" s="6">
        <f t="shared" si="6"/>
        <v>1513552.75</v>
      </c>
      <c r="Q63" s="5">
        <f t="shared" si="6"/>
        <v>619778</v>
      </c>
      <c r="R63" s="6">
        <f t="shared" si="6"/>
        <v>550557.25</v>
      </c>
      <c r="S63" s="5">
        <f t="shared" si="6"/>
        <v>1387775</v>
      </c>
      <c r="T63" s="6">
        <f t="shared" si="6"/>
        <v>1775033.75</v>
      </c>
      <c r="U63" s="5">
        <f t="shared" si="6"/>
        <v>271682.25</v>
      </c>
      <c r="V63" s="6">
        <f t="shared" si="6"/>
        <v>1542321.75</v>
      </c>
      <c r="W63" s="5">
        <f t="shared" si="6"/>
        <v>1513728</v>
      </c>
      <c r="X63" s="6">
        <f t="shared" si="6"/>
        <v>1397530.25</v>
      </c>
      <c r="Y63" s="5">
        <f t="shared" si="6"/>
        <v>367049.25</v>
      </c>
      <c r="Z63" s="6">
        <f t="shared" si="6"/>
        <v>1369280.75</v>
      </c>
      <c r="AA63" s="5">
        <f t="shared" si="6"/>
        <v>2368217</v>
      </c>
      <c r="AB63" s="6">
        <f t="shared" si="6"/>
        <v>1911754.75</v>
      </c>
      <c r="AC63" s="5">
        <f t="shared" si="6"/>
        <v>1938411.75</v>
      </c>
      <c r="AD63" s="6">
        <f t="shared" si="6"/>
        <v>1437985.75</v>
      </c>
      <c r="AE63" s="5">
        <f t="shared" si="6"/>
        <v>1963237.25</v>
      </c>
      <c r="AF63" s="6">
        <f t="shared" si="6"/>
        <v>2482039</v>
      </c>
      <c r="AG63" s="5">
        <f t="shared" si="6"/>
        <v>738038.25</v>
      </c>
      <c r="AH63" s="6">
        <f t="shared" si="6"/>
        <v>1508376</v>
      </c>
      <c r="AI63" s="5">
        <f t="shared" si="6"/>
        <v>721242.25</v>
      </c>
      <c r="AJ63" s="6">
        <f t="shared" si="6"/>
        <v>1772874.25</v>
      </c>
      <c r="AK63" s="5">
        <f t="shared" si="6"/>
        <v>2407683.5</v>
      </c>
      <c r="AL63" s="6">
        <f t="shared" si="6"/>
        <v>2422038.5</v>
      </c>
      <c r="AM63" s="5">
        <f t="shared" si="6"/>
        <v>1426449.75</v>
      </c>
      <c r="AN63" s="6">
        <f t="shared" si="6"/>
        <v>1418722.75</v>
      </c>
    </row>
    <row r="64" spans="1:40" x14ac:dyDescent="0.35">
      <c r="A64" s="5">
        <f t="shared" ref="A64:AN64" si="7">A62*10%</f>
        <v>705197.3</v>
      </c>
      <c r="B64" s="6">
        <f t="shared" si="7"/>
        <v>328712.60000000003</v>
      </c>
      <c r="C64" s="5">
        <f t="shared" si="7"/>
        <v>660607.10000000009</v>
      </c>
      <c r="D64" s="6">
        <f t="shared" si="7"/>
        <v>110560.1</v>
      </c>
      <c r="E64" s="5">
        <f t="shared" si="7"/>
        <v>822996</v>
      </c>
      <c r="F64" s="6">
        <f t="shared" si="7"/>
        <v>498285.2</v>
      </c>
      <c r="G64" s="5">
        <f t="shared" si="7"/>
        <v>671008</v>
      </c>
      <c r="H64" s="6">
        <f t="shared" si="7"/>
        <v>109522.3</v>
      </c>
      <c r="I64" s="5">
        <f t="shared" si="7"/>
        <v>295632</v>
      </c>
      <c r="J64" s="6">
        <f t="shared" si="7"/>
        <v>977082.3</v>
      </c>
      <c r="K64" s="5">
        <f t="shared" si="7"/>
        <v>697900.4</v>
      </c>
      <c r="L64" s="6">
        <f t="shared" si="7"/>
        <v>401228.80000000005</v>
      </c>
      <c r="M64" s="5">
        <f t="shared" si="7"/>
        <v>895661.60000000009</v>
      </c>
      <c r="N64" s="6">
        <f t="shared" si="7"/>
        <v>364362.10000000003</v>
      </c>
      <c r="O64" s="5">
        <f t="shared" si="7"/>
        <v>627539.9</v>
      </c>
      <c r="P64" s="6">
        <f t="shared" si="7"/>
        <v>605421.1</v>
      </c>
      <c r="Q64" s="5">
        <f t="shared" si="7"/>
        <v>247911.2</v>
      </c>
      <c r="R64" s="6">
        <f t="shared" si="7"/>
        <v>220222.90000000002</v>
      </c>
      <c r="S64" s="5">
        <f t="shared" si="7"/>
        <v>555110</v>
      </c>
      <c r="T64" s="6">
        <f t="shared" si="7"/>
        <v>710013.5</v>
      </c>
      <c r="U64" s="5">
        <f t="shared" si="7"/>
        <v>108672.90000000001</v>
      </c>
      <c r="V64" s="6">
        <f t="shared" si="7"/>
        <v>616928.70000000007</v>
      </c>
      <c r="W64" s="5">
        <f t="shared" si="7"/>
        <v>605491.20000000007</v>
      </c>
      <c r="X64" s="6">
        <f t="shared" si="7"/>
        <v>559012.1</v>
      </c>
      <c r="Y64" s="5">
        <f t="shared" si="7"/>
        <v>146819.70000000001</v>
      </c>
      <c r="Z64" s="6">
        <f t="shared" si="7"/>
        <v>547712.30000000005</v>
      </c>
      <c r="AA64" s="5">
        <f t="shared" si="7"/>
        <v>947286.8</v>
      </c>
      <c r="AB64" s="6">
        <f t="shared" si="7"/>
        <v>764701.9</v>
      </c>
      <c r="AC64" s="5">
        <f t="shared" si="7"/>
        <v>775364.70000000007</v>
      </c>
      <c r="AD64" s="6">
        <f t="shared" si="7"/>
        <v>575194.30000000005</v>
      </c>
      <c r="AE64" s="5">
        <f t="shared" si="7"/>
        <v>785294.9</v>
      </c>
      <c r="AF64" s="6">
        <f t="shared" si="7"/>
        <v>992815.60000000009</v>
      </c>
      <c r="AG64" s="5">
        <f t="shared" si="7"/>
        <v>295215.3</v>
      </c>
      <c r="AH64" s="6">
        <f t="shared" si="7"/>
        <v>603350.4</v>
      </c>
      <c r="AI64" s="5">
        <f t="shared" si="7"/>
        <v>288496.90000000002</v>
      </c>
      <c r="AJ64" s="6">
        <f t="shared" si="7"/>
        <v>709149.70000000007</v>
      </c>
      <c r="AK64" s="5">
        <f t="shared" si="7"/>
        <v>963073.4</v>
      </c>
      <c r="AL64" s="6">
        <f t="shared" si="7"/>
        <v>968815.4</v>
      </c>
      <c r="AM64" s="5">
        <f t="shared" si="7"/>
        <v>570579.9</v>
      </c>
      <c r="AN64" s="6">
        <f t="shared" si="7"/>
        <v>567489.1</v>
      </c>
    </row>
    <row r="65" spans="1:40" x14ac:dyDescent="0.35">
      <c r="A65" s="5">
        <f t="shared" ref="A65:AN65" si="8">A62*15%</f>
        <v>1057795.95</v>
      </c>
      <c r="B65" s="6">
        <f t="shared" si="8"/>
        <v>493068.89999999997</v>
      </c>
      <c r="C65" s="5">
        <f t="shared" si="8"/>
        <v>990910.64999999991</v>
      </c>
      <c r="D65" s="6">
        <f t="shared" si="8"/>
        <v>165840.15</v>
      </c>
      <c r="E65" s="5">
        <f t="shared" si="8"/>
        <v>1234494</v>
      </c>
      <c r="F65" s="6">
        <f t="shared" si="8"/>
        <v>747427.79999999993</v>
      </c>
      <c r="G65" s="5">
        <f t="shared" si="8"/>
        <v>1006512</v>
      </c>
      <c r="H65" s="6">
        <f t="shared" si="8"/>
        <v>164283.44999999998</v>
      </c>
      <c r="I65" s="5">
        <f t="shared" si="8"/>
        <v>443448</v>
      </c>
      <c r="J65" s="6">
        <f t="shared" si="8"/>
        <v>1465623.45</v>
      </c>
      <c r="K65" s="5">
        <f t="shared" si="8"/>
        <v>1046850.6</v>
      </c>
      <c r="L65" s="6">
        <f t="shared" si="8"/>
        <v>601843.19999999995</v>
      </c>
      <c r="M65" s="5">
        <f t="shared" si="8"/>
        <v>1343492.4</v>
      </c>
      <c r="N65" s="6">
        <f t="shared" si="8"/>
        <v>546543.15</v>
      </c>
      <c r="O65" s="5">
        <f t="shared" si="8"/>
        <v>941309.85</v>
      </c>
      <c r="P65" s="6">
        <f t="shared" si="8"/>
        <v>908131.65</v>
      </c>
      <c r="Q65" s="5">
        <f t="shared" si="8"/>
        <v>371866.8</v>
      </c>
      <c r="R65" s="6">
        <f t="shared" si="8"/>
        <v>330334.34999999998</v>
      </c>
      <c r="S65" s="5">
        <f t="shared" si="8"/>
        <v>832665</v>
      </c>
      <c r="T65" s="6">
        <f t="shared" si="8"/>
        <v>1065020.25</v>
      </c>
      <c r="U65" s="5">
        <f t="shared" si="8"/>
        <v>163009.35</v>
      </c>
      <c r="V65" s="6">
        <f t="shared" si="8"/>
        <v>925393.04999999993</v>
      </c>
      <c r="W65" s="5">
        <f t="shared" si="8"/>
        <v>908236.79999999993</v>
      </c>
      <c r="X65" s="6">
        <f t="shared" si="8"/>
        <v>838518.15</v>
      </c>
      <c r="Y65" s="5">
        <f t="shared" si="8"/>
        <v>220229.55</v>
      </c>
      <c r="Z65" s="6">
        <f t="shared" si="8"/>
        <v>821568.45</v>
      </c>
      <c r="AA65" s="5">
        <f t="shared" si="8"/>
        <v>1420930.2</v>
      </c>
      <c r="AB65" s="6">
        <f t="shared" si="8"/>
        <v>1147052.8499999999</v>
      </c>
      <c r="AC65" s="5">
        <f t="shared" si="8"/>
        <v>1163047.05</v>
      </c>
      <c r="AD65" s="6">
        <f t="shared" si="8"/>
        <v>862791.45</v>
      </c>
      <c r="AE65" s="5">
        <f t="shared" si="8"/>
        <v>1177942.3499999999</v>
      </c>
      <c r="AF65" s="6">
        <f t="shared" si="8"/>
        <v>1489223.4</v>
      </c>
      <c r="AG65" s="5">
        <f t="shared" si="8"/>
        <v>442822.95</v>
      </c>
      <c r="AH65" s="6">
        <f t="shared" si="8"/>
        <v>905025.6</v>
      </c>
      <c r="AI65" s="5">
        <f t="shared" si="8"/>
        <v>432745.35</v>
      </c>
      <c r="AJ65" s="6">
        <f t="shared" si="8"/>
        <v>1063724.55</v>
      </c>
      <c r="AK65" s="5">
        <f t="shared" si="8"/>
        <v>1444610.0999999999</v>
      </c>
      <c r="AL65" s="6">
        <f t="shared" si="8"/>
        <v>1453223.0999999999</v>
      </c>
      <c r="AM65" s="5">
        <f t="shared" si="8"/>
        <v>855869.85</v>
      </c>
      <c r="AN65" s="6">
        <f t="shared" si="8"/>
        <v>851233.65</v>
      </c>
    </row>
    <row r="66" spans="1:40" x14ac:dyDescent="0.35">
      <c r="A66" s="5">
        <v>8</v>
      </c>
      <c r="B66" s="6">
        <v>8</v>
      </c>
      <c r="C66" s="5">
        <v>2</v>
      </c>
      <c r="D66" s="6">
        <v>8</v>
      </c>
      <c r="E66" s="5">
        <v>7</v>
      </c>
      <c r="F66" s="6">
        <v>3</v>
      </c>
      <c r="G66" s="5">
        <v>4</v>
      </c>
      <c r="H66" s="6">
        <v>7</v>
      </c>
      <c r="I66" s="5">
        <v>2</v>
      </c>
      <c r="J66" s="6">
        <v>3</v>
      </c>
      <c r="K66" s="5">
        <v>6</v>
      </c>
      <c r="L66" s="6">
        <v>8</v>
      </c>
      <c r="M66" s="5">
        <v>6</v>
      </c>
      <c r="N66" s="6">
        <v>8</v>
      </c>
      <c r="O66" s="5">
        <v>8</v>
      </c>
      <c r="P66" s="6">
        <v>7</v>
      </c>
      <c r="Q66" s="5">
        <v>3</v>
      </c>
      <c r="R66" s="6">
        <v>2</v>
      </c>
      <c r="S66" s="5">
        <v>8</v>
      </c>
      <c r="T66" s="6">
        <v>6</v>
      </c>
      <c r="U66" s="5">
        <v>6</v>
      </c>
      <c r="V66" s="6">
        <v>2</v>
      </c>
      <c r="W66" s="5">
        <v>6</v>
      </c>
      <c r="X66" s="6">
        <v>2</v>
      </c>
      <c r="Y66" s="5">
        <v>2</v>
      </c>
      <c r="Z66" s="6">
        <v>6</v>
      </c>
      <c r="AA66" s="5">
        <v>8</v>
      </c>
      <c r="AB66" s="6">
        <v>2</v>
      </c>
      <c r="AC66" s="5">
        <v>2</v>
      </c>
      <c r="AD66" s="6">
        <v>6</v>
      </c>
      <c r="AE66" s="5">
        <v>6</v>
      </c>
      <c r="AF66" s="6">
        <v>2</v>
      </c>
      <c r="AG66" s="5">
        <v>6</v>
      </c>
      <c r="AH66" s="6">
        <v>3</v>
      </c>
      <c r="AI66" s="5">
        <v>6</v>
      </c>
      <c r="AJ66" s="6">
        <v>4</v>
      </c>
      <c r="AK66" s="5">
        <v>4</v>
      </c>
      <c r="AL66" s="6">
        <v>7</v>
      </c>
      <c r="AM66" s="5">
        <v>3</v>
      </c>
      <c r="AN66" s="6">
        <v>3</v>
      </c>
    </row>
    <row r="67" spans="1:40" x14ac:dyDescent="0.35">
      <c r="A67" s="5">
        <f t="shared" ref="A67:AN67" si="9">A66*100000</f>
        <v>800000</v>
      </c>
      <c r="B67" s="6">
        <f t="shared" si="9"/>
        <v>800000</v>
      </c>
      <c r="C67" s="5">
        <f t="shared" si="9"/>
        <v>200000</v>
      </c>
      <c r="D67" s="6">
        <f t="shared" si="9"/>
        <v>800000</v>
      </c>
      <c r="E67" s="5">
        <f t="shared" si="9"/>
        <v>700000</v>
      </c>
      <c r="F67" s="6">
        <f t="shared" si="9"/>
        <v>300000</v>
      </c>
      <c r="G67" s="5">
        <f t="shared" si="9"/>
        <v>400000</v>
      </c>
      <c r="H67" s="6">
        <f t="shared" si="9"/>
        <v>700000</v>
      </c>
      <c r="I67" s="5">
        <f t="shared" si="9"/>
        <v>200000</v>
      </c>
      <c r="J67" s="6">
        <f t="shared" si="9"/>
        <v>300000</v>
      </c>
      <c r="K67" s="5">
        <f t="shared" si="9"/>
        <v>600000</v>
      </c>
      <c r="L67" s="6">
        <f t="shared" si="9"/>
        <v>800000</v>
      </c>
      <c r="M67" s="5">
        <f t="shared" si="9"/>
        <v>600000</v>
      </c>
      <c r="N67" s="6">
        <f t="shared" si="9"/>
        <v>800000</v>
      </c>
      <c r="O67" s="5">
        <f t="shared" si="9"/>
        <v>800000</v>
      </c>
      <c r="P67" s="6">
        <f t="shared" si="9"/>
        <v>700000</v>
      </c>
      <c r="Q67" s="5">
        <f t="shared" si="9"/>
        <v>300000</v>
      </c>
      <c r="R67" s="6">
        <f t="shared" si="9"/>
        <v>200000</v>
      </c>
      <c r="S67" s="5">
        <f t="shared" si="9"/>
        <v>800000</v>
      </c>
      <c r="T67" s="6">
        <f t="shared" si="9"/>
        <v>600000</v>
      </c>
      <c r="U67" s="5">
        <f t="shared" si="9"/>
        <v>600000</v>
      </c>
      <c r="V67" s="6">
        <f t="shared" si="9"/>
        <v>200000</v>
      </c>
      <c r="W67" s="5">
        <f t="shared" si="9"/>
        <v>600000</v>
      </c>
      <c r="X67" s="6">
        <f t="shared" si="9"/>
        <v>200000</v>
      </c>
      <c r="Y67" s="5">
        <f t="shared" si="9"/>
        <v>200000</v>
      </c>
      <c r="Z67" s="6">
        <f t="shared" si="9"/>
        <v>600000</v>
      </c>
      <c r="AA67" s="5">
        <f t="shared" si="9"/>
        <v>800000</v>
      </c>
      <c r="AB67" s="6">
        <f t="shared" si="9"/>
        <v>200000</v>
      </c>
      <c r="AC67" s="5">
        <f t="shared" si="9"/>
        <v>200000</v>
      </c>
      <c r="AD67" s="6">
        <f t="shared" si="9"/>
        <v>600000</v>
      </c>
      <c r="AE67" s="5">
        <f t="shared" si="9"/>
        <v>600000</v>
      </c>
      <c r="AF67" s="6">
        <f t="shared" si="9"/>
        <v>200000</v>
      </c>
      <c r="AG67" s="5">
        <f t="shared" si="9"/>
        <v>600000</v>
      </c>
      <c r="AH67" s="6">
        <f t="shared" si="9"/>
        <v>300000</v>
      </c>
      <c r="AI67" s="5">
        <f t="shared" si="9"/>
        <v>600000</v>
      </c>
      <c r="AJ67" s="6">
        <f t="shared" si="9"/>
        <v>400000</v>
      </c>
      <c r="AK67" s="5">
        <f t="shared" si="9"/>
        <v>400000</v>
      </c>
      <c r="AL67" s="6">
        <f t="shared" si="9"/>
        <v>700000</v>
      </c>
      <c r="AM67" s="5">
        <f t="shared" si="9"/>
        <v>300000</v>
      </c>
      <c r="AN67" s="6">
        <f t="shared" si="9"/>
        <v>300000</v>
      </c>
    </row>
    <row r="68" spans="1:40" x14ac:dyDescent="0.35">
      <c r="A68" s="5">
        <f t="shared" ref="A68:AN68" si="10">A62+A63+A64+A65</f>
        <v>10577959.5</v>
      </c>
      <c r="B68" s="6">
        <f t="shared" si="10"/>
        <v>4930689</v>
      </c>
      <c r="C68" s="5">
        <f t="shared" si="10"/>
        <v>9909106.5</v>
      </c>
      <c r="D68" s="6">
        <f t="shared" si="10"/>
        <v>1658401.5</v>
      </c>
      <c r="E68" s="5">
        <f t="shared" si="10"/>
        <v>12344940</v>
      </c>
      <c r="F68" s="6">
        <f t="shared" si="10"/>
        <v>7474278</v>
      </c>
      <c r="G68" s="5">
        <f t="shared" si="10"/>
        <v>10065120</v>
      </c>
      <c r="H68" s="6">
        <f t="shared" si="10"/>
        <v>1642834.5</v>
      </c>
      <c r="I68" s="5">
        <f t="shared" si="10"/>
        <v>4434480</v>
      </c>
      <c r="J68" s="6">
        <f t="shared" si="10"/>
        <v>14656234.5</v>
      </c>
      <c r="K68" s="5">
        <f t="shared" si="10"/>
        <v>10468506</v>
      </c>
      <c r="L68" s="6">
        <f t="shared" si="10"/>
        <v>6018432</v>
      </c>
      <c r="M68" s="5">
        <f t="shared" si="10"/>
        <v>13434924</v>
      </c>
      <c r="N68" s="6">
        <f t="shared" si="10"/>
        <v>5465431.5</v>
      </c>
      <c r="O68" s="5">
        <f t="shared" si="10"/>
        <v>9413098.5</v>
      </c>
      <c r="P68" s="6">
        <f t="shared" si="10"/>
        <v>9081316.5</v>
      </c>
      <c r="Q68" s="5">
        <f t="shared" si="10"/>
        <v>3718668</v>
      </c>
      <c r="R68" s="6">
        <f t="shared" si="10"/>
        <v>3303343.5</v>
      </c>
      <c r="S68" s="5">
        <f t="shared" si="10"/>
        <v>8326650</v>
      </c>
      <c r="T68" s="6">
        <f t="shared" si="10"/>
        <v>10650202.5</v>
      </c>
      <c r="U68" s="5">
        <f t="shared" si="10"/>
        <v>1630093.5</v>
      </c>
      <c r="V68" s="6">
        <f t="shared" si="10"/>
        <v>9253930.5</v>
      </c>
      <c r="W68" s="5">
        <f t="shared" si="10"/>
        <v>9082368</v>
      </c>
      <c r="X68" s="6">
        <f t="shared" si="10"/>
        <v>8385181.5</v>
      </c>
      <c r="Y68" s="5">
        <f t="shared" si="10"/>
        <v>2202295.5</v>
      </c>
      <c r="Z68" s="6">
        <f t="shared" si="10"/>
        <v>8215684.5</v>
      </c>
      <c r="AA68" s="5">
        <f t="shared" si="10"/>
        <v>14209302</v>
      </c>
      <c r="AB68" s="6">
        <f t="shared" si="10"/>
        <v>11470528.5</v>
      </c>
      <c r="AC68" s="5">
        <f t="shared" si="10"/>
        <v>11630470.5</v>
      </c>
      <c r="AD68" s="6">
        <f t="shared" si="10"/>
        <v>8627914.5</v>
      </c>
      <c r="AE68" s="5">
        <f t="shared" si="10"/>
        <v>11779423.5</v>
      </c>
      <c r="AF68" s="6">
        <f t="shared" si="10"/>
        <v>14892234</v>
      </c>
      <c r="AG68" s="5">
        <f t="shared" si="10"/>
        <v>4428229.5</v>
      </c>
      <c r="AH68" s="6">
        <f t="shared" si="10"/>
        <v>9050256</v>
      </c>
      <c r="AI68" s="5">
        <f t="shared" si="10"/>
        <v>4327453.5</v>
      </c>
      <c r="AJ68" s="6">
        <f t="shared" si="10"/>
        <v>10637245.5</v>
      </c>
      <c r="AK68" s="5">
        <f t="shared" si="10"/>
        <v>14446101</v>
      </c>
      <c r="AL68" s="6">
        <f t="shared" si="10"/>
        <v>14532231</v>
      </c>
      <c r="AM68" s="5">
        <f t="shared" si="10"/>
        <v>8558698.5</v>
      </c>
      <c r="AN68" s="6">
        <f t="shared" si="10"/>
        <v>8512336.5</v>
      </c>
    </row>
    <row r="69" spans="1:40" x14ac:dyDescent="0.35">
      <c r="A69" s="5">
        <f t="shared" ref="A69:AN69" si="11">A62*12%</f>
        <v>846236.76</v>
      </c>
      <c r="B69" s="6">
        <f t="shared" si="11"/>
        <v>394455.12</v>
      </c>
      <c r="C69" s="5">
        <f t="shared" si="11"/>
        <v>792728.52</v>
      </c>
      <c r="D69" s="6">
        <f t="shared" si="11"/>
        <v>132672.12</v>
      </c>
      <c r="E69" s="5">
        <f t="shared" si="11"/>
        <v>987595.2</v>
      </c>
      <c r="F69" s="6">
        <f t="shared" si="11"/>
        <v>597942.24</v>
      </c>
      <c r="G69" s="5">
        <f t="shared" si="11"/>
        <v>805209.59999999998</v>
      </c>
      <c r="H69" s="6">
        <f t="shared" si="11"/>
        <v>131426.76</v>
      </c>
      <c r="I69" s="5">
        <f t="shared" si="11"/>
        <v>354758.39999999997</v>
      </c>
      <c r="J69" s="6">
        <f t="shared" si="11"/>
        <v>1172498.76</v>
      </c>
      <c r="K69" s="5">
        <f t="shared" si="11"/>
        <v>837480.48</v>
      </c>
      <c r="L69" s="6">
        <f t="shared" si="11"/>
        <v>481474.56</v>
      </c>
      <c r="M69" s="5">
        <f t="shared" si="11"/>
        <v>1074793.92</v>
      </c>
      <c r="N69" s="6">
        <f t="shared" si="11"/>
        <v>437234.51999999996</v>
      </c>
      <c r="O69" s="5">
        <f t="shared" si="11"/>
        <v>753047.88</v>
      </c>
      <c r="P69" s="6">
        <f t="shared" si="11"/>
        <v>726505.32</v>
      </c>
      <c r="Q69" s="5">
        <f t="shared" si="11"/>
        <v>297493.44</v>
      </c>
      <c r="R69" s="6">
        <f t="shared" si="11"/>
        <v>264267.48</v>
      </c>
      <c r="S69" s="5">
        <f t="shared" si="11"/>
        <v>666132</v>
      </c>
      <c r="T69" s="6">
        <f t="shared" si="11"/>
        <v>852016.2</v>
      </c>
      <c r="U69" s="5">
        <f t="shared" si="11"/>
        <v>130407.48</v>
      </c>
      <c r="V69" s="6">
        <f t="shared" si="11"/>
        <v>740314.44</v>
      </c>
      <c r="W69" s="5">
        <f t="shared" si="11"/>
        <v>726589.43999999994</v>
      </c>
      <c r="X69" s="6">
        <f t="shared" si="11"/>
        <v>670814.52</v>
      </c>
      <c r="Y69" s="5">
        <f t="shared" si="11"/>
        <v>176183.63999999998</v>
      </c>
      <c r="Z69" s="6">
        <f t="shared" si="11"/>
        <v>657254.76</v>
      </c>
      <c r="AA69" s="5">
        <f t="shared" si="11"/>
        <v>1136744.1599999999</v>
      </c>
      <c r="AB69" s="6">
        <f t="shared" si="11"/>
        <v>917642.27999999991</v>
      </c>
      <c r="AC69" s="5">
        <f t="shared" si="11"/>
        <v>930437.64</v>
      </c>
      <c r="AD69" s="6">
        <f t="shared" si="11"/>
        <v>690233.16</v>
      </c>
      <c r="AE69" s="5">
        <f t="shared" si="11"/>
        <v>942353.88</v>
      </c>
      <c r="AF69" s="6">
        <f t="shared" si="11"/>
        <v>1191378.72</v>
      </c>
      <c r="AG69" s="5">
        <f t="shared" si="11"/>
        <v>354258.36</v>
      </c>
      <c r="AH69" s="6">
        <f t="shared" si="11"/>
        <v>724020.48</v>
      </c>
      <c r="AI69" s="5">
        <f t="shared" si="11"/>
        <v>346196.27999999997</v>
      </c>
      <c r="AJ69" s="6">
        <f t="shared" si="11"/>
        <v>850979.64</v>
      </c>
      <c r="AK69" s="5">
        <f t="shared" si="11"/>
        <v>1155688.0799999998</v>
      </c>
      <c r="AL69" s="6">
        <f t="shared" si="11"/>
        <v>1162578.48</v>
      </c>
      <c r="AM69" s="5">
        <f t="shared" si="11"/>
        <v>684695.88</v>
      </c>
      <c r="AN69" s="6">
        <f t="shared" si="11"/>
        <v>680986.91999999993</v>
      </c>
    </row>
    <row r="70" spans="1:40" x14ac:dyDescent="0.35">
      <c r="A70" s="5">
        <f>Sheet1!A$62*5%</f>
        <v>352598.65</v>
      </c>
      <c r="B70" s="6">
        <f>Sheet1!B$62*5%</f>
        <v>164356.30000000002</v>
      </c>
      <c r="C70" s="5">
        <f>Sheet1!C$62*5%</f>
        <v>330303.55000000005</v>
      </c>
      <c r="D70" s="6">
        <f>Sheet1!D$62*5%</f>
        <v>55280.05</v>
      </c>
      <c r="E70" s="5">
        <f>Sheet1!E$62*5%</f>
        <v>411498</v>
      </c>
      <c r="F70" s="6">
        <f>Sheet1!F$62*5%</f>
        <v>249142.6</v>
      </c>
      <c r="G70" s="5">
        <f>Sheet1!G$62*5%</f>
        <v>335504</v>
      </c>
      <c r="H70" s="6">
        <f>Sheet1!H$62*5%</f>
        <v>54761.15</v>
      </c>
      <c r="I70" s="5">
        <f>Sheet1!I$62*5%</f>
        <v>147816</v>
      </c>
      <c r="J70" s="6">
        <f>Sheet1!J$62*5%</f>
        <v>488541.15</v>
      </c>
      <c r="K70" s="5">
        <f>Sheet1!K$62*5%</f>
        <v>348950.2</v>
      </c>
      <c r="L70" s="6">
        <f>Sheet1!L$62*5%</f>
        <v>200614.40000000002</v>
      </c>
      <c r="M70" s="5">
        <f>Sheet1!M$62*5%</f>
        <v>447830.80000000005</v>
      </c>
      <c r="N70" s="6">
        <f>Sheet1!N$62*5%</f>
        <v>182181.05000000002</v>
      </c>
      <c r="O70" s="5">
        <f>Sheet1!O$62*5%</f>
        <v>313769.95</v>
      </c>
      <c r="P70" s="6">
        <f>Sheet1!P$62*5%</f>
        <v>302710.55</v>
      </c>
      <c r="Q70" s="5">
        <f>Sheet1!Q$62*5%</f>
        <v>123955.6</v>
      </c>
      <c r="R70" s="6">
        <f>Sheet1!R$62*5%</f>
        <v>110111.45000000001</v>
      </c>
      <c r="S70" s="5">
        <f>Sheet1!S$62*5%</f>
        <v>277555</v>
      </c>
      <c r="T70" s="6">
        <f>Sheet1!T$62*5%</f>
        <v>355006.75</v>
      </c>
      <c r="U70" s="5">
        <f>Sheet1!U$62*5%</f>
        <v>54336.450000000004</v>
      </c>
      <c r="V70" s="6">
        <f>Sheet1!V$62*5%</f>
        <v>308464.35000000003</v>
      </c>
      <c r="W70" s="5">
        <f>Sheet1!W$62*5%</f>
        <v>302745.60000000003</v>
      </c>
      <c r="X70" s="6">
        <f>Sheet1!X$62*5%</f>
        <v>279506.05</v>
      </c>
      <c r="Y70" s="5">
        <f>Sheet1!Y$62*5%</f>
        <v>73409.850000000006</v>
      </c>
      <c r="Z70" s="6">
        <f>Sheet1!Z$62*5%</f>
        <v>273856.15000000002</v>
      </c>
      <c r="AA70" s="5">
        <f>Sheet1!AA$62*5%</f>
        <v>473643.4</v>
      </c>
      <c r="AB70" s="6">
        <f>Sheet1!AB$62*5%</f>
        <v>382350.95</v>
      </c>
      <c r="AC70" s="5">
        <f>Sheet1!AC$62*5%</f>
        <v>387682.35000000003</v>
      </c>
      <c r="AD70" s="6">
        <f>Sheet1!AD$62*5%</f>
        <v>287597.15000000002</v>
      </c>
      <c r="AE70" s="5">
        <f>Sheet1!AE$62*5%</f>
        <v>392647.45</v>
      </c>
      <c r="AF70" s="6">
        <f>Sheet1!AF$62*5%</f>
        <v>496407.80000000005</v>
      </c>
      <c r="AG70" s="5">
        <f>Sheet1!AG$62*5%</f>
        <v>147607.65</v>
      </c>
      <c r="AH70" s="6">
        <f>Sheet1!AH$62*5%</f>
        <v>301675.2</v>
      </c>
      <c r="AI70" s="5">
        <f>Sheet1!AI$62*5%</f>
        <v>144248.45000000001</v>
      </c>
      <c r="AJ70" s="6">
        <f>Sheet1!AJ$62*5%</f>
        <v>354574.85000000003</v>
      </c>
      <c r="AK70" s="5">
        <f>Sheet1!AK$62*5%</f>
        <v>481536.7</v>
      </c>
      <c r="AL70" s="6">
        <f>Sheet1!AL$62*5%</f>
        <v>484407.7</v>
      </c>
      <c r="AM70" s="5">
        <f>Sheet1!AM$62*5%</f>
        <v>285289.95</v>
      </c>
      <c r="AN70" s="6">
        <f>Sheet1!AN$62*5%</f>
        <v>283744.55</v>
      </c>
    </row>
    <row r="71" spans="1:40" x14ac:dyDescent="0.35">
      <c r="A71" s="9">
        <f>Sheet1!A$67+Sheet1!A$68-A69-A70</f>
        <v>10179124.09</v>
      </c>
      <c r="B71" s="10">
        <f>Sheet1!B$67+Sheet1!B$68-B69-B70</f>
        <v>5171877.58</v>
      </c>
      <c r="C71" s="9">
        <f>Sheet1!C$67+Sheet1!C$68-C69-C70</f>
        <v>8986074.4299999997</v>
      </c>
      <c r="D71" s="10">
        <f>Sheet1!D$67+Sheet1!D$68-D69-D70</f>
        <v>2270449.33</v>
      </c>
      <c r="E71" s="9">
        <f>Sheet1!E$67+Sheet1!E$68-E69-E70</f>
        <v>11645846.800000001</v>
      </c>
      <c r="F71" s="10">
        <f>Sheet1!F$67+Sheet1!F$68-F69-F70</f>
        <v>6927193.1600000001</v>
      </c>
      <c r="G71" s="9">
        <f>Sheet1!G$67+Sheet1!G$68-G69-G70</f>
        <v>9324406.4000000004</v>
      </c>
      <c r="H71" s="10">
        <f>Sheet1!H$67+Sheet1!H$68-H69-H70</f>
        <v>2156646.5900000003</v>
      </c>
      <c r="I71" s="9">
        <f>Sheet1!I$67+Sheet1!I$68-I69-I70</f>
        <v>4131905.5999999996</v>
      </c>
      <c r="J71" s="10">
        <f>Sheet1!J$67+Sheet1!J$68-J69-J70</f>
        <v>13295194.59</v>
      </c>
      <c r="K71" s="9">
        <f>Sheet1!K$67+Sheet1!K$68-K69-K70</f>
        <v>9882075.3200000003</v>
      </c>
      <c r="L71" s="10">
        <f>Sheet1!L$67+Sheet1!L$68-L69-L70</f>
        <v>6136343.04</v>
      </c>
      <c r="M71" s="9">
        <f>Sheet1!M$67+Sheet1!M$68-M69-M70</f>
        <v>12512299.279999999</v>
      </c>
      <c r="N71" s="10">
        <f>Sheet1!N$67+Sheet1!N$68-N69-N70</f>
        <v>5646015.9300000006</v>
      </c>
      <c r="O71" s="9">
        <f>Sheet1!O$67+Sheet1!O$68-O69-O70</f>
        <v>9146280.6699999999</v>
      </c>
      <c r="P71" s="10">
        <f>Sheet1!P$67+Sheet1!P$68-P69-P70</f>
        <v>8752100.629999999</v>
      </c>
      <c r="Q71" s="9">
        <f>Sheet1!Q$67+Sheet1!Q$68-Q69-Q70</f>
        <v>3597218.96</v>
      </c>
      <c r="R71" s="10">
        <f>Sheet1!R$67+Sheet1!R$68-R69-R70</f>
        <v>3128964.57</v>
      </c>
      <c r="S71" s="9">
        <f>Sheet1!S$67+Sheet1!S$68-S69-S70</f>
        <v>8182963</v>
      </c>
      <c r="T71" s="10">
        <f>Sheet1!T$67+Sheet1!T$68-T69-T70</f>
        <v>10043179.550000001</v>
      </c>
      <c r="U71" s="9">
        <f>Sheet1!U$67+Sheet1!U$68-U69-U70</f>
        <v>2045349.57</v>
      </c>
      <c r="V71" s="10">
        <f>Sheet1!V$67+Sheet1!V$68-V69-V70</f>
        <v>8405151.7100000009</v>
      </c>
      <c r="W71" s="9">
        <f>Sheet1!W$67+Sheet1!W$68-W69-W70</f>
        <v>8653032.9600000009</v>
      </c>
      <c r="X71" s="10">
        <f>Sheet1!X$67+Sheet1!X$68-X69-X70</f>
        <v>7634860.9300000006</v>
      </c>
      <c r="Y71" s="9">
        <f>Sheet1!Y$67+Sheet1!Y$68-Y69-Y70</f>
        <v>2152702.0099999998</v>
      </c>
      <c r="Z71" s="10">
        <f>Sheet1!Z$67+Sheet1!Z$68-Z69-Z70</f>
        <v>7884573.5899999999</v>
      </c>
      <c r="AA71" s="9">
        <f>Sheet1!AA$67+Sheet1!AA$68-AA69-AA70</f>
        <v>13398914.439999999</v>
      </c>
      <c r="AB71" s="10">
        <f>Sheet1!AB$67+Sheet1!AB$68-AB69-AB70</f>
        <v>10370535.270000001</v>
      </c>
      <c r="AC71" s="9">
        <f>Sheet1!AC$67+Sheet1!AC$68-AC69-AC70</f>
        <v>10512350.51</v>
      </c>
      <c r="AD71" s="10">
        <f>Sheet1!AD$67+Sheet1!AD$68-AD69-AD70</f>
        <v>8250084.1899999995</v>
      </c>
      <c r="AE71" s="9">
        <f>Sheet1!AE$67+Sheet1!AE$68-AE69-AE70</f>
        <v>11044422.17</v>
      </c>
      <c r="AF71" s="10">
        <f>Sheet1!AF$67+Sheet1!AF$68-AF69-AF70</f>
        <v>13404447.479999999</v>
      </c>
      <c r="AG71" s="9">
        <f>Sheet1!AG$67+Sheet1!AG$68-AG69-AG70</f>
        <v>4526363.4899999993</v>
      </c>
      <c r="AH71" s="10">
        <f>Sheet1!AH$67+Sheet1!AH$68-AH69-AH70</f>
        <v>8324560.3199999994</v>
      </c>
      <c r="AI71" s="9">
        <f>Sheet1!AI$67+Sheet1!AI$68-AI69-AI70</f>
        <v>4437008.7699999996</v>
      </c>
      <c r="AJ71" s="10">
        <f>Sheet1!AJ$67+Sheet1!AJ$68-AJ69-AJ70</f>
        <v>9831691.0099999998</v>
      </c>
      <c r="AK71" s="9">
        <f>Sheet1!AK$67+Sheet1!AK$68-AK69-AK70</f>
        <v>13208876.220000001</v>
      </c>
      <c r="AL71" s="10">
        <f>Sheet1!AL$67+Sheet1!AL$68-AL69-AL70</f>
        <v>13585244.82</v>
      </c>
      <c r="AM71" s="9">
        <f>Sheet1!AM$67+Sheet1!AM$68-AM69-AM70</f>
        <v>7888712.6699999999</v>
      </c>
      <c r="AN71" s="10">
        <f>Sheet1!AN$67+Sheet1!AN$68-AN69-AN70</f>
        <v>7847605.0300000003</v>
      </c>
    </row>
    <row r="72" spans="1:40" x14ac:dyDescent="0.35">
      <c r="B72" s="1"/>
      <c r="C72" s="1"/>
    </row>
    <row r="73" spans="1:40" x14ac:dyDescent="0.35">
      <c r="B73" s="1"/>
      <c r="C73" s="1"/>
    </row>
    <row r="74" spans="1:40" x14ac:dyDescent="0.35">
      <c r="B74" s="1"/>
    </row>
    <row r="75" spans="1:40" x14ac:dyDescent="0.35">
      <c r="A75" t="s">
        <v>135</v>
      </c>
      <c r="B75" s="1" t="s">
        <v>136</v>
      </c>
      <c r="C75" t="s">
        <v>137</v>
      </c>
    </row>
    <row r="76" spans="1:40" x14ac:dyDescent="0.35">
      <c r="A76" s="3" t="s">
        <v>221</v>
      </c>
      <c r="B76" s="11" t="s">
        <v>38</v>
      </c>
      <c r="C76" s="3" t="s">
        <v>179</v>
      </c>
    </row>
    <row r="77" spans="1:40" x14ac:dyDescent="0.35">
      <c r="A77" s="3" t="s">
        <v>3</v>
      </c>
      <c r="B77" s="1" t="str">
        <f>HLOOKUP(B76,A59:AN71,3,0)</f>
        <v>Human Resources Specialist</v>
      </c>
      <c r="C77" t="str">
        <f>HLOOKUP(C76,A59:AN71,3,0)</f>
        <v>Financial Analyst</v>
      </c>
    </row>
    <row r="78" spans="1:40" x14ac:dyDescent="0.35">
      <c r="A78" s="3" t="s">
        <v>220</v>
      </c>
      <c r="B78" s="1">
        <f>HLOOKUP(B76,A59:AO71,8,0)</f>
        <v>7</v>
      </c>
      <c r="C78" s="1">
        <f>HLOOKUP(C76,A59:AO71,8,0)</f>
        <v>3</v>
      </c>
    </row>
    <row r="79" spans="1:40" x14ac:dyDescent="0.35">
      <c r="B79" s="1"/>
      <c r="C79" s="1"/>
    </row>
    <row r="80" spans="1:40" x14ac:dyDescent="0.35">
      <c r="B80" s="1"/>
      <c r="C80" s="1"/>
    </row>
    <row r="81" spans="2:3" x14ac:dyDescent="0.35">
      <c r="B81" s="1"/>
      <c r="C81" s="1"/>
    </row>
    <row r="82" spans="2:3" x14ac:dyDescent="0.35">
      <c r="B82" s="1"/>
      <c r="C82" s="1"/>
    </row>
    <row r="83" spans="2:3" x14ac:dyDescent="0.35">
      <c r="B83" s="1"/>
      <c r="C83" s="1"/>
    </row>
    <row r="84" spans="2:3" x14ac:dyDescent="0.35">
      <c r="B84" s="1"/>
      <c r="C84" s="1"/>
    </row>
    <row r="85" spans="2:3" x14ac:dyDescent="0.35">
      <c r="B85" s="1"/>
      <c r="C85" s="1"/>
    </row>
    <row r="86" spans="2:3" x14ac:dyDescent="0.35">
      <c r="B86" s="1"/>
      <c r="C86" s="1"/>
    </row>
    <row r="87" spans="2:3" x14ac:dyDescent="0.35">
      <c r="B87" s="1"/>
      <c r="C87" s="1"/>
    </row>
    <row r="88" spans="2:3" x14ac:dyDescent="0.35">
      <c r="B88" s="1"/>
      <c r="C88" s="1"/>
    </row>
    <row r="89" spans="2:3" x14ac:dyDescent="0.35">
      <c r="B89" s="1"/>
      <c r="C89" s="1"/>
    </row>
    <row r="90" spans="2:3" x14ac:dyDescent="0.35">
      <c r="B90" s="1"/>
      <c r="C90" s="1"/>
    </row>
    <row r="91" spans="2:3" x14ac:dyDescent="0.35">
      <c r="B91" s="1"/>
      <c r="C91" s="1"/>
    </row>
    <row r="92" spans="2:3" x14ac:dyDescent="0.35">
      <c r="B92" s="1"/>
      <c r="C92" s="1"/>
    </row>
    <row r="93" spans="2:3" x14ac:dyDescent="0.35">
      <c r="B93" s="1"/>
      <c r="C93" s="1"/>
    </row>
    <row r="94" spans="2:3" x14ac:dyDescent="0.35">
      <c r="B94" s="1"/>
      <c r="C94" s="1"/>
    </row>
    <row r="95" spans="2:3" x14ac:dyDescent="0.35">
      <c r="B95" s="1"/>
      <c r="C95" s="1"/>
    </row>
    <row r="96" spans="2:3" x14ac:dyDescent="0.35">
      <c r="B96" s="1"/>
      <c r="C96" s="1"/>
    </row>
    <row r="97" spans="2:3" x14ac:dyDescent="0.35">
      <c r="B97" s="1"/>
      <c r="C97" s="1"/>
    </row>
    <row r="98" spans="2:3" x14ac:dyDescent="0.35">
      <c r="B98" s="1"/>
      <c r="C98" s="1"/>
    </row>
    <row r="99" spans="2:3" x14ac:dyDescent="0.35">
      <c r="B99" s="1"/>
      <c r="C99" s="1"/>
    </row>
    <row r="100" spans="2:3" x14ac:dyDescent="0.35">
      <c r="B100" s="1"/>
      <c r="C100" s="1"/>
    </row>
    <row r="101" spans="2:3" x14ac:dyDescent="0.35">
      <c r="B101" s="1"/>
      <c r="C101" s="1"/>
    </row>
    <row r="102" spans="2:3" x14ac:dyDescent="0.35">
      <c r="B102" s="1"/>
      <c r="C102" s="1"/>
    </row>
    <row r="103" spans="2:3" x14ac:dyDescent="0.35">
      <c r="B103" s="1"/>
      <c r="C103" s="1"/>
    </row>
    <row r="104" spans="2:3" x14ac:dyDescent="0.35">
      <c r="B104" s="1"/>
      <c r="C104" s="1"/>
    </row>
    <row r="105" spans="2:3" x14ac:dyDescent="0.35">
      <c r="B105" s="1"/>
      <c r="C105" s="1"/>
    </row>
    <row r="106" spans="2:3" x14ac:dyDescent="0.35">
      <c r="B106" s="1"/>
      <c r="C106" s="1"/>
    </row>
    <row r="107" spans="2:3" x14ac:dyDescent="0.35">
      <c r="B107" s="1"/>
      <c r="C107" s="1"/>
    </row>
    <row r="108" spans="2:3" x14ac:dyDescent="0.35">
      <c r="B108" s="1"/>
      <c r="C108" s="1"/>
    </row>
    <row r="109" spans="2:3" x14ac:dyDescent="0.35">
      <c r="B109" s="1"/>
      <c r="C109" s="1"/>
    </row>
    <row r="110" spans="2:3" x14ac:dyDescent="0.35">
      <c r="B110" s="1"/>
      <c r="C110" s="1"/>
    </row>
    <row r="111" spans="2:3" x14ac:dyDescent="0.35">
      <c r="B111" s="1"/>
      <c r="C111" s="1"/>
    </row>
    <row r="112" spans="2:3" x14ac:dyDescent="0.35">
      <c r="B112" s="1"/>
      <c r="C112" s="1"/>
    </row>
    <row r="113" spans="2:3" x14ac:dyDescent="0.35">
      <c r="B113" s="1"/>
      <c r="C113" s="1"/>
    </row>
    <row r="114" spans="2:3" x14ac:dyDescent="0.35">
      <c r="B114" s="1"/>
      <c r="C114" s="1"/>
    </row>
    <row r="115" spans="2:3" x14ac:dyDescent="0.35">
      <c r="B115" s="1"/>
      <c r="C115" s="1"/>
    </row>
    <row r="116" spans="2:3" x14ac:dyDescent="0.35">
      <c r="B116" s="1"/>
      <c r="C116" s="1"/>
    </row>
    <row r="117" spans="2:3" x14ac:dyDescent="0.35">
      <c r="B117" s="1"/>
      <c r="C117" s="1"/>
    </row>
    <row r="118" spans="2:3" x14ac:dyDescent="0.35">
      <c r="B118" s="1"/>
      <c r="C118" s="1"/>
    </row>
    <row r="119" spans="2:3" x14ac:dyDescent="0.35">
      <c r="B119" s="1"/>
      <c r="C119" s="1"/>
    </row>
    <row r="120" spans="2:3" x14ac:dyDescent="0.35">
      <c r="B120" s="1"/>
      <c r="C120" s="1"/>
    </row>
    <row r="121" spans="2:3" x14ac:dyDescent="0.35">
      <c r="B121" s="1"/>
      <c r="C121" s="1"/>
    </row>
    <row r="122" spans="2:3" x14ac:dyDescent="0.35">
      <c r="B122" s="1"/>
      <c r="C122" s="1"/>
    </row>
    <row r="123" spans="2:3" x14ac:dyDescent="0.35">
      <c r="B123" s="1"/>
      <c r="C123" s="1"/>
    </row>
    <row r="124" spans="2:3" x14ac:dyDescent="0.35">
      <c r="B124" s="1"/>
      <c r="C124" s="1"/>
    </row>
    <row r="125" spans="2:3" x14ac:dyDescent="0.35">
      <c r="B125" s="1"/>
      <c r="C125" s="1"/>
    </row>
    <row r="126" spans="2:3" x14ac:dyDescent="0.35">
      <c r="B126" s="1"/>
      <c r="C126" s="1"/>
    </row>
    <row r="127" spans="2:3" x14ac:dyDescent="0.35">
      <c r="B127" s="1"/>
      <c r="C127" s="1"/>
    </row>
    <row r="128" spans="2:3" x14ac:dyDescent="0.35">
      <c r="B128" s="1"/>
      <c r="C128" s="1"/>
    </row>
    <row r="129" spans="2:3" x14ac:dyDescent="0.35">
      <c r="B129" s="1"/>
      <c r="C129" s="1"/>
    </row>
    <row r="130" spans="2:3" x14ac:dyDescent="0.35">
      <c r="B130" s="1"/>
      <c r="C130" s="1"/>
    </row>
    <row r="131" spans="2:3" x14ac:dyDescent="0.35">
      <c r="B131" s="1"/>
      <c r="C131" s="1"/>
    </row>
    <row r="132" spans="2:3" x14ac:dyDescent="0.35">
      <c r="B132" s="1"/>
      <c r="C132" s="1"/>
    </row>
    <row r="133" spans="2:3" x14ac:dyDescent="0.35">
      <c r="B133" s="1"/>
      <c r="C133" s="1"/>
    </row>
    <row r="134" spans="2:3" x14ac:dyDescent="0.35">
      <c r="B134" s="1"/>
      <c r="C134" s="1"/>
    </row>
    <row r="135" spans="2:3" x14ac:dyDescent="0.35">
      <c r="B135" s="1"/>
      <c r="C135" s="1"/>
    </row>
    <row r="136" spans="2:3" x14ac:dyDescent="0.35">
      <c r="B136" s="1"/>
      <c r="C136" s="1"/>
    </row>
    <row r="137" spans="2:3" x14ac:dyDescent="0.35">
      <c r="B137" s="1"/>
      <c r="C137" s="1"/>
    </row>
    <row r="138" spans="2:3" x14ac:dyDescent="0.35">
      <c r="B138" s="1"/>
      <c r="C138" s="1"/>
    </row>
    <row r="139" spans="2:3" x14ac:dyDescent="0.35">
      <c r="B139" s="1"/>
      <c r="C139" s="1"/>
    </row>
    <row r="140" spans="2:3" x14ac:dyDescent="0.35">
      <c r="B140" s="1"/>
      <c r="C140" s="1"/>
    </row>
    <row r="141" spans="2:3" x14ac:dyDescent="0.35">
      <c r="B141" s="1"/>
      <c r="C141" s="1"/>
    </row>
    <row r="142" spans="2:3" x14ac:dyDescent="0.35">
      <c r="B142" s="1"/>
      <c r="C142" s="1"/>
    </row>
    <row r="143" spans="2:3" x14ac:dyDescent="0.35">
      <c r="B143" s="1"/>
      <c r="C143" s="1"/>
    </row>
    <row r="144" spans="2:3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  <row r="194" spans="2:3" x14ac:dyDescent="0.35">
      <c r="B194" s="1"/>
      <c r="C194" s="1"/>
    </row>
    <row r="195" spans="2:3" x14ac:dyDescent="0.35">
      <c r="B195" s="1"/>
      <c r="C195" s="1"/>
    </row>
    <row r="196" spans="2:3" x14ac:dyDescent="0.35">
      <c r="B196" s="1"/>
      <c r="C196" s="1"/>
    </row>
    <row r="197" spans="2:3" x14ac:dyDescent="0.35">
      <c r="B197" s="1"/>
      <c r="C197" s="1"/>
    </row>
    <row r="198" spans="2:3" x14ac:dyDescent="0.35">
      <c r="B198" s="1"/>
      <c r="C198" s="1"/>
    </row>
    <row r="199" spans="2:3" x14ac:dyDescent="0.35">
      <c r="B199" s="1"/>
    </row>
    <row r="200" spans="2:3" x14ac:dyDescent="0.35">
      <c r="B200" s="1"/>
    </row>
  </sheetData>
  <sheetProtection algorithmName="SHA-512" hashValue="UCfPzeG2E8CY6hZXU5UcYscAgtPgfdU2+Z9GaB9ahpDTdc5V5dRJqempTHCJFLtlF4pued3znkY/RKs0lnQwlQ==" saltValue="bG/M4QDvq8EO9jwmj388wA==" spinCount="100000" sheet="1" objects="1" scenarios="1"/>
  <phoneticPr fontId="1" type="noConversion"/>
  <dataValidations count="1">
    <dataValidation type="list" allowBlank="1" showInputMessage="1" showErrorMessage="1" sqref="H54" xr:uid="{CD5BFE16-BA08-447B-A307-27A59113A7DD}">
      <formula1>$B$2:$B$41</formula1>
    </dataValidation>
  </dataValidations>
  <pageMargins left="0.7" right="0.7" top="0.75" bottom="0.75" header="0.3" footer="0.3"/>
  <pageSetup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98F2-135C-483B-B06E-298049D4838D}">
  <dimension ref="A1:O16"/>
  <sheetViews>
    <sheetView workbookViewId="0">
      <selection activeCell="B2" sqref="B2"/>
    </sheetView>
  </sheetViews>
  <sheetFormatPr defaultRowHeight="14.5" x14ac:dyDescent="0.35"/>
  <cols>
    <col min="2" max="2" width="12.7265625" customWidth="1"/>
    <col min="4" max="4" width="11.1796875" customWidth="1"/>
    <col min="9" max="9" width="12.90625" customWidth="1"/>
    <col min="10" max="10" width="12.1796875" customWidth="1"/>
    <col min="13" max="13" width="10.26953125" customWidth="1"/>
    <col min="15" max="15" width="10.1796875" customWidth="1"/>
  </cols>
  <sheetData>
    <row r="1" spans="1:15" x14ac:dyDescent="0.35">
      <c r="A1" t="s">
        <v>175</v>
      </c>
      <c r="B1" t="s">
        <v>149</v>
      </c>
      <c r="C1" t="s">
        <v>174</v>
      </c>
      <c r="D1" t="s">
        <v>173</v>
      </c>
      <c r="E1" t="s">
        <v>172</v>
      </c>
      <c r="F1" t="s">
        <v>171</v>
      </c>
      <c r="G1" t="s">
        <v>170</v>
      </c>
      <c r="H1" t="s">
        <v>169</v>
      </c>
      <c r="I1" t="s">
        <v>168</v>
      </c>
      <c r="J1" t="s">
        <v>167</v>
      </c>
      <c r="K1" t="s">
        <v>166</v>
      </c>
      <c r="L1" t="s">
        <v>222</v>
      </c>
    </row>
    <row r="2" spans="1:15" x14ac:dyDescent="0.35">
      <c r="A2">
        <v>1</v>
      </c>
      <c r="B2" s="1" t="s">
        <v>165</v>
      </c>
      <c r="C2" t="s">
        <v>156</v>
      </c>
      <c r="D2">
        <v>69</v>
      </c>
      <c r="E2">
        <v>83</v>
      </c>
      <c r="F2">
        <v>71</v>
      </c>
      <c r="G2">
        <v>83</v>
      </c>
      <c r="H2">
        <v>70</v>
      </c>
      <c r="I2">
        <v>376</v>
      </c>
      <c r="J2">
        <v>75.2</v>
      </c>
      <c r="K2" t="str">
        <f t="shared" ref="K2:K11" si="0">_xlfn.IFS(J2&gt;90,"A",J2&gt;80,"B",J2&gt;70,"C",J2&gt;60,"D",J2&gt;50,"E",J2&lt;50,"fail")</f>
        <v>C</v>
      </c>
      <c r="L2">
        <f t="shared" ref="L2:L11" ca="1" si="1">RANDBETWEEN(15,18)</f>
        <v>16</v>
      </c>
    </row>
    <row r="3" spans="1:15" x14ac:dyDescent="0.35">
      <c r="A3">
        <v>2</v>
      </c>
      <c r="B3" s="1" t="s">
        <v>164</v>
      </c>
      <c r="C3" t="s">
        <v>156</v>
      </c>
      <c r="D3">
        <v>97</v>
      </c>
      <c r="E3">
        <v>80</v>
      </c>
      <c r="F3">
        <v>87</v>
      </c>
      <c r="G3">
        <v>95</v>
      </c>
      <c r="H3">
        <v>71</v>
      </c>
      <c r="I3">
        <v>430</v>
      </c>
      <c r="J3">
        <v>86</v>
      </c>
      <c r="K3" t="str">
        <f t="shared" si="0"/>
        <v>B</v>
      </c>
      <c r="L3">
        <f t="shared" ca="1" si="1"/>
        <v>17</v>
      </c>
    </row>
    <row r="4" spans="1:15" x14ac:dyDescent="0.35">
      <c r="A4">
        <v>3</v>
      </c>
      <c r="B4" s="1" t="s">
        <v>163</v>
      </c>
      <c r="C4" t="s">
        <v>156</v>
      </c>
      <c r="D4">
        <v>60</v>
      </c>
      <c r="E4">
        <v>77</v>
      </c>
      <c r="F4">
        <v>70</v>
      </c>
      <c r="G4">
        <v>76</v>
      </c>
      <c r="H4">
        <v>59</v>
      </c>
      <c r="I4">
        <v>342</v>
      </c>
      <c r="J4">
        <v>68.400000000000006</v>
      </c>
      <c r="K4" t="str">
        <f t="shared" si="0"/>
        <v>D</v>
      </c>
      <c r="L4">
        <f t="shared" ca="1" si="1"/>
        <v>18</v>
      </c>
    </row>
    <row r="5" spans="1:15" x14ac:dyDescent="0.35">
      <c r="A5">
        <v>4</v>
      </c>
      <c r="B5" s="1" t="s">
        <v>162</v>
      </c>
      <c r="C5" t="s">
        <v>156</v>
      </c>
      <c r="D5">
        <v>71</v>
      </c>
      <c r="E5">
        <v>68</v>
      </c>
      <c r="F5">
        <v>83</v>
      </c>
      <c r="G5">
        <v>69</v>
      </c>
      <c r="H5">
        <v>60</v>
      </c>
      <c r="I5">
        <v>351</v>
      </c>
      <c r="J5">
        <v>70.2</v>
      </c>
      <c r="K5" t="str">
        <f t="shared" si="0"/>
        <v>C</v>
      </c>
      <c r="L5">
        <f t="shared" ca="1" si="1"/>
        <v>15</v>
      </c>
      <c r="N5" t="s">
        <v>177</v>
      </c>
      <c r="O5" t="s">
        <v>178</v>
      </c>
    </row>
    <row r="6" spans="1:15" x14ac:dyDescent="0.35">
      <c r="A6">
        <v>5</v>
      </c>
      <c r="B6" s="1" t="s">
        <v>161</v>
      </c>
      <c r="C6" t="s">
        <v>156</v>
      </c>
      <c r="D6">
        <v>57</v>
      </c>
      <c r="E6">
        <v>52</v>
      </c>
      <c r="F6">
        <v>73</v>
      </c>
      <c r="G6">
        <v>55</v>
      </c>
      <c r="H6">
        <v>73</v>
      </c>
      <c r="I6">
        <v>310</v>
      </c>
      <c r="J6">
        <v>62</v>
      </c>
      <c r="K6" t="str">
        <f t="shared" si="0"/>
        <v>D</v>
      </c>
      <c r="L6">
        <f t="shared" ca="1" si="1"/>
        <v>18</v>
      </c>
      <c r="N6">
        <v>17</v>
      </c>
      <c r="O6" t="str">
        <f>IF(N6&gt;=18,"yes","no")</f>
        <v>no</v>
      </c>
    </row>
    <row r="7" spans="1:15" x14ac:dyDescent="0.35">
      <c r="A7">
        <v>6</v>
      </c>
      <c r="B7" s="1" t="s">
        <v>160</v>
      </c>
      <c r="C7" t="s">
        <v>156</v>
      </c>
      <c r="D7">
        <v>58</v>
      </c>
      <c r="E7">
        <v>55</v>
      </c>
      <c r="F7">
        <v>84</v>
      </c>
      <c r="G7">
        <v>96</v>
      </c>
      <c r="H7">
        <v>73</v>
      </c>
      <c r="I7">
        <v>366</v>
      </c>
      <c r="J7">
        <v>73.2</v>
      </c>
      <c r="K7" t="str">
        <f t="shared" si="0"/>
        <v>C</v>
      </c>
      <c r="L7">
        <f t="shared" ca="1" si="1"/>
        <v>15</v>
      </c>
      <c r="N7">
        <v>16</v>
      </c>
      <c r="O7" t="str">
        <f t="shared" ref="O7:O16" si="2">IF(N7&gt;=18,"yes","no")</f>
        <v>no</v>
      </c>
    </row>
    <row r="8" spans="1:15" ht="29" x14ac:dyDescent="0.35">
      <c r="A8">
        <v>7</v>
      </c>
      <c r="B8" s="1" t="s">
        <v>176</v>
      </c>
      <c r="C8" t="s">
        <v>156</v>
      </c>
      <c r="D8">
        <v>55</v>
      </c>
      <c r="E8">
        <v>80</v>
      </c>
      <c r="F8">
        <v>56</v>
      </c>
      <c r="G8">
        <v>79</v>
      </c>
      <c r="H8">
        <v>78</v>
      </c>
      <c r="I8">
        <v>348</v>
      </c>
      <c r="J8">
        <v>69.599999999999994</v>
      </c>
      <c r="K8" t="str">
        <f t="shared" si="0"/>
        <v>D</v>
      </c>
      <c r="L8">
        <f t="shared" ca="1" si="1"/>
        <v>18</v>
      </c>
      <c r="N8">
        <v>19</v>
      </c>
      <c r="O8" t="str">
        <f t="shared" si="2"/>
        <v>yes</v>
      </c>
    </row>
    <row r="9" spans="1:15" x14ac:dyDescent="0.35">
      <c r="A9">
        <v>8</v>
      </c>
      <c r="B9" s="1" t="s">
        <v>159</v>
      </c>
      <c r="C9" t="s">
        <v>156</v>
      </c>
      <c r="D9">
        <v>89</v>
      </c>
      <c r="E9">
        <v>90</v>
      </c>
      <c r="F9">
        <v>95</v>
      </c>
      <c r="G9">
        <v>83</v>
      </c>
      <c r="H9">
        <v>87</v>
      </c>
      <c r="I9">
        <v>444</v>
      </c>
      <c r="J9">
        <v>88.8</v>
      </c>
      <c r="K9" t="str">
        <f t="shared" si="0"/>
        <v>B</v>
      </c>
      <c r="L9">
        <f t="shared" ca="1" si="1"/>
        <v>18</v>
      </c>
      <c r="N9">
        <v>18</v>
      </c>
      <c r="O9" t="str">
        <f t="shared" si="2"/>
        <v>yes</v>
      </c>
    </row>
    <row r="10" spans="1:15" x14ac:dyDescent="0.35">
      <c r="A10">
        <v>9</v>
      </c>
      <c r="B10" s="1" t="s">
        <v>158</v>
      </c>
      <c r="C10" t="s">
        <v>156</v>
      </c>
      <c r="D10">
        <v>84</v>
      </c>
      <c r="E10">
        <v>91</v>
      </c>
      <c r="F10">
        <v>59</v>
      </c>
      <c r="G10">
        <v>81</v>
      </c>
      <c r="H10">
        <v>81</v>
      </c>
      <c r="I10">
        <v>396</v>
      </c>
      <c r="J10">
        <v>79.2</v>
      </c>
      <c r="K10" t="str">
        <f t="shared" si="0"/>
        <v>C</v>
      </c>
      <c r="L10">
        <f t="shared" ca="1" si="1"/>
        <v>18</v>
      </c>
      <c r="N10">
        <v>17</v>
      </c>
      <c r="O10" t="str">
        <f t="shared" si="2"/>
        <v>no</v>
      </c>
    </row>
    <row r="11" spans="1:15" x14ac:dyDescent="0.35">
      <c r="A11">
        <v>10</v>
      </c>
      <c r="B11" s="1" t="s">
        <v>157</v>
      </c>
      <c r="C11" t="s">
        <v>156</v>
      </c>
      <c r="D11">
        <v>91</v>
      </c>
      <c r="E11">
        <v>85</v>
      </c>
      <c r="F11">
        <v>99</v>
      </c>
      <c r="G11">
        <v>62</v>
      </c>
      <c r="H11">
        <v>76</v>
      </c>
      <c r="I11">
        <v>413</v>
      </c>
      <c r="J11">
        <v>82.6</v>
      </c>
      <c r="K11" t="str">
        <f t="shared" si="0"/>
        <v>B</v>
      </c>
      <c r="L11">
        <f t="shared" ca="1" si="1"/>
        <v>16</v>
      </c>
      <c r="N11">
        <v>18</v>
      </c>
      <c r="O11" t="str">
        <f t="shared" si="2"/>
        <v>yes</v>
      </c>
    </row>
    <row r="12" spans="1:15" x14ac:dyDescent="0.35">
      <c r="N12">
        <v>18</v>
      </c>
      <c r="O12" t="str">
        <f t="shared" si="2"/>
        <v>yes</v>
      </c>
    </row>
    <row r="13" spans="1:15" x14ac:dyDescent="0.35">
      <c r="N13">
        <v>17</v>
      </c>
      <c r="O13" t="str">
        <f t="shared" si="2"/>
        <v>no</v>
      </c>
    </row>
    <row r="14" spans="1:15" x14ac:dyDescent="0.35">
      <c r="N14">
        <v>16</v>
      </c>
      <c r="O14" t="str">
        <f t="shared" si="2"/>
        <v>no</v>
      </c>
    </row>
    <row r="15" spans="1:15" x14ac:dyDescent="0.35">
      <c r="N15">
        <v>18</v>
      </c>
      <c r="O15" t="str">
        <f t="shared" si="2"/>
        <v>yes</v>
      </c>
    </row>
    <row r="16" spans="1:15" x14ac:dyDescent="0.35">
      <c r="N16">
        <v>17</v>
      </c>
      <c r="O16" t="str">
        <f t="shared" si="2"/>
        <v>no</v>
      </c>
    </row>
  </sheetData>
  <sheetProtection algorithmName="SHA-512" hashValue="uadeldwCmfbi8Y+siiiVp3YP4GZzIV0wJ4868bi1UbSHQKuqDkB8AOCViCYJHf5a8/2MEvVo4AV2hZYmCkUSZA==" saltValue="u8mfzd8Z1ttBPqNFQeajng==" spinCount="100000" sheet="1" objects="1" scenarios="1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6F2C-3A24-44E9-870F-6298BA141D93}">
  <dimension ref="A1:Z41"/>
  <sheetViews>
    <sheetView topLeftCell="C27" zoomScale="78" workbookViewId="0">
      <selection activeCell="I40" sqref="I40"/>
    </sheetView>
  </sheetViews>
  <sheetFormatPr defaultRowHeight="14.5" x14ac:dyDescent="0.35"/>
  <cols>
    <col min="1" max="1" width="8.90625" customWidth="1"/>
    <col min="2" max="2" width="12.6328125" customWidth="1"/>
    <col min="4" max="4" width="9.1796875" customWidth="1"/>
    <col min="5" max="5" width="14.54296875" bestFit="1" customWidth="1"/>
    <col min="6" max="6" width="20.36328125" bestFit="1" customWidth="1"/>
    <col min="7" max="7" width="11" customWidth="1"/>
    <col min="8" max="8" width="10.54296875" customWidth="1"/>
    <col min="9" max="9" width="12.7265625" customWidth="1"/>
    <col min="10" max="10" width="15.1796875" customWidth="1"/>
    <col min="13" max="13" width="8.81640625" customWidth="1"/>
  </cols>
  <sheetData>
    <row r="1" spans="1:26" ht="36" x14ac:dyDescent="0.8">
      <c r="A1" s="29" t="s">
        <v>223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1" x14ac:dyDescent="0.5">
      <c r="A2" s="30" t="s">
        <v>289</v>
      </c>
      <c r="B2" s="30"/>
      <c r="C2" s="30"/>
      <c r="D2" s="30"/>
      <c r="E2" s="30"/>
      <c r="F2" s="30"/>
      <c r="G2" s="31" t="s">
        <v>293</v>
      </c>
      <c r="H2" s="31"/>
      <c r="I2" s="31"/>
      <c r="J2" s="31"/>
      <c r="K2" s="31"/>
      <c r="L2" s="32" t="s">
        <v>294</v>
      </c>
      <c r="M2" s="32"/>
      <c r="N2" s="32"/>
      <c r="O2" s="32"/>
      <c r="P2" s="32"/>
      <c r="Q2" s="33" t="s">
        <v>305</v>
      </c>
      <c r="R2" s="34"/>
      <c r="S2" s="34"/>
      <c r="T2" s="34"/>
      <c r="U2" s="34"/>
      <c r="V2" s="27" t="s">
        <v>306</v>
      </c>
      <c r="W2" s="28"/>
      <c r="X2" s="28"/>
      <c r="Y2" s="28"/>
      <c r="Z2" s="28"/>
    </row>
    <row r="3" spans="1:26" x14ac:dyDescent="0.35">
      <c r="A3" s="3" t="s">
        <v>224</v>
      </c>
      <c r="B3" s="3" t="s">
        <v>221</v>
      </c>
      <c r="C3" s="3" t="s">
        <v>174</v>
      </c>
      <c r="D3" s="3" t="s">
        <v>225</v>
      </c>
      <c r="E3" s="3" t="s">
        <v>226</v>
      </c>
      <c r="F3" s="3" t="s">
        <v>227</v>
      </c>
      <c r="G3" s="3" t="s">
        <v>170</v>
      </c>
      <c r="H3" s="3" t="s">
        <v>171</v>
      </c>
      <c r="I3" s="3" t="s">
        <v>290</v>
      </c>
      <c r="J3" s="3" t="s">
        <v>291</v>
      </c>
      <c r="K3" s="3" t="s">
        <v>292</v>
      </c>
      <c r="L3" s="3" t="s">
        <v>170</v>
      </c>
      <c r="M3" s="3" t="s">
        <v>171</v>
      </c>
      <c r="N3" s="3" t="s">
        <v>290</v>
      </c>
      <c r="O3" s="3" t="s">
        <v>291</v>
      </c>
      <c r="P3" s="3" t="s">
        <v>292</v>
      </c>
      <c r="Q3" s="12" t="s">
        <v>295</v>
      </c>
      <c r="R3" s="12" t="s">
        <v>297</v>
      </c>
      <c r="S3" s="12" t="s">
        <v>298</v>
      </c>
      <c r="T3" s="12" t="s">
        <v>299</v>
      </c>
      <c r="U3" s="12" t="s">
        <v>300</v>
      </c>
      <c r="V3" s="14" t="s">
        <v>296</v>
      </c>
      <c r="W3" s="14" t="s">
        <v>301</v>
      </c>
      <c r="X3" s="14" t="s">
        <v>302</v>
      </c>
      <c r="Y3" s="14" t="s">
        <v>303</v>
      </c>
      <c r="Z3" s="14" t="s">
        <v>304</v>
      </c>
    </row>
    <row r="4" spans="1:26" x14ac:dyDescent="0.35">
      <c r="A4">
        <v>1</v>
      </c>
      <c r="B4" t="s">
        <v>228</v>
      </c>
      <c r="C4" t="s">
        <v>248</v>
      </c>
      <c r="D4">
        <v>1</v>
      </c>
      <c r="E4" t="s">
        <v>249</v>
      </c>
      <c r="F4" t="s">
        <v>269</v>
      </c>
      <c r="G4">
        <v>21</v>
      </c>
      <c r="H4">
        <v>23</v>
      </c>
      <c r="I4">
        <v>31</v>
      </c>
      <c r="J4">
        <v>25</v>
      </c>
      <c r="K4">
        <v>28</v>
      </c>
      <c r="L4">
        <v>79</v>
      </c>
      <c r="M4">
        <v>49</v>
      </c>
      <c r="N4">
        <v>67</v>
      </c>
      <c r="O4">
        <v>73</v>
      </c>
      <c r="P4">
        <v>41</v>
      </c>
      <c r="Q4" s="13">
        <v>39</v>
      </c>
      <c r="R4" s="13">
        <v>32</v>
      </c>
      <c r="S4" s="13">
        <v>18</v>
      </c>
      <c r="T4" s="13">
        <v>24</v>
      </c>
      <c r="U4" s="13">
        <v>33</v>
      </c>
      <c r="V4" s="15">
        <v>77</v>
      </c>
      <c r="W4" s="15">
        <v>34</v>
      </c>
      <c r="X4" s="15">
        <v>48</v>
      </c>
      <c r="Y4" s="15">
        <v>60</v>
      </c>
      <c r="Z4" s="15">
        <v>31</v>
      </c>
    </row>
    <row r="5" spans="1:26" x14ac:dyDescent="0.35">
      <c r="A5">
        <v>2</v>
      </c>
      <c r="B5" t="s">
        <v>229</v>
      </c>
      <c r="C5" t="s">
        <v>248</v>
      </c>
      <c r="D5">
        <v>2</v>
      </c>
      <c r="E5" t="s">
        <v>250</v>
      </c>
      <c r="F5" t="s">
        <v>270</v>
      </c>
      <c r="G5">
        <v>40</v>
      </c>
      <c r="H5">
        <v>38</v>
      </c>
      <c r="I5">
        <v>30</v>
      </c>
      <c r="J5">
        <v>16</v>
      </c>
      <c r="K5">
        <v>24</v>
      </c>
      <c r="L5">
        <v>38</v>
      </c>
      <c r="M5">
        <v>34</v>
      </c>
      <c r="N5">
        <v>54</v>
      </c>
      <c r="O5">
        <v>68</v>
      </c>
      <c r="P5">
        <v>58</v>
      </c>
      <c r="Q5" s="13">
        <v>28</v>
      </c>
      <c r="R5" s="13">
        <v>17</v>
      </c>
      <c r="S5" s="13">
        <v>28</v>
      </c>
      <c r="T5" s="13">
        <v>38</v>
      </c>
      <c r="U5" s="13">
        <v>28</v>
      </c>
      <c r="V5" s="15">
        <v>74</v>
      </c>
      <c r="W5" s="15">
        <v>57</v>
      </c>
      <c r="X5" s="15">
        <v>74</v>
      </c>
      <c r="Y5" s="15">
        <v>44</v>
      </c>
      <c r="Z5" s="15">
        <v>29</v>
      </c>
    </row>
    <row r="6" spans="1:26" x14ac:dyDescent="0.35">
      <c r="A6">
        <v>3</v>
      </c>
      <c r="B6" t="s">
        <v>230</v>
      </c>
      <c r="C6" t="s">
        <v>248</v>
      </c>
      <c r="D6">
        <v>3</v>
      </c>
      <c r="E6" t="s">
        <v>251</v>
      </c>
      <c r="F6" t="s">
        <v>271</v>
      </c>
      <c r="G6">
        <v>18</v>
      </c>
      <c r="H6">
        <v>33</v>
      </c>
      <c r="I6">
        <v>38</v>
      </c>
      <c r="J6">
        <v>28</v>
      </c>
      <c r="K6">
        <v>21</v>
      </c>
      <c r="L6">
        <v>57</v>
      </c>
      <c r="M6">
        <v>27</v>
      </c>
      <c r="N6">
        <v>67</v>
      </c>
      <c r="O6">
        <v>47</v>
      </c>
      <c r="P6">
        <v>36</v>
      </c>
      <c r="Q6" s="13">
        <v>22</v>
      </c>
      <c r="R6" s="13">
        <v>30</v>
      </c>
      <c r="S6" s="13">
        <v>23</v>
      </c>
      <c r="T6" s="13">
        <v>26</v>
      </c>
      <c r="U6" s="13">
        <v>35</v>
      </c>
      <c r="V6" s="15">
        <v>66</v>
      </c>
      <c r="W6" s="15">
        <v>32</v>
      </c>
      <c r="X6" s="15">
        <v>51</v>
      </c>
      <c r="Y6" s="15">
        <v>70</v>
      </c>
      <c r="Z6" s="15">
        <v>34</v>
      </c>
    </row>
    <row r="7" spans="1:26" x14ac:dyDescent="0.35">
      <c r="A7">
        <v>4</v>
      </c>
      <c r="B7" t="s">
        <v>231</v>
      </c>
      <c r="C7" t="s">
        <v>248</v>
      </c>
      <c r="D7">
        <v>4</v>
      </c>
      <c r="E7" t="s">
        <v>252</v>
      </c>
      <c r="F7" t="s">
        <v>272</v>
      </c>
      <c r="G7">
        <v>26</v>
      </c>
      <c r="H7">
        <v>22</v>
      </c>
      <c r="I7">
        <v>39</v>
      </c>
      <c r="J7">
        <v>31</v>
      </c>
      <c r="K7">
        <v>32</v>
      </c>
      <c r="L7">
        <v>55</v>
      </c>
      <c r="M7">
        <v>57</v>
      </c>
      <c r="N7">
        <v>70</v>
      </c>
      <c r="O7">
        <v>58</v>
      </c>
      <c r="P7">
        <v>44</v>
      </c>
      <c r="Q7" s="13">
        <v>22</v>
      </c>
      <c r="R7" s="13">
        <v>34</v>
      </c>
      <c r="S7" s="13">
        <v>29</v>
      </c>
      <c r="T7" s="13">
        <v>31</v>
      </c>
      <c r="U7" s="13">
        <v>33</v>
      </c>
      <c r="V7" s="15">
        <v>78</v>
      </c>
      <c r="W7" s="15">
        <v>59</v>
      </c>
      <c r="X7" s="15">
        <v>32</v>
      </c>
      <c r="Y7" s="15">
        <v>70</v>
      </c>
      <c r="Z7" s="15">
        <v>51</v>
      </c>
    </row>
    <row r="8" spans="1:26" x14ac:dyDescent="0.35">
      <c r="A8">
        <v>5</v>
      </c>
      <c r="B8" t="s">
        <v>232</v>
      </c>
      <c r="C8" t="s">
        <v>248</v>
      </c>
      <c r="D8">
        <v>5</v>
      </c>
      <c r="E8" t="s">
        <v>253</v>
      </c>
      <c r="F8" t="s">
        <v>273</v>
      </c>
      <c r="G8">
        <v>19</v>
      </c>
      <c r="H8">
        <v>39</v>
      </c>
      <c r="I8">
        <v>14</v>
      </c>
      <c r="J8">
        <v>40</v>
      </c>
      <c r="K8">
        <v>37</v>
      </c>
      <c r="L8">
        <v>47</v>
      </c>
      <c r="M8">
        <v>46</v>
      </c>
      <c r="N8">
        <v>58</v>
      </c>
      <c r="O8">
        <v>67</v>
      </c>
      <c r="P8">
        <v>45</v>
      </c>
      <c r="Q8" s="13">
        <v>14</v>
      </c>
      <c r="R8" s="13">
        <v>25</v>
      </c>
      <c r="S8" s="13">
        <v>19</v>
      </c>
      <c r="T8" s="13">
        <v>36</v>
      </c>
      <c r="U8" s="13">
        <v>40</v>
      </c>
      <c r="V8" s="15">
        <v>44</v>
      </c>
      <c r="W8" s="15">
        <v>68</v>
      </c>
      <c r="X8" s="15">
        <v>42</v>
      </c>
      <c r="Y8" s="15">
        <v>59</v>
      </c>
      <c r="Z8" s="15">
        <v>76</v>
      </c>
    </row>
    <row r="9" spans="1:26" x14ac:dyDescent="0.35">
      <c r="A9">
        <v>6</v>
      </c>
      <c r="B9" t="s">
        <v>233</v>
      </c>
      <c r="C9" t="s">
        <v>248</v>
      </c>
      <c r="D9">
        <v>6</v>
      </c>
      <c r="E9" t="s">
        <v>254</v>
      </c>
      <c r="F9" t="s">
        <v>274</v>
      </c>
      <c r="G9">
        <v>37</v>
      </c>
      <c r="H9">
        <v>15</v>
      </c>
      <c r="I9">
        <v>28</v>
      </c>
      <c r="J9">
        <v>33</v>
      </c>
      <c r="K9">
        <v>36</v>
      </c>
      <c r="L9">
        <v>37</v>
      </c>
      <c r="M9">
        <v>30</v>
      </c>
      <c r="N9">
        <v>67</v>
      </c>
      <c r="O9">
        <v>56</v>
      </c>
      <c r="P9">
        <v>74</v>
      </c>
      <c r="Q9" s="13">
        <v>20</v>
      </c>
      <c r="R9" s="13">
        <v>15</v>
      </c>
      <c r="S9" s="13">
        <v>18</v>
      </c>
      <c r="T9" s="13">
        <v>18</v>
      </c>
      <c r="U9" s="13">
        <v>19</v>
      </c>
      <c r="V9" s="15">
        <v>35</v>
      </c>
      <c r="W9" s="15">
        <v>28</v>
      </c>
      <c r="X9" s="15">
        <v>38</v>
      </c>
      <c r="Y9" s="15">
        <v>62</v>
      </c>
      <c r="Z9" s="15">
        <v>66</v>
      </c>
    </row>
    <row r="10" spans="1:26" x14ac:dyDescent="0.35">
      <c r="A10">
        <v>7</v>
      </c>
      <c r="B10" t="s">
        <v>234</v>
      </c>
      <c r="C10" t="s">
        <v>248</v>
      </c>
      <c r="D10">
        <v>7</v>
      </c>
      <c r="E10" t="s">
        <v>255</v>
      </c>
      <c r="F10" t="s">
        <v>275</v>
      </c>
      <c r="G10">
        <v>31</v>
      </c>
      <c r="H10">
        <v>20</v>
      </c>
      <c r="I10">
        <v>29</v>
      </c>
      <c r="J10">
        <v>18</v>
      </c>
      <c r="K10">
        <v>18</v>
      </c>
      <c r="L10">
        <v>30</v>
      </c>
      <c r="M10">
        <v>33</v>
      </c>
      <c r="N10">
        <v>78</v>
      </c>
      <c r="O10">
        <v>33</v>
      </c>
      <c r="P10">
        <v>80</v>
      </c>
      <c r="Q10" s="13">
        <v>39</v>
      </c>
      <c r="R10" s="13">
        <v>25</v>
      </c>
      <c r="S10" s="13">
        <v>22</v>
      </c>
      <c r="T10" s="13">
        <v>36</v>
      </c>
      <c r="U10" s="13">
        <v>29</v>
      </c>
      <c r="V10" s="15">
        <v>65</v>
      </c>
      <c r="W10" s="15">
        <v>31</v>
      </c>
      <c r="X10" s="15">
        <v>77</v>
      </c>
      <c r="Y10" s="15">
        <v>65</v>
      </c>
      <c r="Z10" s="15">
        <v>50</v>
      </c>
    </row>
    <row r="11" spans="1:26" x14ac:dyDescent="0.35">
      <c r="A11">
        <v>8</v>
      </c>
      <c r="B11" t="s">
        <v>235</v>
      </c>
      <c r="C11" t="s">
        <v>248</v>
      </c>
      <c r="D11">
        <v>8</v>
      </c>
      <c r="E11" t="s">
        <v>256</v>
      </c>
      <c r="F11" t="s">
        <v>276</v>
      </c>
      <c r="G11">
        <v>21</v>
      </c>
      <c r="H11">
        <v>21</v>
      </c>
      <c r="I11">
        <v>31</v>
      </c>
      <c r="J11">
        <v>28</v>
      </c>
      <c r="K11">
        <v>19</v>
      </c>
      <c r="L11">
        <v>51</v>
      </c>
      <c r="M11">
        <v>55</v>
      </c>
      <c r="N11">
        <v>27</v>
      </c>
      <c r="O11">
        <v>42</v>
      </c>
      <c r="P11">
        <v>78</v>
      </c>
      <c r="Q11" s="13">
        <v>25</v>
      </c>
      <c r="R11" s="13">
        <v>40</v>
      </c>
      <c r="S11" s="13">
        <v>27</v>
      </c>
      <c r="T11" s="13">
        <v>40</v>
      </c>
      <c r="U11" s="13">
        <v>28</v>
      </c>
      <c r="V11" s="15">
        <v>42</v>
      </c>
      <c r="W11" s="15">
        <v>79</v>
      </c>
      <c r="X11" s="15">
        <v>72</v>
      </c>
      <c r="Y11" s="15">
        <v>32</v>
      </c>
      <c r="Z11" s="15">
        <v>38</v>
      </c>
    </row>
    <row r="12" spans="1:26" x14ac:dyDescent="0.35">
      <c r="A12">
        <v>9</v>
      </c>
      <c r="B12" t="s">
        <v>236</v>
      </c>
      <c r="C12" t="s">
        <v>248</v>
      </c>
      <c r="D12">
        <v>9</v>
      </c>
      <c r="E12" t="s">
        <v>257</v>
      </c>
      <c r="F12" t="s">
        <v>277</v>
      </c>
      <c r="G12">
        <v>28</v>
      </c>
      <c r="H12">
        <v>36</v>
      </c>
      <c r="I12">
        <v>37</v>
      </c>
      <c r="J12">
        <v>16</v>
      </c>
      <c r="K12">
        <v>38</v>
      </c>
      <c r="L12">
        <v>65</v>
      </c>
      <c r="M12">
        <v>29</v>
      </c>
      <c r="N12">
        <v>43</v>
      </c>
      <c r="O12">
        <v>66</v>
      </c>
      <c r="P12">
        <v>34</v>
      </c>
      <c r="Q12" s="13">
        <v>25</v>
      </c>
      <c r="R12" s="13">
        <v>17</v>
      </c>
      <c r="S12" s="13">
        <v>16</v>
      </c>
      <c r="T12" s="13">
        <v>17</v>
      </c>
      <c r="U12" s="13">
        <v>18</v>
      </c>
      <c r="V12" s="15">
        <v>57</v>
      </c>
      <c r="W12" s="15">
        <v>69</v>
      </c>
      <c r="X12" s="15">
        <v>60</v>
      </c>
      <c r="Y12" s="15">
        <v>36</v>
      </c>
      <c r="Z12" s="15">
        <v>50</v>
      </c>
    </row>
    <row r="13" spans="1:26" x14ac:dyDescent="0.35">
      <c r="A13">
        <v>10</v>
      </c>
      <c r="B13" t="s">
        <v>237</v>
      </c>
      <c r="C13" t="s">
        <v>248</v>
      </c>
      <c r="D13">
        <v>10</v>
      </c>
      <c r="E13" t="s">
        <v>258</v>
      </c>
      <c r="F13" t="s">
        <v>278</v>
      </c>
      <c r="G13">
        <v>26</v>
      </c>
      <c r="H13">
        <v>31</v>
      </c>
      <c r="I13">
        <v>39</v>
      </c>
      <c r="J13">
        <v>14</v>
      </c>
      <c r="K13">
        <v>28</v>
      </c>
      <c r="L13">
        <v>55</v>
      </c>
      <c r="M13">
        <v>59</v>
      </c>
      <c r="N13">
        <v>28</v>
      </c>
      <c r="O13">
        <v>32</v>
      </c>
      <c r="P13">
        <v>49</v>
      </c>
      <c r="Q13" s="13">
        <v>14</v>
      </c>
      <c r="R13" s="13">
        <v>22</v>
      </c>
      <c r="S13" s="13">
        <v>19</v>
      </c>
      <c r="T13" s="13">
        <v>17</v>
      </c>
      <c r="U13" s="13">
        <v>39</v>
      </c>
      <c r="V13" s="15">
        <v>70</v>
      </c>
      <c r="W13" s="15">
        <v>27</v>
      </c>
      <c r="X13" s="15">
        <v>31</v>
      </c>
      <c r="Y13" s="15">
        <v>68</v>
      </c>
      <c r="Z13" s="15">
        <v>37</v>
      </c>
    </row>
    <row r="14" spans="1:26" x14ac:dyDescent="0.35">
      <c r="A14">
        <v>11</v>
      </c>
      <c r="B14" t="s">
        <v>238</v>
      </c>
      <c r="C14" t="s">
        <v>248</v>
      </c>
      <c r="D14">
        <v>11</v>
      </c>
      <c r="E14" t="s">
        <v>259</v>
      </c>
      <c r="F14" t="s">
        <v>279</v>
      </c>
      <c r="G14">
        <v>14</v>
      </c>
      <c r="H14">
        <v>15</v>
      </c>
      <c r="I14">
        <v>22</v>
      </c>
      <c r="J14">
        <v>39</v>
      </c>
      <c r="K14">
        <v>20</v>
      </c>
      <c r="L14">
        <v>77</v>
      </c>
      <c r="M14">
        <v>71</v>
      </c>
      <c r="N14">
        <v>47</v>
      </c>
      <c r="O14">
        <v>49</v>
      </c>
      <c r="P14">
        <v>77</v>
      </c>
      <c r="Q14" s="13">
        <v>24</v>
      </c>
      <c r="R14" s="13">
        <v>23</v>
      </c>
      <c r="S14" s="13">
        <v>34</v>
      </c>
      <c r="T14" s="13">
        <v>15</v>
      </c>
      <c r="U14" s="13">
        <v>24</v>
      </c>
      <c r="V14" s="15">
        <v>46</v>
      </c>
      <c r="W14" s="15">
        <v>29</v>
      </c>
      <c r="X14" s="15">
        <v>49</v>
      </c>
      <c r="Y14" s="15">
        <v>54</v>
      </c>
      <c r="Z14" s="15">
        <v>74</v>
      </c>
    </row>
    <row r="15" spans="1:26" x14ac:dyDescent="0.35">
      <c r="A15">
        <v>12</v>
      </c>
      <c r="B15" t="s">
        <v>239</v>
      </c>
      <c r="C15" t="s">
        <v>248</v>
      </c>
      <c r="D15">
        <v>12</v>
      </c>
      <c r="E15" t="s">
        <v>260</v>
      </c>
      <c r="F15" t="s">
        <v>280</v>
      </c>
      <c r="G15">
        <v>37</v>
      </c>
      <c r="H15">
        <v>16</v>
      </c>
      <c r="I15">
        <v>21</v>
      </c>
      <c r="J15">
        <v>15</v>
      </c>
      <c r="K15">
        <v>32</v>
      </c>
      <c r="L15">
        <v>34</v>
      </c>
      <c r="M15">
        <v>33</v>
      </c>
      <c r="N15">
        <v>32</v>
      </c>
      <c r="O15">
        <v>75</v>
      </c>
      <c r="P15">
        <v>62</v>
      </c>
      <c r="Q15" s="13">
        <v>20</v>
      </c>
      <c r="R15" s="13">
        <v>38</v>
      </c>
      <c r="S15" s="13">
        <v>37</v>
      </c>
      <c r="T15" s="13">
        <v>36</v>
      </c>
      <c r="U15" s="13">
        <v>31</v>
      </c>
      <c r="V15" s="15">
        <v>67</v>
      </c>
      <c r="W15" s="15">
        <v>79</v>
      </c>
      <c r="X15" s="15">
        <v>30</v>
      </c>
      <c r="Y15" s="15">
        <v>48</v>
      </c>
      <c r="Z15" s="15">
        <v>30</v>
      </c>
    </row>
    <row r="16" spans="1:26" x14ac:dyDescent="0.35">
      <c r="A16">
        <v>13</v>
      </c>
      <c r="B16" t="s">
        <v>240</v>
      </c>
      <c r="C16" t="s">
        <v>248</v>
      </c>
      <c r="D16">
        <v>13</v>
      </c>
      <c r="E16" t="s">
        <v>261</v>
      </c>
      <c r="F16" t="s">
        <v>281</v>
      </c>
      <c r="G16">
        <v>17</v>
      </c>
      <c r="H16">
        <v>26</v>
      </c>
      <c r="I16">
        <v>18</v>
      </c>
      <c r="J16">
        <v>17</v>
      </c>
      <c r="K16">
        <v>28</v>
      </c>
      <c r="L16">
        <v>32</v>
      </c>
      <c r="M16">
        <v>61</v>
      </c>
      <c r="N16">
        <v>80</v>
      </c>
      <c r="O16">
        <v>78</v>
      </c>
      <c r="P16">
        <v>59</v>
      </c>
      <c r="Q16" s="13">
        <v>39</v>
      </c>
      <c r="R16" s="13">
        <v>30</v>
      </c>
      <c r="S16" s="13">
        <v>14</v>
      </c>
      <c r="T16" s="13">
        <v>18</v>
      </c>
      <c r="U16" s="13">
        <v>36</v>
      </c>
      <c r="V16" s="15">
        <v>46</v>
      </c>
      <c r="W16" s="15">
        <v>57</v>
      </c>
      <c r="X16" s="15">
        <v>73</v>
      </c>
      <c r="Y16" s="15">
        <v>29</v>
      </c>
      <c r="Z16" s="15">
        <v>42</v>
      </c>
    </row>
    <row r="17" spans="1:26" x14ac:dyDescent="0.35">
      <c r="A17">
        <v>14</v>
      </c>
      <c r="B17" t="s">
        <v>241</v>
      </c>
      <c r="C17" t="s">
        <v>248</v>
      </c>
      <c r="D17">
        <v>14</v>
      </c>
      <c r="E17" t="s">
        <v>262</v>
      </c>
      <c r="F17" t="s">
        <v>282</v>
      </c>
      <c r="G17">
        <v>30</v>
      </c>
      <c r="H17">
        <v>23</v>
      </c>
      <c r="I17">
        <v>24</v>
      </c>
      <c r="J17">
        <v>31</v>
      </c>
      <c r="K17">
        <v>25</v>
      </c>
      <c r="L17">
        <v>66</v>
      </c>
      <c r="M17">
        <v>56</v>
      </c>
      <c r="N17">
        <v>68</v>
      </c>
      <c r="O17">
        <v>72</v>
      </c>
      <c r="P17">
        <v>79</v>
      </c>
      <c r="Q17" s="13">
        <v>23</v>
      </c>
      <c r="R17" s="13">
        <v>27</v>
      </c>
      <c r="S17" s="13">
        <v>32</v>
      </c>
      <c r="T17" s="13">
        <v>31</v>
      </c>
      <c r="U17" s="13">
        <v>32</v>
      </c>
      <c r="V17" s="15">
        <v>36</v>
      </c>
      <c r="W17" s="15">
        <v>74</v>
      </c>
      <c r="X17" s="15">
        <v>51</v>
      </c>
      <c r="Y17" s="15">
        <v>41</v>
      </c>
      <c r="Z17" s="15">
        <v>37</v>
      </c>
    </row>
    <row r="18" spans="1:26" x14ac:dyDescent="0.35">
      <c r="A18">
        <v>15</v>
      </c>
      <c r="B18" t="s">
        <v>242</v>
      </c>
      <c r="C18" t="s">
        <v>248</v>
      </c>
      <c r="D18">
        <v>15</v>
      </c>
      <c r="E18" t="s">
        <v>263</v>
      </c>
      <c r="F18" t="s">
        <v>283</v>
      </c>
      <c r="G18">
        <v>25</v>
      </c>
      <c r="H18">
        <v>38</v>
      </c>
      <c r="I18">
        <v>25</v>
      </c>
      <c r="J18">
        <v>36</v>
      </c>
      <c r="K18">
        <v>26</v>
      </c>
      <c r="L18">
        <v>50</v>
      </c>
      <c r="M18">
        <v>68</v>
      </c>
      <c r="N18">
        <v>73</v>
      </c>
      <c r="O18">
        <v>48</v>
      </c>
      <c r="P18">
        <v>59</v>
      </c>
      <c r="Q18" s="13">
        <v>27</v>
      </c>
      <c r="R18" s="13">
        <v>39</v>
      </c>
      <c r="S18" s="13">
        <v>26</v>
      </c>
      <c r="T18" s="13">
        <v>14</v>
      </c>
      <c r="U18" s="13">
        <v>27</v>
      </c>
      <c r="V18" s="15">
        <v>28</v>
      </c>
      <c r="W18" s="15">
        <v>62</v>
      </c>
      <c r="X18" s="15">
        <v>45</v>
      </c>
      <c r="Y18" s="15">
        <v>31</v>
      </c>
      <c r="Z18" s="15">
        <v>43</v>
      </c>
    </row>
    <row r="19" spans="1:26" x14ac:dyDescent="0.35">
      <c r="A19">
        <v>16</v>
      </c>
      <c r="B19" t="s">
        <v>243</v>
      </c>
      <c r="C19" t="s">
        <v>248</v>
      </c>
      <c r="D19">
        <v>16</v>
      </c>
      <c r="E19" t="s">
        <v>264</v>
      </c>
      <c r="F19" t="s">
        <v>284</v>
      </c>
      <c r="G19">
        <v>21</v>
      </c>
      <c r="H19">
        <v>37</v>
      </c>
      <c r="I19">
        <v>18</v>
      </c>
      <c r="J19">
        <v>22</v>
      </c>
      <c r="K19">
        <v>22</v>
      </c>
      <c r="L19">
        <v>65</v>
      </c>
      <c r="M19">
        <v>72</v>
      </c>
      <c r="N19">
        <v>38</v>
      </c>
      <c r="O19">
        <v>54</v>
      </c>
      <c r="P19">
        <v>32</v>
      </c>
      <c r="Q19" s="13">
        <v>31</v>
      </c>
      <c r="R19" s="13">
        <v>17</v>
      </c>
      <c r="S19" s="13">
        <v>40</v>
      </c>
      <c r="T19" s="13">
        <v>19</v>
      </c>
      <c r="U19" s="13">
        <v>17</v>
      </c>
      <c r="V19" s="15">
        <v>36</v>
      </c>
      <c r="W19" s="15">
        <v>72</v>
      </c>
      <c r="X19" s="15">
        <v>41</v>
      </c>
      <c r="Y19" s="15">
        <v>47</v>
      </c>
      <c r="Z19" s="15">
        <v>60</v>
      </c>
    </row>
    <row r="20" spans="1:26" x14ac:dyDescent="0.35">
      <c r="A20">
        <v>17</v>
      </c>
      <c r="B20" t="s">
        <v>244</v>
      </c>
      <c r="C20" t="s">
        <v>248</v>
      </c>
      <c r="D20">
        <v>17</v>
      </c>
      <c r="E20" t="s">
        <v>265</v>
      </c>
      <c r="F20" t="s">
        <v>285</v>
      </c>
      <c r="G20">
        <v>21</v>
      </c>
      <c r="H20">
        <v>26</v>
      </c>
      <c r="I20">
        <v>19</v>
      </c>
      <c r="J20">
        <v>40</v>
      </c>
      <c r="K20">
        <v>25</v>
      </c>
      <c r="L20">
        <v>73</v>
      </c>
      <c r="M20">
        <v>35</v>
      </c>
      <c r="N20">
        <v>55</v>
      </c>
      <c r="O20">
        <v>50</v>
      </c>
      <c r="P20">
        <v>65</v>
      </c>
      <c r="Q20" s="13">
        <v>22</v>
      </c>
      <c r="R20" s="13">
        <v>28</v>
      </c>
      <c r="S20" s="13">
        <v>32</v>
      </c>
      <c r="T20" s="13">
        <v>25</v>
      </c>
      <c r="U20" s="13">
        <v>19</v>
      </c>
      <c r="V20" s="15">
        <v>64</v>
      </c>
      <c r="W20" s="15">
        <v>51</v>
      </c>
      <c r="X20" s="15">
        <v>43</v>
      </c>
      <c r="Y20" s="15">
        <v>71</v>
      </c>
      <c r="Z20" s="15">
        <v>67</v>
      </c>
    </row>
    <row r="21" spans="1:26" x14ac:dyDescent="0.35">
      <c r="A21">
        <v>18</v>
      </c>
      <c r="B21" t="s">
        <v>245</v>
      </c>
      <c r="C21" t="s">
        <v>248</v>
      </c>
      <c r="D21">
        <v>18</v>
      </c>
      <c r="E21" t="s">
        <v>266</v>
      </c>
      <c r="F21" t="s">
        <v>286</v>
      </c>
      <c r="G21">
        <v>39</v>
      </c>
      <c r="H21">
        <v>19</v>
      </c>
      <c r="I21">
        <v>27</v>
      </c>
      <c r="J21">
        <v>23</v>
      </c>
      <c r="K21">
        <v>38</v>
      </c>
      <c r="L21">
        <v>44</v>
      </c>
      <c r="M21">
        <v>59</v>
      </c>
      <c r="N21">
        <v>49</v>
      </c>
      <c r="O21">
        <v>55</v>
      </c>
      <c r="P21">
        <v>71</v>
      </c>
      <c r="Q21" s="13">
        <v>18</v>
      </c>
      <c r="R21" s="13">
        <v>18</v>
      </c>
      <c r="S21" s="13">
        <v>22</v>
      </c>
      <c r="T21" s="13">
        <v>25</v>
      </c>
      <c r="U21" s="13">
        <v>33</v>
      </c>
      <c r="V21" s="15">
        <v>54</v>
      </c>
      <c r="W21" s="15">
        <v>68</v>
      </c>
      <c r="X21" s="15">
        <v>52</v>
      </c>
      <c r="Y21" s="15">
        <v>54</v>
      </c>
      <c r="Z21" s="15">
        <v>28</v>
      </c>
    </row>
    <row r="22" spans="1:26" x14ac:dyDescent="0.35">
      <c r="A22">
        <v>19</v>
      </c>
      <c r="B22" t="s">
        <v>246</v>
      </c>
      <c r="C22" t="s">
        <v>248</v>
      </c>
      <c r="D22">
        <v>19</v>
      </c>
      <c r="E22" t="s">
        <v>267</v>
      </c>
      <c r="F22" t="s">
        <v>287</v>
      </c>
      <c r="G22">
        <v>20</v>
      </c>
      <c r="H22">
        <v>17</v>
      </c>
      <c r="I22">
        <v>36</v>
      </c>
      <c r="J22">
        <v>40</v>
      </c>
      <c r="K22">
        <v>15</v>
      </c>
      <c r="L22">
        <v>61</v>
      </c>
      <c r="M22">
        <v>59</v>
      </c>
      <c r="N22">
        <v>76</v>
      </c>
      <c r="O22">
        <v>64</v>
      </c>
      <c r="P22">
        <v>65</v>
      </c>
      <c r="Q22" s="13">
        <v>30</v>
      </c>
      <c r="R22" s="13">
        <v>16</v>
      </c>
      <c r="S22" s="13">
        <v>16</v>
      </c>
      <c r="T22" s="13">
        <v>14</v>
      </c>
      <c r="U22" s="13">
        <v>21</v>
      </c>
      <c r="V22" s="15">
        <v>63</v>
      </c>
      <c r="W22" s="15">
        <v>53</v>
      </c>
      <c r="X22" s="15">
        <v>67</v>
      </c>
      <c r="Y22" s="15">
        <v>63</v>
      </c>
      <c r="Z22" s="15">
        <v>50</v>
      </c>
    </row>
    <row r="23" spans="1:26" x14ac:dyDescent="0.35">
      <c r="A23">
        <v>20</v>
      </c>
      <c r="B23" t="s">
        <v>247</v>
      </c>
      <c r="C23" t="s">
        <v>248</v>
      </c>
      <c r="D23">
        <v>20</v>
      </c>
      <c r="E23" t="s">
        <v>268</v>
      </c>
      <c r="F23" t="s">
        <v>288</v>
      </c>
      <c r="G23">
        <v>23</v>
      </c>
      <c r="H23">
        <v>24</v>
      </c>
      <c r="I23">
        <v>26</v>
      </c>
      <c r="J23">
        <v>33</v>
      </c>
      <c r="K23">
        <v>28</v>
      </c>
      <c r="L23">
        <v>57</v>
      </c>
      <c r="M23">
        <v>75</v>
      </c>
      <c r="N23">
        <v>27</v>
      </c>
      <c r="O23">
        <v>40</v>
      </c>
      <c r="P23">
        <v>40</v>
      </c>
      <c r="Q23" s="13">
        <v>39</v>
      </c>
      <c r="R23" s="13">
        <v>34</v>
      </c>
      <c r="S23" s="13">
        <v>32</v>
      </c>
      <c r="T23" s="13">
        <v>27</v>
      </c>
      <c r="U23" s="13">
        <v>35</v>
      </c>
      <c r="V23" s="15">
        <v>69</v>
      </c>
      <c r="W23" s="15">
        <v>48</v>
      </c>
      <c r="X23" s="15">
        <v>34</v>
      </c>
      <c r="Y23" s="15">
        <v>74</v>
      </c>
      <c r="Z23" s="15">
        <v>32</v>
      </c>
    </row>
    <row r="27" spans="1:26" ht="15" thickBot="1" x14ac:dyDescent="0.4"/>
    <row r="28" spans="1:26" x14ac:dyDescent="0.35">
      <c r="E28" s="16" t="s">
        <v>221</v>
      </c>
      <c r="F28" s="17" t="s">
        <v>233</v>
      </c>
      <c r="G28" s="17" t="s">
        <v>174</v>
      </c>
      <c r="H28" s="17" t="str">
        <f>VLOOKUP(F28,B4:Z23,2,0)</f>
        <v>11th</v>
      </c>
      <c r="I28" s="17" t="s">
        <v>225</v>
      </c>
      <c r="J28" s="18">
        <f t="shared" ref="J28" si="0">VLOOKUP(F28,B4:Z23,3,0)</f>
        <v>6</v>
      </c>
    </row>
    <row r="29" spans="1:26" x14ac:dyDescent="0.35">
      <c r="E29" s="19" t="s">
        <v>307</v>
      </c>
      <c r="F29" t="str">
        <f>VLOOKUP(F28,B4:Z23,5,0)</f>
        <v>Anita Joshi</v>
      </c>
      <c r="J29" s="20"/>
      <c r="O29" t="s">
        <v>126</v>
      </c>
    </row>
    <row r="30" spans="1:26" x14ac:dyDescent="0.35">
      <c r="E30" s="19" t="s">
        <v>308</v>
      </c>
      <c r="F30" t="str">
        <f>VLOOKUP(F28,B4:Z23,4,0)</f>
        <v>Rakesh Joshi</v>
      </c>
      <c r="J30" s="20"/>
    </row>
    <row r="31" spans="1:26" x14ac:dyDescent="0.35">
      <c r="E31" s="19"/>
      <c r="J31" s="20"/>
    </row>
    <row r="32" spans="1:26" x14ac:dyDescent="0.35">
      <c r="E32" s="21" t="s">
        <v>310</v>
      </c>
      <c r="F32" s="3" t="s">
        <v>309</v>
      </c>
      <c r="G32" s="3" t="s">
        <v>311</v>
      </c>
      <c r="H32" s="3" t="s">
        <v>312</v>
      </c>
      <c r="I32" s="3" t="s">
        <v>313</v>
      </c>
      <c r="J32" s="22" t="s">
        <v>314</v>
      </c>
    </row>
    <row r="33" spans="5:10" x14ac:dyDescent="0.35">
      <c r="E33" s="21" t="s">
        <v>170</v>
      </c>
      <c r="F33">
        <f>VLOOKUP(F28,B4:Z23,6,0)</f>
        <v>37</v>
      </c>
      <c r="G33">
        <f>VLOOKUP(F28,B4:Z23,11,0)</f>
        <v>37</v>
      </c>
      <c r="H33">
        <f>VLOOKUP(F28,B4:Z23,16,0)</f>
        <v>20</v>
      </c>
      <c r="I33">
        <f>VLOOKUP(F28,B4:Z23,21,0)</f>
        <v>35</v>
      </c>
      <c r="J33" s="20">
        <f>SUM(Table11[[#This Row],[UNIT I]],Table11[[#This Row],[MID TEST]],Table11[[#This Row],[UNIT 2]],Table11[[#This Row],[FINAL TEST ]])</f>
        <v>129</v>
      </c>
    </row>
    <row r="34" spans="5:10" x14ac:dyDescent="0.35">
      <c r="E34" s="23" t="s">
        <v>171</v>
      </c>
      <c r="F34">
        <f>VLOOKUP(F28,B4:Z23,7,0)</f>
        <v>15</v>
      </c>
      <c r="G34">
        <f>VLOOKUP(F28,B4:Z23,12,0)</f>
        <v>30</v>
      </c>
      <c r="H34">
        <f>VLOOKUP(F28,B4:Z23,17,0)</f>
        <v>15</v>
      </c>
      <c r="I34">
        <f>VLOOKUP(F28,B4:Z23,22,0)</f>
        <v>28</v>
      </c>
      <c r="J34" s="20">
        <f>SUM(Table11[[#This Row],[UNIT I]],Table11[[#This Row],[MID TEST]],Table11[[#This Row],[UNIT 2]],Table11[[#This Row],[FINAL TEST ]])</f>
        <v>88</v>
      </c>
    </row>
    <row r="35" spans="5:10" x14ac:dyDescent="0.35">
      <c r="E35" s="23" t="s">
        <v>290</v>
      </c>
      <c r="F35">
        <f>VLOOKUP(F28,B4:Z23,8,0)</f>
        <v>28</v>
      </c>
      <c r="G35">
        <f>VLOOKUP(F28,B4:Z23,13,0)</f>
        <v>67</v>
      </c>
      <c r="H35">
        <f>VLOOKUP(F28,B4:Z23,18,0)</f>
        <v>18</v>
      </c>
      <c r="I35">
        <f>VLOOKUP(F28,B4:Z23,23,0)</f>
        <v>38</v>
      </c>
      <c r="J35" s="20">
        <f>SUM(Table11[[#This Row],[UNIT I]],Table11[[#This Row],[MID TEST]],Table11[[#This Row],[UNIT 2]],Table11[[#This Row],[FINAL TEST ]])</f>
        <v>151</v>
      </c>
    </row>
    <row r="36" spans="5:10" x14ac:dyDescent="0.35">
      <c r="E36" s="23" t="s">
        <v>290</v>
      </c>
      <c r="F36">
        <f>VLOOKUP(F28,B4:Z23,9,0)</f>
        <v>33</v>
      </c>
      <c r="G36">
        <f>VLOOKUP(F28,B4:Z23,14,0)</f>
        <v>56</v>
      </c>
      <c r="H36">
        <f>VLOOKUP(F28,B4:Z23,19,0)</f>
        <v>18</v>
      </c>
      <c r="I36">
        <f>VLOOKUP(F28,B4:Z23,24,0)</f>
        <v>62</v>
      </c>
      <c r="J36" s="20">
        <f>SUM(Table11[[#This Row],[UNIT I]],Table11[[#This Row],[MID TEST]],Table11[[#This Row],[UNIT 2]],Table11[[#This Row],[FINAL TEST ]])</f>
        <v>169</v>
      </c>
    </row>
    <row r="37" spans="5:10" x14ac:dyDescent="0.35">
      <c r="E37" s="23" t="s">
        <v>292</v>
      </c>
      <c r="F37">
        <f>VLOOKUP(F28,B4:Z23,10,0)</f>
        <v>36</v>
      </c>
      <c r="G37">
        <f>VLOOKUP(F28,B4:Z23,15,0)</f>
        <v>74</v>
      </c>
      <c r="H37">
        <f>VLOOKUP(F28,B4:Z23,20,0)</f>
        <v>19</v>
      </c>
      <c r="I37">
        <f>VLOOKUP(F28,B4:Z23,25,0)</f>
        <v>66</v>
      </c>
      <c r="J37" s="20">
        <f>SUM(Table11[[#This Row],[UNIT I]],Table11[[#This Row],[MID TEST]],Table11[[#This Row],[UNIT 2]],Table11[[#This Row],[FINAL TEST ]])</f>
        <v>195</v>
      </c>
    </row>
    <row r="38" spans="5:10" x14ac:dyDescent="0.35">
      <c r="E38" s="19"/>
      <c r="J38" s="20"/>
    </row>
    <row r="39" spans="5:10" x14ac:dyDescent="0.35">
      <c r="E39" s="19"/>
      <c r="J39" s="20"/>
    </row>
    <row r="40" spans="5:10" x14ac:dyDescent="0.35">
      <c r="E40" s="19"/>
      <c r="F40" t="s">
        <v>314</v>
      </c>
      <c r="G40">
        <f t="shared" ref="G40" si="1">SUM(J32,J33,J34,J35,J36,)</f>
        <v>537</v>
      </c>
      <c r="H40" t="s">
        <v>315</v>
      </c>
      <c r="I40" t="str">
        <f>_xlfn.IFS(Table16[[#This Row],[Column3]]&gt;800,"a",Table16[[#This Row],[Column3]]&gt;600,"b",Table16[[#This Row],[Column3]]&gt;500,"c",Table16[[#This Row],[Column3]]&lt;300,"fail")</f>
        <v>c</v>
      </c>
      <c r="J40" s="20"/>
    </row>
    <row r="41" spans="5:10" ht="15" thickBot="1" x14ac:dyDescent="0.4">
      <c r="E41" s="24"/>
      <c r="F41" s="25" t="s">
        <v>317</v>
      </c>
      <c r="G41" s="25">
        <f>G40/10</f>
        <v>53.7</v>
      </c>
      <c r="H41" s="25" t="s">
        <v>316</v>
      </c>
      <c r="I41" s="25" t="str">
        <f>_xlfn.IFS(I40="a","first division",I40="b","second divisioon",I40="c","third division",I40="fail","fail")</f>
        <v>third division</v>
      </c>
      <c r="J41" s="26"/>
    </row>
  </sheetData>
  <mergeCells count="6">
    <mergeCell ref="V2:Z2"/>
    <mergeCell ref="A1:Z1"/>
    <mergeCell ref="A2:F2"/>
    <mergeCell ref="G2:K2"/>
    <mergeCell ref="L2:P2"/>
    <mergeCell ref="Q2:U2"/>
  </mergeCells>
  <phoneticPr fontId="1" type="noConversion"/>
  <dataValidations count="1">
    <dataValidation type="list" allowBlank="1" showInputMessage="1" showErrorMessage="1" sqref="F28" xr:uid="{603C83FB-694F-49A3-84F3-BFD41820FCE5}">
      <formula1>$B$4:$B$23</formula1>
    </dataValidation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EE54-1C96-4C5F-B5D7-F4DB4341340F}">
  <dimension ref="C3:L28"/>
  <sheetViews>
    <sheetView tabSelected="1" topLeftCell="A14" zoomScaleNormal="100" workbookViewId="0">
      <selection activeCell="N25" sqref="N25"/>
    </sheetView>
  </sheetViews>
  <sheetFormatPr defaultRowHeight="14.5" x14ac:dyDescent="0.35"/>
  <cols>
    <col min="3" max="3" width="15.453125" bestFit="1" customWidth="1"/>
    <col min="4" max="4" width="20" bestFit="1" customWidth="1"/>
    <col min="5" max="5" width="11.81640625" bestFit="1" customWidth="1"/>
    <col min="6" max="6" width="11.7265625" customWidth="1"/>
    <col min="9" max="9" width="14.7265625" bestFit="1" customWidth="1"/>
    <col min="11" max="11" width="10.81640625" bestFit="1" customWidth="1"/>
    <col min="12" max="12" width="9.453125" bestFit="1" customWidth="1"/>
  </cols>
  <sheetData>
    <row r="3" spans="3:12" ht="15" thickBot="1" x14ac:dyDescent="0.4"/>
    <row r="4" spans="3:12" x14ac:dyDescent="0.35">
      <c r="C4" s="16"/>
      <c r="D4" s="17"/>
      <c r="E4" s="17"/>
      <c r="F4" s="17"/>
      <c r="G4" s="17"/>
      <c r="H4" s="17"/>
      <c r="I4" s="17"/>
      <c r="J4" s="17"/>
      <c r="K4" s="17"/>
      <c r="L4" s="18"/>
    </row>
    <row r="5" spans="3:12" x14ac:dyDescent="0.35">
      <c r="C5" s="35" t="s">
        <v>318</v>
      </c>
      <c r="D5" s="36"/>
      <c r="E5" s="36"/>
      <c r="F5" s="36">
        <v>92728638222</v>
      </c>
      <c r="G5" s="36"/>
      <c r="H5" s="36"/>
      <c r="I5" s="36"/>
      <c r="J5" s="36"/>
      <c r="K5" s="36"/>
      <c r="L5" s="37"/>
    </row>
    <row r="6" spans="3:12" x14ac:dyDescent="0.35">
      <c r="C6" s="35" t="s">
        <v>319</v>
      </c>
      <c r="D6" s="36"/>
      <c r="E6" s="36"/>
      <c r="F6" s="36">
        <v>38721896323</v>
      </c>
      <c r="G6" s="36"/>
      <c r="H6" s="36"/>
      <c r="I6" s="36"/>
      <c r="J6" s="36"/>
      <c r="K6" s="36"/>
      <c r="L6" s="37"/>
    </row>
    <row r="7" spans="3:12" x14ac:dyDescent="0.35">
      <c r="C7" s="35" t="s">
        <v>320</v>
      </c>
      <c r="D7" s="36"/>
      <c r="E7" s="36" t="s">
        <v>321</v>
      </c>
      <c r="F7" s="36"/>
      <c r="G7" s="36"/>
      <c r="H7" s="36"/>
      <c r="I7" s="36"/>
      <c r="J7" s="36"/>
      <c r="K7" s="36"/>
      <c r="L7" s="37"/>
    </row>
    <row r="8" spans="3:12" x14ac:dyDescent="0.35">
      <c r="C8" s="35" t="s">
        <v>322</v>
      </c>
      <c r="D8" s="36"/>
      <c r="E8" s="36" t="s">
        <v>323</v>
      </c>
      <c r="F8" s="36"/>
      <c r="G8" s="36"/>
      <c r="H8" s="36"/>
      <c r="I8" s="36" t="s">
        <v>333</v>
      </c>
      <c r="J8" s="36"/>
      <c r="K8" s="36"/>
      <c r="L8" s="38">
        <v>44534</v>
      </c>
    </row>
    <row r="9" spans="3:12" x14ac:dyDescent="0.35">
      <c r="C9" s="35" t="s">
        <v>324</v>
      </c>
      <c r="D9" s="36"/>
      <c r="E9" s="36" t="s">
        <v>325</v>
      </c>
      <c r="F9" s="36"/>
      <c r="G9" s="36"/>
      <c r="H9" s="36"/>
      <c r="I9" s="36" t="s">
        <v>334</v>
      </c>
      <c r="J9" s="36"/>
      <c r="K9" s="36"/>
      <c r="L9" s="37">
        <v>262523</v>
      </c>
    </row>
    <row r="10" spans="3:12" x14ac:dyDescent="0.35">
      <c r="C10" s="35" t="s">
        <v>326</v>
      </c>
      <c r="D10" s="36"/>
      <c r="E10" s="36"/>
      <c r="F10" s="36">
        <v>8787574749</v>
      </c>
      <c r="G10" s="36"/>
      <c r="H10" s="36"/>
      <c r="I10" s="36" t="s">
        <v>337</v>
      </c>
      <c r="J10" s="36"/>
      <c r="K10" s="36"/>
      <c r="L10" s="37"/>
    </row>
    <row r="11" spans="3:12" x14ac:dyDescent="0.35">
      <c r="C11" s="35" t="s">
        <v>327</v>
      </c>
      <c r="D11" s="36"/>
      <c r="E11" s="36"/>
      <c r="F11" s="36" t="s">
        <v>328</v>
      </c>
      <c r="G11" s="36"/>
      <c r="H11" s="36"/>
      <c r="I11" s="36" t="s">
        <v>335</v>
      </c>
      <c r="J11" s="36"/>
      <c r="K11" s="36" t="s">
        <v>332</v>
      </c>
      <c r="L11" s="37"/>
    </row>
    <row r="12" spans="3:12" x14ac:dyDescent="0.35">
      <c r="C12" s="35" t="s">
        <v>329</v>
      </c>
      <c r="D12" s="36"/>
      <c r="E12" s="36"/>
      <c r="F12" s="36"/>
      <c r="G12" s="36"/>
      <c r="H12" s="36"/>
      <c r="I12" s="36" t="s">
        <v>336</v>
      </c>
      <c r="J12" s="36"/>
      <c r="K12" s="36"/>
      <c r="L12" s="37"/>
    </row>
    <row r="13" spans="3:12" x14ac:dyDescent="0.35">
      <c r="C13" s="35" t="s">
        <v>330</v>
      </c>
      <c r="D13" s="36"/>
      <c r="E13" s="36"/>
      <c r="F13" s="36"/>
      <c r="G13" s="36"/>
      <c r="H13" s="36"/>
      <c r="I13" s="36"/>
      <c r="J13" s="36"/>
      <c r="K13" s="36"/>
      <c r="L13" s="37"/>
    </row>
    <row r="14" spans="3:12" ht="15" thickBot="1" x14ac:dyDescent="0.4">
      <c r="C14" s="39" t="s">
        <v>331</v>
      </c>
      <c r="D14" s="40"/>
      <c r="E14" s="40" t="s">
        <v>332</v>
      </c>
      <c r="F14" s="40"/>
      <c r="G14" s="40"/>
      <c r="H14" s="40"/>
      <c r="I14" s="40"/>
      <c r="J14" s="40"/>
      <c r="K14" s="40"/>
      <c r="L14" s="41"/>
    </row>
    <row r="17" spans="3:12" ht="15" thickBot="1" x14ac:dyDescent="0.4"/>
    <row r="18" spans="3:12" x14ac:dyDescent="0.35">
      <c r="C18" s="42" t="s">
        <v>338</v>
      </c>
      <c r="D18" s="43" t="s">
        <v>339</v>
      </c>
      <c r="E18" s="43"/>
      <c r="F18" s="43" t="s">
        <v>340</v>
      </c>
      <c r="G18" s="43"/>
      <c r="H18" s="43" t="s">
        <v>341</v>
      </c>
      <c r="I18" s="43"/>
      <c r="J18" s="43" t="s">
        <v>342</v>
      </c>
      <c r="K18" s="43"/>
      <c r="L18" s="44" t="s">
        <v>343</v>
      </c>
    </row>
    <row r="19" spans="3:12" x14ac:dyDescent="0.35">
      <c r="C19" s="35" t="s">
        <v>344</v>
      </c>
      <c r="D19" s="36" t="s">
        <v>348</v>
      </c>
      <c r="E19" s="36"/>
      <c r="F19" s="36"/>
      <c r="G19" s="36"/>
      <c r="H19" s="36"/>
      <c r="I19" s="36"/>
      <c r="J19" s="36">
        <v>10000</v>
      </c>
      <c r="K19" s="36"/>
      <c r="L19" s="37">
        <f>J19</f>
        <v>10000</v>
      </c>
    </row>
    <row r="20" spans="3:12" x14ac:dyDescent="0.35">
      <c r="C20" s="35" t="s">
        <v>345</v>
      </c>
      <c r="D20" s="36" t="s">
        <v>349</v>
      </c>
      <c r="E20" s="36"/>
      <c r="F20" s="36"/>
      <c r="G20" s="36"/>
      <c r="H20" s="36"/>
      <c r="I20" s="36"/>
      <c r="J20" s="36">
        <v>2000</v>
      </c>
      <c r="K20" s="36"/>
      <c r="L20" s="37">
        <f>L19+J20-H20</f>
        <v>12000</v>
      </c>
    </row>
    <row r="21" spans="3:12" x14ac:dyDescent="0.35">
      <c r="C21" s="35" t="s">
        <v>346</v>
      </c>
      <c r="D21" s="36" t="s">
        <v>350</v>
      </c>
      <c r="E21" s="36"/>
      <c r="F21" s="36"/>
      <c r="G21" s="36"/>
      <c r="H21" s="36">
        <v>390</v>
      </c>
      <c r="I21" s="36"/>
      <c r="J21" s="36"/>
      <c r="K21" s="36"/>
      <c r="L21" s="37">
        <f t="shared" ref="L21:L26" si="0">L20+J21-H21</f>
        <v>11610</v>
      </c>
    </row>
    <row r="22" spans="3:12" x14ac:dyDescent="0.35">
      <c r="C22" s="45">
        <v>44355</v>
      </c>
      <c r="D22" s="36" t="s">
        <v>351</v>
      </c>
      <c r="E22" s="36"/>
      <c r="F22" s="36"/>
      <c r="G22" s="36"/>
      <c r="H22" s="36">
        <v>765</v>
      </c>
      <c r="I22" s="36"/>
      <c r="J22" s="36"/>
      <c r="K22" s="36"/>
      <c r="L22" s="37">
        <f t="shared" si="0"/>
        <v>10845</v>
      </c>
    </row>
    <row r="23" spans="3:12" x14ac:dyDescent="0.35">
      <c r="C23" s="45">
        <v>44542</v>
      </c>
      <c r="D23" s="36" t="s">
        <v>352</v>
      </c>
      <c r="E23" s="36"/>
      <c r="F23" s="36"/>
      <c r="G23" s="36"/>
      <c r="H23" s="36"/>
      <c r="I23" s="36"/>
      <c r="J23" s="36">
        <v>890</v>
      </c>
      <c r="K23" s="36"/>
      <c r="L23" s="37">
        <f t="shared" si="0"/>
        <v>11735</v>
      </c>
    </row>
    <row r="24" spans="3:12" x14ac:dyDescent="0.35">
      <c r="C24" s="45">
        <v>44717</v>
      </c>
      <c r="D24" s="36"/>
      <c r="E24" s="36"/>
      <c r="F24" s="36">
        <v>12345</v>
      </c>
      <c r="G24" s="36"/>
      <c r="H24" s="36">
        <v>8000</v>
      </c>
      <c r="I24" s="36"/>
      <c r="J24" s="36"/>
      <c r="K24" s="36"/>
      <c r="L24" s="37">
        <f t="shared" si="0"/>
        <v>3735</v>
      </c>
    </row>
    <row r="25" spans="3:12" x14ac:dyDescent="0.35">
      <c r="C25" s="45">
        <v>44812</v>
      </c>
      <c r="D25" s="36"/>
      <c r="E25" s="36"/>
      <c r="F25" s="36"/>
      <c r="G25" s="36"/>
      <c r="H25" s="36"/>
      <c r="I25" s="36"/>
      <c r="J25" s="36">
        <v>4000</v>
      </c>
      <c r="K25" s="36"/>
      <c r="L25" s="37">
        <f t="shared" si="0"/>
        <v>7735</v>
      </c>
    </row>
    <row r="26" spans="3:12" x14ac:dyDescent="0.35">
      <c r="C26" s="35" t="s">
        <v>347</v>
      </c>
      <c r="D26" s="36"/>
      <c r="E26" s="36"/>
      <c r="F26" s="36"/>
      <c r="G26" s="36"/>
      <c r="H26" s="36">
        <v>2000</v>
      </c>
      <c r="I26" s="36"/>
      <c r="J26" s="36"/>
      <c r="K26" s="36"/>
      <c r="L26" s="37">
        <f t="shared" si="0"/>
        <v>5735</v>
      </c>
    </row>
    <row r="27" spans="3:12" x14ac:dyDescent="0.35">
      <c r="C27" s="35"/>
      <c r="D27" s="36"/>
      <c r="E27" s="36"/>
      <c r="F27" s="36"/>
      <c r="G27" s="36"/>
      <c r="H27" s="36"/>
      <c r="I27" s="36"/>
      <c r="J27" s="36"/>
      <c r="K27" s="36"/>
      <c r="L27" s="37"/>
    </row>
    <row r="28" spans="3:12" ht="15" thickBot="1" x14ac:dyDescent="0.4">
      <c r="C28" s="39"/>
      <c r="D28" s="40"/>
      <c r="E28" s="40"/>
      <c r="F28" s="40"/>
      <c r="G28" s="40"/>
      <c r="H28" s="40"/>
      <c r="I28" s="40"/>
      <c r="J28" s="40"/>
      <c r="K28" s="40"/>
      <c r="L28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rana</dc:creator>
  <cp:lastModifiedBy>BIJWASAN</cp:lastModifiedBy>
  <dcterms:created xsi:type="dcterms:W3CDTF">2025-06-10T06:01:23Z</dcterms:created>
  <dcterms:modified xsi:type="dcterms:W3CDTF">2025-07-02T05:35:56Z</dcterms:modified>
</cp:coreProperties>
</file>