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CF21EB6-D1D5-4ECE-BFFD-7102C120D4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CF" sheetId="1" r:id="rId1"/>
    <sheet name="Relative" sheetId="2" r:id="rId2"/>
    <sheet name="Sheet3" sheetId="3" r:id="rId3"/>
  </sheets>
  <externalReferences>
    <externalReference r:id="rId4"/>
  </externalReferences>
  <calcPr calcId="191029"/>
</workbook>
</file>

<file path=xl/calcChain.xml><?xml version="1.0" encoding="utf-8"?>
<calcChain xmlns="http://schemas.openxmlformats.org/spreadsheetml/2006/main">
  <c r="C19" i="2" l="1"/>
  <c r="Q19" i="2" s="1"/>
  <c r="C18" i="2"/>
  <c r="R18" i="2" s="1"/>
  <c r="C32" i="2" s="1"/>
  <c r="C15" i="2"/>
  <c r="C14" i="2"/>
  <c r="C13" i="2"/>
  <c r="D40" i="2"/>
  <c r="C40" i="2"/>
  <c r="K19" i="2"/>
  <c r="G19" i="2"/>
  <c r="K18" i="2"/>
  <c r="K20" i="2" s="1"/>
  <c r="G18" i="2"/>
  <c r="K15" i="2"/>
  <c r="G15" i="2"/>
  <c r="K14" i="2"/>
  <c r="G14" i="2"/>
  <c r="K13" i="2"/>
  <c r="K16" i="2" s="1"/>
  <c r="G13" i="2"/>
  <c r="G16" i="2" s="1"/>
  <c r="K12" i="2"/>
  <c r="K23" i="2" s="1"/>
  <c r="G6" i="2"/>
  <c r="G12" i="2" s="1"/>
  <c r="C6" i="2"/>
  <c r="R14" i="2"/>
  <c r="D29" i="2" s="1"/>
  <c r="C16" i="2" l="1"/>
  <c r="G25" i="2"/>
  <c r="G23" i="2"/>
  <c r="G20" i="2"/>
  <c r="C29" i="2"/>
  <c r="C25" i="2"/>
  <c r="C23" i="2"/>
  <c r="R23" i="2" s="1"/>
  <c r="C45" i="2" s="1"/>
  <c r="D45" i="2" s="1"/>
  <c r="E45" i="2" s="1"/>
  <c r="C24" i="2"/>
  <c r="C20" i="2"/>
  <c r="Q15" i="2"/>
  <c r="R15" i="2"/>
  <c r="Q14" i="2"/>
  <c r="R12" i="2"/>
  <c r="Q18" i="2"/>
  <c r="K24" i="2"/>
  <c r="Q12" i="2"/>
  <c r="G24" i="2"/>
  <c r="D32" i="2"/>
  <c r="R19" i="2"/>
  <c r="K22" i="2"/>
  <c r="G22" i="2"/>
  <c r="K25" i="2"/>
  <c r="C22" i="2"/>
  <c r="C33" i="2" l="1"/>
  <c r="D33" i="2"/>
  <c r="C36" i="2"/>
  <c r="D36" i="2"/>
  <c r="Q13" i="2"/>
  <c r="Q23" i="2"/>
  <c r="R13" i="2"/>
  <c r="R25" i="2"/>
  <c r="C47" i="2" s="1"/>
  <c r="D47" i="2" s="1"/>
  <c r="E47" i="2" s="1"/>
  <c r="Q22" i="2"/>
  <c r="R22" i="2"/>
  <c r="C44" i="2" s="1"/>
  <c r="E44" i="2" s="1"/>
  <c r="Q16" i="2"/>
  <c r="R16" i="2"/>
  <c r="R24" i="2"/>
  <c r="C46" i="2" s="1"/>
  <c r="D46" i="2" s="1"/>
  <c r="E46" i="2" s="1"/>
  <c r="Q24" i="2"/>
  <c r="R20" i="2"/>
  <c r="Q20" i="2"/>
  <c r="D30" i="2"/>
  <c r="C30" i="2"/>
  <c r="Q25" i="2"/>
  <c r="D38" i="2" l="1"/>
  <c r="C38" i="2"/>
  <c r="C35" i="2"/>
  <c r="D35" i="2"/>
  <c r="D37" i="2"/>
  <c r="C37" i="2"/>
  <c r="C34" i="2"/>
  <c r="D34" i="2"/>
  <c r="C31" i="2"/>
  <c r="D31" i="2"/>
  <c r="K32" i="2" l="1"/>
  <c r="J32" i="2"/>
  <c r="F28" i="1"/>
  <c r="B11" i="1"/>
  <c r="C11" i="1"/>
  <c r="D11" i="1" l="1"/>
</calcChain>
</file>

<file path=xl/sharedStrings.xml><?xml version="1.0" encoding="utf-8"?>
<sst xmlns="http://schemas.openxmlformats.org/spreadsheetml/2006/main" count="113" uniqueCount="84">
  <si>
    <t>2019 F</t>
  </si>
  <si>
    <t>2020 F</t>
  </si>
  <si>
    <t>2021 F</t>
  </si>
  <si>
    <t>EBIT</t>
  </si>
  <si>
    <t>Less: Tax on EBIT</t>
  </si>
  <si>
    <t>Debt free earning</t>
  </si>
  <si>
    <t>Add: Dep &amp; Ammo</t>
  </si>
  <si>
    <t>Less: Capex</t>
  </si>
  <si>
    <t>Add/Less: Change in WC</t>
  </si>
  <si>
    <t>FCFF</t>
  </si>
  <si>
    <t>Terminal value</t>
  </si>
  <si>
    <t>FCC*(1+g)/(WACC-g)</t>
  </si>
  <si>
    <t>FCFF after TV</t>
  </si>
  <si>
    <t>Cost of Debt</t>
  </si>
  <si>
    <t>Cost of Equity</t>
  </si>
  <si>
    <t>CAPM=</t>
  </si>
  <si>
    <t>Rf+B(Rm-Rf)</t>
  </si>
  <si>
    <t>Rf</t>
  </si>
  <si>
    <t>10 year govt bond</t>
  </si>
  <si>
    <t>B</t>
  </si>
  <si>
    <t>B=</t>
  </si>
  <si>
    <t>Covar(Rm,Re)/Var Rm</t>
  </si>
  <si>
    <t>Rm</t>
  </si>
  <si>
    <t>CAGR of market return of 8 years</t>
  </si>
  <si>
    <t>Debt</t>
  </si>
  <si>
    <t>Wd</t>
  </si>
  <si>
    <t>WACC</t>
  </si>
  <si>
    <t>Equity</t>
  </si>
  <si>
    <t>We</t>
  </si>
  <si>
    <t>EV</t>
  </si>
  <si>
    <t>CMP</t>
  </si>
  <si>
    <t>Cash</t>
  </si>
  <si>
    <t>Shares outstanding</t>
  </si>
  <si>
    <t>Eq</t>
  </si>
  <si>
    <t>G (India's long term GDP growth)</t>
  </si>
  <si>
    <t>Intrinsic value</t>
  </si>
  <si>
    <t>=Wd*Cost of Debt (1-Tax rate) + We* Cost of Equity</t>
  </si>
  <si>
    <t>Eq=EV-Debt+Cash</t>
  </si>
  <si>
    <t>Upside</t>
  </si>
  <si>
    <t>Current Market Price</t>
  </si>
  <si>
    <t>As on closing 2018</t>
  </si>
  <si>
    <t>ABC</t>
  </si>
  <si>
    <t>Competitor 1</t>
  </si>
  <si>
    <t>Competitor 2</t>
  </si>
  <si>
    <t>FY18</t>
  </si>
  <si>
    <t>FY19 F</t>
  </si>
  <si>
    <t>FY 20 F</t>
  </si>
  <si>
    <t>FY 21 F</t>
  </si>
  <si>
    <t>Sales</t>
  </si>
  <si>
    <t>EBITDA</t>
  </si>
  <si>
    <t>No of shares</t>
  </si>
  <si>
    <t>Mean</t>
  </si>
  <si>
    <t>Median</t>
  </si>
  <si>
    <t>Growth</t>
  </si>
  <si>
    <t>Trailing PE</t>
  </si>
  <si>
    <t>Trailing PS</t>
  </si>
  <si>
    <t>Trailing PEG</t>
  </si>
  <si>
    <t>Leading PE</t>
  </si>
  <si>
    <t>Leading PS</t>
  </si>
  <si>
    <t>Leading PEG</t>
  </si>
  <si>
    <t>Trailing EV/EBITDA</t>
  </si>
  <si>
    <t>Trailing EV/Sales</t>
  </si>
  <si>
    <t>Leading EV/EBITDA</t>
  </si>
  <si>
    <t xml:space="preserve">Leading EV/Sales </t>
  </si>
  <si>
    <t>min</t>
  </si>
  <si>
    <t>max</t>
  </si>
  <si>
    <t>Weights</t>
  </si>
  <si>
    <t>Final Valuation</t>
  </si>
  <si>
    <t>Min</t>
  </si>
  <si>
    <t>Max</t>
  </si>
  <si>
    <t>DCF</t>
  </si>
  <si>
    <t>PAT/No.of shares</t>
  </si>
  <si>
    <t>Short term borrowing+ Long term borrowing</t>
  </si>
  <si>
    <t>From BS</t>
  </si>
  <si>
    <t>From PnL</t>
  </si>
  <si>
    <t>=(CMP*No. of shares) + Debt - Cash</t>
  </si>
  <si>
    <t>=CAGR growth in sales over the forecast period</t>
  </si>
  <si>
    <t>=CMP/EPS</t>
  </si>
  <si>
    <t>EPS (Earning per share)</t>
  </si>
  <si>
    <t>CMP (Current Market Price)</t>
  </si>
  <si>
    <t>=CMP/(Sales/No.of shares)</t>
  </si>
  <si>
    <t>=PE/Growth</t>
  </si>
  <si>
    <t>Equity value</t>
  </si>
  <si>
    <t>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</si>
</sst>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-* #,##0.00_-;\-* #,##0.00_-;_-* &quot;-&quot;??_-;_-@_-"/>
    <numFmt numFmtId="166" formatCode="_-* #,##0_-;\-* #,##0_-;_-* &quot;-&quot;??_-;_-@_-"/>
    <numFmt numFmtId="167" formatCode="&quot;£&quot;#,##0;[Red]\-&quot;£&quot;#,##0"/>
    <numFmt numFmtId="168" formatCode="0.0"/>
    <numFmt numFmtId="169" formatCode="_-* #,##0.0_-;\-* #,##0.0_-;_-* &quot;-&quot;??_-;_-@_-"/>
    <numFmt numFmtId="170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3" fontId="0" fillId="0" borderId="0" xfId="0" applyNumberFormat="1" applyFont="1" applyAlignment="1"/>
    <xf numFmtId="0" fontId="0" fillId="0" borderId="2" xfId="0" applyBorder="1" applyAlignment="1"/>
    <xf numFmtId="1" fontId="0" fillId="0" borderId="2" xfId="0" applyNumberFormat="1" applyFont="1" applyBorder="1" applyAlignment="1"/>
    <xf numFmtId="1" fontId="0" fillId="0" borderId="0" xfId="0" applyNumberFormat="1" applyFont="1" applyAlignment="1"/>
    <xf numFmtId="0" fontId="3" fillId="0" borderId="0" xfId="0" applyFont="1" applyAlignment="1"/>
    <xf numFmtId="1" fontId="3" fillId="0" borderId="0" xfId="0" applyNumberFormat="1" applyFont="1" applyAlignment="1"/>
    <xf numFmtId="0" fontId="0" fillId="0" borderId="2" xfId="0" applyFont="1" applyFill="1" applyBorder="1" applyAlignment="1"/>
    <xf numFmtId="0" fontId="0" fillId="0" borderId="2" xfId="0" applyFont="1" applyBorder="1" applyAlignment="1"/>
    <xf numFmtId="166" fontId="0" fillId="0" borderId="2" xfId="1" applyNumberFormat="1" applyFont="1" applyBorder="1" applyAlignment="1"/>
    <xf numFmtId="0" fontId="0" fillId="0" borderId="0" xfId="0" applyFont="1" applyFill="1" applyBorder="1" applyAlignment="1"/>
    <xf numFmtId="0" fontId="4" fillId="0" borderId="0" xfId="0" applyFont="1" applyAlignment="1"/>
    <xf numFmtId="9" fontId="0" fillId="0" borderId="0" xfId="0" applyNumberFormat="1" applyFont="1" applyAlignment="1"/>
    <xf numFmtId="10" fontId="0" fillId="0" borderId="0" xfId="0" applyNumberFormat="1" applyFont="1" applyAlignment="1"/>
    <xf numFmtId="165" fontId="0" fillId="0" borderId="0" xfId="0" applyNumberFormat="1" applyFont="1" applyAlignment="1"/>
    <xf numFmtId="9" fontId="0" fillId="3" borderId="0" xfId="0" applyNumberFormat="1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9" fontId="0" fillId="4" borderId="0" xfId="0" applyNumberFormat="1" applyFont="1" applyFill="1" applyAlignment="1"/>
    <xf numFmtId="166" fontId="0" fillId="3" borderId="0" xfId="1" applyNumberFormat="1" applyFont="1" applyFill="1" applyAlignment="1"/>
    <xf numFmtId="166" fontId="0" fillId="3" borderId="0" xfId="0" applyNumberFormat="1" applyFont="1" applyFill="1" applyAlignment="1"/>
    <xf numFmtId="0" fontId="0" fillId="0" borderId="0" xfId="0" quotePrefix="1" applyAlignment="1"/>
    <xf numFmtId="1" fontId="0" fillId="3" borderId="0" xfId="0" applyNumberFormat="1" applyFont="1" applyFill="1" applyAlignment="1"/>
    <xf numFmtId="167" fontId="0" fillId="3" borderId="0" xfId="0" applyNumberFormat="1" applyFont="1" applyFill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/>
    <xf numFmtId="168" fontId="4" fillId="0" borderId="0" xfId="0" applyNumberFormat="1" applyFont="1" applyBorder="1" applyAlignment="1"/>
    <xf numFmtId="166" fontId="4" fillId="0" borderId="0" xfId="1" applyNumberFormat="1" applyFont="1" applyBorder="1" applyAlignment="1"/>
    <xf numFmtId="3" fontId="4" fillId="0" borderId="0" xfId="0" applyNumberFormat="1" applyFont="1" applyBorder="1" applyAlignment="1"/>
    <xf numFmtId="169" fontId="4" fillId="0" borderId="0" xfId="1" applyNumberFormat="1" applyFont="1" applyBorder="1" applyAlignment="1"/>
    <xf numFmtId="166" fontId="4" fillId="0" borderId="0" xfId="0" applyNumberFormat="1" applyFont="1" applyBorder="1" applyAlignment="1"/>
    <xf numFmtId="166" fontId="0" fillId="0" borderId="0" xfId="0" applyNumberFormat="1"/>
    <xf numFmtId="170" fontId="4" fillId="0" borderId="0" xfId="0" applyNumberFormat="1" applyFont="1" applyBorder="1" applyAlignment="1"/>
    <xf numFmtId="2" fontId="4" fillId="0" borderId="0" xfId="0" applyNumberFormat="1" applyFont="1" applyBorder="1" applyAlignment="1"/>
    <xf numFmtId="9" fontId="4" fillId="0" borderId="0" xfId="0" applyNumberFormat="1" applyFont="1" applyBorder="1" applyAlignment="1"/>
    <xf numFmtId="0" fontId="4" fillId="5" borderId="1" xfId="0" applyFont="1" applyFill="1" applyBorder="1"/>
    <xf numFmtId="168" fontId="4" fillId="5" borderId="1" xfId="0" applyNumberFormat="1" applyFont="1" applyFill="1" applyBorder="1"/>
    <xf numFmtId="0" fontId="4" fillId="0" borderId="0" xfId="0" quotePrefix="1" applyFont="1" applyBorder="1"/>
    <xf numFmtId="166" fontId="0" fillId="0" borderId="0" xfId="1" applyNumberFormat="1" applyFont="1" applyAlignment="1"/>
    <xf numFmtId="166" fontId="0" fillId="0" borderId="0" xfId="0" applyNumberFormat="1" applyFont="1" applyAlignment="1"/>
    <xf numFmtId="0" fontId="3" fillId="0" borderId="0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ions_192021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enue model"/>
      <sheetName val="P&amp;L"/>
      <sheetName val="BS"/>
      <sheetName val="CFS"/>
      <sheetName val="DCF"/>
      <sheetName val="Relative"/>
    </sheetNames>
    <sheetDataSet>
      <sheetData sheetId="0" refreshError="1"/>
      <sheetData sheetId="1" refreshError="1"/>
      <sheetData sheetId="2" refreshError="1">
        <row r="20">
          <cell r="D20">
            <v>37500</v>
          </cell>
        </row>
      </sheetData>
      <sheetData sheetId="3" refreshError="1"/>
      <sheetData sheetId="4" refreshError="1">
        <row r="31">
          <cell r="I31">
            <v>23007.789673853473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4" workbookViewId="0">
      <selection activeCell="F10" sqref="F10"/>
    </sheetView>
  </sheetViews>
  <sheetFormatPr defaultRowHeight="14.4" x14ac:dyDescent="0.3"/>
  <cols>
    <col min="1" max="1" width="27.77734375" bestFit="1" customWidth="1"/>
    <col min="2" max="2" width="10.44140625" bestFit="1" customWidth="1"/>
    <col min="3" max="3" width="8.77734375"/>
    <col min="4" max="4" width="9.21875" bestFit="1" customWidth="1"/>
    <col min="5" max="5" width="17.88671875" bestFit="1" customWidth="1"/>
  </cols>
  <sheetData>
    <row r="1" spans="1:7" x14ac:dyDescent="0.3">
      <c r="A1" s="1"/>
      <c r="B1" s="2" t="s">
        <v>0</v>
      </c>
      <c r="C1" s="2" t="s">
        <v>1</v>
      </c>
      <c r="D1" s="2" t="s">
        <v>2</v>
      </c>
      <c r="E1" s="1"/>
      <c r="F1" s="1"/>
      <c r="G1" s="1"/>
    </row>
    <row r="2" spans="1:7" x14ac:dyDescent="0.3">
      <c r="A2" s="3" t="s">
        <v>3</v>
      </c>
      <c r="B2" s="4"/>
      <c r="C2" s="4"/>
      <c r="D2" s="4"/>
      <c r="E2" s="1"/>
      <c r="F2" s="1"/>
      <c r="G2" s="1"/>
    </row>
    <row r="3" spans="1:7" x14ac:dyDescent="0.3">
      <c r="A3" s="5" t="s">
        <v>4</v>
      </c>
      <c r="B3" s="6"/>
      <c r="C3" s="6"/>
      <c r="D3" s="6"/>
      <c r="E3" s="1"/>
      <c r="F3" s="1"/>
      <c r="G3" s="1"/>
    </row>
    <row r="4" spans="1:7" x14ac:dyDescent="0.3">
      <c r="A4" s="3" t="s">
        <v>5</v>
      </c>
      <c r="B4" s="4"/>
      <c r="C4" s="4"/>
      <c r="D4" s="4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3" t="s">
        <v>6</v>
      </c>
      <c r="B6" s="7">
        <v>3383.6190000000001</v>
      </c>
      <c r="C6" s="7">
        <v>3407.8440000000001</v>
      </c>
      <c r="D6" s="7">
        <v>3445.6060000000002</v>
      </c>
      <c r="E6" s="1"/>
      <c r="F6" s="1"/>
      <c r="G6" s="1"/>
    </row>
    <row r="7" spans="1:7" x14ac:dyDescent="0.3">
      <c r="A7" s="3" t="s">
        <v>7</v>
      </c>
      <c r="B7" s="7">
        <v>-3868.13</v>
      </c>
      <c r="C7" s="7">
        <v>-4163</v>
      </c>
      <c r="D7" s="7">
        <v>-4477.84</v>
      </c>
      <c r="E7" s="1"/>
      <c r="F7" s="1"/>
      <c r="G7" s="1"/>
    </row>
    <row r="8" spans="1:7" x14ac:dyDescent="0.3">
      <c r="A8" s="5" t="s">
        <v>8</v>
      </c>
      <c r="B8" s="6">
        <v>-1233.73</v>
      </c>
      <c r="C8" s="6">
        <v>-443.25900000000001</v>
      </c>
      <c r="D8" s="6">
        <v>-394.34300000000002</v>
      </c>
      <c r="E8" s="1"/>
      <c r="F8" s="1"/>
      <c r="G8" s="1"/>
    </row>
    <row r="9" spans="1:7" x14ac:dyDescent="0.3">
      <c r="A9" s="8" t="s">
        <v>9</v>
      </c>
      <c r="B9" s="9">
        <v>6627.0110000000004</v>
      </c>
      <c r="C9" s="9">
        <v>7332.2560000000003</v>
      </c>
      <c r="D9" s="9">
        <v>7982.4960000000001</v>
      </c>
      <c r="E9" s="1"/>
      <c r="F9" s="1"/>
      <c r="G9" s="1"/>
    </row>
    <row r="10" spans="1:7" x14ac:dyDescent="0.3">
      <c r="A10" s="10" t="s">
        <v>10</v>
      </c>
      <c r="B10" s="11"/>
      <c r="C10" s="11"/>
      <c r="D10" s="12">
        <v>119799.7</v>
      </c>
      <c r="E10" s="3" t="s">
        <v>11</v>
      </c>
      <c r="F10" s="1"/>
      <c r="G10" s="1"/>
    </row>
    <row r="11" spans="1:7" x14ac:dyDescent="0.3">
      <c r="A11" s="13" t="s">
        <v>12</v>
      </c>
      <c r="B11" s="7">
        <f>SUM(B9:B10)</f>
        <v>6627.0110000000004</v>
      </c>
      <c r="C11" s="7">
        <f t="shared" ref="C11" si="0">SUM(C9:C10)</f>
        <v>7332.2560000000003</v>
      </c>
      <c r="D11" s="7">
        <f>SUM(D9:D10)</f>
        <v>127782.196</v>
      </c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4" t="s">
        <v>13</v>
      </c>
      <c r="B14" s="15">
        <v>0.05</v>
      </c>
      <c r="C14" s="1"/>
      <c r="D14" s="1"/>
      <c r="E14" s="1"/>
      <c r="F14" s="1"/>
      <c r="G14" s="1"/>
    </row>
    <row r="15" spans="1:7" x14ac:dyDescent="0.3">
      <c r="A15" s="14" t="s">
        <v>14</v>
      </c>
      <c r="B15" s="18">
        <v>0.15</v>
      </c>
      <c r="C15" s="14" t="s">
        <v>15</v>
      </c>
      <c r="D15" s="14" t="s">
        <v>16</v>
      </c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4" t="s">
        <v>17</v>
      </c>
      <c r="B17" s="16">
        <v>7.8E-2</v>
      </c>
      <c r="C17" s="14" t="s">
        <v>18</v>
      </c>
      <c r="D17" s="1"/>
      <c r="E17" s="1"/>
      <c r="F17" s="1"/>
      <c r="G17" s="1"/>
    </row>
    <row r="18" spans="1:7" x14ac:dyDescent="0.3">
      <c r="A18" s="14" t="s">
        <v>19</v>
      </c>
      <c r="B18" s="20">
        <v>1.1000000000000001</v>
      </c>
      <c r="C18" s="14" t="s">
        <v>20</v>
      </c>
      <c r="D18" s="14" t="s">
        <v>21</v>
      </c>
      <c r="E18" s="1"/>
      <c r="F18" s="1"/>
      <c r="G18" s="1"/>
    </row>
    <row r="19" spans="1:7" x14ac:dyDescent="0.3">
      <c r="A19" s="14" t="s">
        <v>22</v>
      </c>
      <c r="B19" s="21">
        <v>0.14000000000000001</v>
      </c>
      <c r="C19" s="14" t="s">
        <v>23</v>
      </c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4" t="s">
        <v>24</v>
      </c>
      <c r="B21" s="1">
        <v>37500</v>
      </c>
      <c r="C21" s="1"/>
      <c r="E21" s="14" t="s">
        <v>26</v>
      </c>
      <c r="F21" s="18">
        <v>0.12</v>
      </c>
      <c r="G21" s="24" t="s">
        <v>36</v>
      </c>
    </row>
    <row r="22" spans="1:7" x14ac:dyDescent="0.3">
      <c r="A22" s="14" t="s">
        <v>27</v>
      </c>
      <c r="B22" s="22">
        <v>100000</v>
      </c>
      <c r="C22" s="1"/>
      <c r="E22" s="1"/>
      <c r="F22" s="1"/>
      <c r="G22" s="1"/>
    </row>
    <row r="23" spans="1:7" x14ac:dyDescent="0.3">
      <c r="A23" s="1"/>
      <c r="B23" s="1"/>
      <c r="C23" s="1"/>
      <c r="D23" s="1"/>
      <c r="E23" s="14" t="s">
        <v>29</v>
      </c>
      <c r="F23" s="26">
        <v>102724.46</v>
      </c>
    </row>
    <row r="24" spans="1:7" x14ac:dyDescent="0.3">
      <c r="A24" s="14" t="s">
        <v>25</v>
      </c>
      <c r="B24" s="23">
        <v>2.72727E-3</v>
      </c>
      <c r="C24" s="1"/>
      <c r="D24" s="1"/>
      <c r="E24" t="s">
        <v>24</v>
      </c>
      <c r="G24" t="s">
        <v>40</v>
      </c>
    </row>
    <row r="25" spans="1:7" x14ac:dyDescent="0.3">
      <c r="A25" s="14" t="s">
        <v>28</v>
      </c>
      <c r="B25" s="18">
        <v>7.2727299999999998E-3</v>
      </c>
      <c r="C25" s="1"/>
      <c r="D25" s="1"/>
      <c r="E25" s="14" t="s">
        <v>31</v>
      </c>
      <c r="F25" s="1">
        <v>12314.493</v>
      </c>
      <c r="G25" s="3" t="s">
        <v>40</v>
      </c>
    </row>
    <row r="26" spans="1:7" x14ac:dyDescent="0.3">
      <c r="A26" s="1"/>
      <c r="B26" s="1"/>
      <c r="C26" s="1"/>
      <c r="D26" s="1"/>
      <c r="E26" s="14" t="s">
        <v>33</v>
      </c>
      <c r="F26" s="25">
        <v>115038.95</v>
      </c>
      <c r="G26" s="3" t="s">
        <v>37</v>
      </c>
    </row>
    <row r="27" spans="1:7" x14ac:dyDescent="0.3">
      <c r="A27" s="14" t="s">
        <v>30</v>
      </c>
      <c r="B27" s="20">
        <v>20000</v>
      </c>
      <c r="C27" s="1"/>
      <c r="D27" s="1"/>
      <c r="E27" s="14" t="s">
        <v>35</v>
      </c>
      <c r="F27" s="25">
        <v>23007.79</v>
      </c>
      <c r="G27" s="1"/>
    </row>
    <row r="28" spans="1:7" x14ac:dyDescent="0.3">
      <c r="A28" s="14" t="s">
        <v>32</v>
      </c>
      <c r="B28" s="20">
        <v>5</v>
      </c>
      <c r="C28" s="1"/>
      <c r="D28" s="1"/>
      <c r="E28" s="14" t="s">
        <v>39</v>
      </c>
      <c r="F28" s="1">
        <f>B27</f>
        <v>20000</v>
      </c>
      <c r="G28" s="1"/>
    </row>
    <row r="29" spans="1:7" x14ac:dyDescent="0.3">
      <c r="A29" s="1"/>
      <c r="B29" s="1"/>
      <c r="C29" s="1"/>
      <c r="D29" s="1"/>
      <c r="E29" s="14" t="s">
        <v>38</v>
      </c>
      <c r="F29" s="19"/>
      <c r="G29" s="1"/>
    </row>
    <row r="30" spans="1:7" x14ac:dyDescent="0.3">
      <c r="A30" s="14" t="s">
        <v>34</v>
      </c>
      <c r="B30" s="21">
        <v>0.05</v>
      </c>
    </row>
    <row r="31" spans="1:7" x14ac:dyDescent="0.3">
      <c r="A31" s="1"/>
      <c r="B31" s="1"/>
    </row>
    <row r="32" spans="1:7" x14ac:dyDescent="0.3">
      <c r="A32" s="1"/>
      <c r="B32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7"/>
  <sheetViews>
    <sheetView workbookViewId="0">
      <selection activeCell="I42" sqref="I42"/>
    </sheetView>
  </sheetViews>
  <sheetFormatPr defaultRowHeight="14.4" x14ac:dyDescent="0.3"/>
  <cols>
    <col min="1" max="1" width="23.5546875" bestFit="1" customWidth="1"/>
    <col min="2" max="2" width="37.5546875" bestFit="1" customWidth="1"/>
    <col min="3" max="4" width="9.21875" bestFit="1" customWidth="1"/>
  </cols>
  <sheetData>
    <row r="1" spans="1:18" x14ac:dyDescent="0.3">
      <c r="A1" s="27"/>
      <c r="B1" s="27"/>
      <c r="C1" s="44" t="s">
        <v>41</v>
      </c>
      <c r="D1" s="44"/>
      <c r="E1" s="44"/>
      <c r="F1" s="44"/>
      <c r="G1" s="44" t="s">
        <v>42</v>
      </c>
      <c r="H1" s="44"/>
      <c r="I1" s="44"/>
      <c r="J1" s="44"/>
      <c r="K1" s="44" t="s">
        <v>43</v>
      </c>
      <c r="L1" s="44"/>
      <c r="M1" s="44"/>
      <c r="N1" s="44"/>
    </row>
    <row r="2" spans="1:18" x14ac:dyDescent="0.3">
      <c r="A2" s="27"/>
      <c r="B2" s="27"/>
      <c r="C2" s="28" t="s">
        <v>44</v>
      </c>
      <c r="D2" s="28" t="s">
        <v>45</v>
      </c>
      <c r="E2" s="28" t="s">
        <v>46</v>
      </c>
      <c r="F2" s="28" t="s">
        <v>47</v>
      </c>
      <c r="G2" s="28" t="s">
        <v>44</v>
      </c>
      <c r="H2" s="28" t="s">
        <v>45</v>
      </c>
      <c r="I2" s="28" t="s">
        <v>46</v>
      </c>
      <c r="J2" s="28" t="s">
        <v>47</v>
      </c>
      <c r="K2" s="28" t="s">
        <v>44</v>
      </c>
      <c r="L2" s="28" t="s">
        <v>45</v>
      </c>
      <c r="M2" s="28" t="s">
        <v>46</v>
      </c>
      <c r="N2" s="28" t="s">
        <v>47</v>
      </c>
    </row>
    <row r="3" spans="1:18" x14ac:dyDescent="0.3">
      <c r="A3" s="29" t="s">
        <v>78</v>
      </c>
      <c r="B3" s="29" t="s">
        <v>71</v>
      </c>
      <c r="C3" s="30">
        <v>716</v>
      </c>
      <c r="D3" s="30">
        <v>1249</v>
      </c>
      <c r="E3" s="30">
        <v>1286.0999999999999</v>
      </c>
      <c r="F3" s="30">
        <v>1461.8</v>
      </c>
      <c r="G3" s="27">
        <v>80.900000000000006</v>
      </c>
      <c r="H3" s="27">
        <v>104</v>
      </c>
      <c r="I3" s="27">
        <v>137</v>
      </c>
      <c r="J3" s="27">
        <v>171</v>
      </c>
      <c r="K3" s="27">
        <v>6.29</v>
      </c>
      <c r="L3" s="27">
        <v>6.84</v>
      </c>
      <c r="M3" s="27">
        <v>8.15</v>
      </c>
      <c r="N3" s="27">
        <v>9.1</v>
      </c>
    </row>
    <row r="4" spans="1:18" x14ac:dyDescent="0.3">
      <c r="A4" s="29" t="s">
        <v>48</v>
      </c>
      <c r="B4" s="29" t="s">
        <v>74</v>
      </c>
      <c r="C4" s="31">
        <v>47802</v>
      </c>
      <c r="D4" s="31">
        <v>64469</v>
      </c>
      <c r="E4" s="31">
        <v>69385</v>
      </c>
      <c r="F4" s="31">
        <v>74631</v>
      </c>
      <c r="G4" s="31">
        <v>32304.6</v>
      </c>
      <c r="H4" s="31">
        <v>36502.9</v>
      </c>
      <c r="I4" s="31">
        <v>42844.3</v>
      </c>
      <c r="J4" s="31">
        <v>47414.1</v>
      </c>
      <c r="K4" s="31">
        <v>10446.9</v>
      </c>
      <c r="L4" s="31">
        <v>11454.7</v>
      </c>
      <c r="M4" s="31">
        <v>12499.4</v>
      </c>
      <c r="N4" s="31">
        <v>13725.6</v>
      </c>
    </row>
    <row r="5" spans="1:18" x14ac:dyDescent="0.3">
      <c r="A5" s="29" t="s">
        <v>49</v>
      </c>
      <c r="B5" s="29" t="s">
        <v>74</v>
      </c>
      <c r="C5" s="32">
        <v>11528</v>
      </c>
      <c r="D5" s="32">
        <v>15305</v>
      </c>
      <c r="E5" s="32">
        <v>15595</v>
      </c>
      <c r="F5" s="32">
        <v>16887</v>
      </c>
      <c r="G5" s="31">
        <v>6145.2</v>
      </c>
      <c r="H5" s="31">
        <v>6794.3</v>
      </c>
      <c r="I5" s="31">
        <v>8412.2000000000007</v>
      </c>
      <c r="J5" s="31">
        <v>9651.1</v>
      </c>
      <c r="K5" s="31">
        <v>1940.1</v>
      </c>
      <c r="L5" s="31">
        <v>2104.5</v>
      </c>
      <c r="M5" s="31">
        <v>2439.1</v>
      </c>
      <c r="N5" s="31">
        <v>2746.9</v>
      </c>
    </row>
    <row r="6" spans="1:18" x14ac:dyDescent="0.3">
      <c r="A6" s="29" t="s">
        <v>24</v>
      </c>
      <c r="B6" s="29" t="s">
        <v>72</v>
      </c>
      <c r="C6" s="27">
        <f>[1]BS!D20</f>
        <v>37500</v>
      </c>
      <c r="D6" s="27">
        <v>37500</v>
      </c>
      <c r="E6" s="27">
        <v>37500</v>
      </c>
      <c r="F6" s="27">
        <v>37500</v>
      </c>
      <c r="G6" s="31">
        <f>15863+2763</f>
        <v>18626</v>
      </c>
      <c r="H6" s="31"/>
      <c r="I6" s="31"/>
      <c r="J6" s="31"/>
      <c r="K6" s="27">
        <v>24</v>
      </c>
      <c r="L6" s="27"/>
      <c r="M6" s="27"/>
      <c r="N6" s="27"/>
    </row>
    <row r="7" spans="1:18" x14ac:dyDescent="0.3">
      <c r="A7" s="29" t="s">
        <v>31</v>
      </c>
      <c r="B7" s="29" t="s">
        <v>73</v>
      </c>
      <c r="C7" s="31">
        <v>12314</v>
      </c>
      <c r="D7" s="31">
        <v>14656</v>
      </c>
      <c r="E7" s="31">
        <v>17637</v>
      </c>
      <c r="F7" s="31">
        <v>20961</v>
      </c>
      <c r="G7" s="31">
        <v>218</v>
      </c>
      <c r="H7" s="27"/>
      <c r="I7" s="27"/>
      <c r="J7" s="27"/>
      <c r="K7" s="27">
        <v>6231</v>
      </c>
      <c r="L7" s="27"/>
      <c r="M7" s="27"/>
      <c r="N7" s="27"/>
    </row>
    <row r="8" spans="1:18" x14ac:dyDescent="0.3">
      <c r="A8" s="29" t="s">
        <v>50</v>
      </c>
      <c r="B8" s="29"/>
      <c r="C8" s="27">
        <v>5</v>
      </c>
      <c r="D8" s="27">
        <v>5</v>
      </c>
      <c r="E8" s="27">
        <v>5</v>
      </c>
      <c r="F8" s="27">
        <v>5</v>
      </c>
      <c r="G8" s="33">
        <v>27.4</v>
      </c>
      <c r="H8" s="27"/>
      <c r="I8" s="27"/>
      <c r="J8" s="27"/>
      <c r="K8" s="27">
        <v>198.5</v>
      </c>
      <c r="L8" s="27"/>
      <c r="M8" s="27"/>
      <c r="N8" s="27"/>
    </row>
    <row r="9" spans="1:18" x14ac:dyDescent="0.3">
      <c r="A9" s="29" t="s">
        <v>79</v>
      </c>
      <c r="B9" s="29"/>
      <c r="C9" s="27">
        <v>20000</v>
      </c>
      <c r="D9" s="27"/>
      <c r="E9" s="27"/>
      <c r="F9" s="27"/>
      <c r="G9" s="31">
        <v>3950</v>
      </c>
      <c r="H9" s="27"/>
      <c r="I9" s="27"/>
      <c r="J9" s="27"/>
      <c r="K9" s="27">
        <v>233</v>
      </c>
      <c r="L9" s="27"/>
      <c r="M9" s="27"/>
      <c r="N9" s="27"/>
    </row>
    <row r="10" spans="1:18" x14ac:dyDescent="0.3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1:18" x14ac:dyDescent="0.3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Q11" t="s">
        <v>51</v>
      </c>
      <c r="R11" t="s">
        <v>52</v>
      </c>
    </row>
    <row r="12" spans="1:18" x14ac:dyDescent="0.3">
      <c r="A12" s="29" t="s">
        <v>29</v>
      </c>
      <c r="B12" s="41" t="s">
        <v>75</v>
      </c>
      <c r="C12" s="34">
        <v>125186</v>
      </c>
      <c r="D12" s="34"/>
      <c r="E12" s="34"/>
      <c r="F12" s="34"/>
      <c r="G12" s="34">
        <f>(G9*G8)+G6-G7</f>
        <v>126638</v>
      </c>
      <c r="H12" s="27"/>
      <c r="I12" s="27"/>
      <c r="J12" s="27"/>
      <c r="K12" s="34">
        <f>(K9*K8)+K6-K7</f>
        <v>40043.5</v>
      </c>
      <c r="L12" s="27"/>
      <c r="M12" s="27"/>
      <c r="N12" s="27"/>
      <c r="Q12" s="35">
        <f>AVERAGE(C12,G12,K12)</f>
        <v>97289.166666666672</v>
      </c>
      <c r="R12" s="35">
        <f>MEDIAN(C12,G12,K12)</f>
        <v>125186</v>
      </c>
    </row>
    <row r="13" spans="1:18" x14ac:dyDescent="0.3">
      <c r="A13" s="29" t="s">
        <v>53</v>
      </c>
      <c r="B13" s="41" t="s">
        <v>76</v>
      </c>
      <c r="C13" s="36">
        <f>(F4/C4)^(1/3)-1</f>
        <v>0.16008834722788268</v>
      </c>
      <c r="D13" s="27"/>
      <c r="E13" s="27"/>
      <c r="F13" s="27"/>
      <c r="G13" s="36">
        <f>(J4/G4)^(1/3)-1</f>
        <v>0.1364431479867485</v>
      </c>
      <c r="H13" s="27"/>
      <c r="I13" s="27"/>
      <c r="J13" s="27"/>
      <c r="K13" s="36">
        <f>(N4/K4)^(1/3)-1</f>
        <v>9.5253459340860935E-2</v>
      </c>
      <c r="L13" s="27"/>
      <c r="M13" s="27"/>
      <c r="N13" s="27"/>
      <c r="Q13" s="35">
        <f>AVERAGE(C13,G13,K13)</f>
        <v>0.13059498485183071</v>
      </c>
      <c r="R13" s="35">
        <f>MEDIAN(C13,G13,K13)</f>
        <v>0.1364431479867485</v>
      </c>
    </row>
    <row r="14" spans="1:18" x14ac:dyDescent="0.3">
      <c r="A14" s="29" t="s">
        <v>54</v>
      </c>
      <c r="B14" s="41" t="s">
        <v>77</v>
      </c>
      <c r="C14" s="30">
        <f>C9/C3</f>
        <v>27.932960893854748</v>
      </c>
      <c r="D14" s="27"/>
      <c r="E14" s="27"/>
      <c r="F14" s="27"/>
      <c r="G14" s="30">
        <f>G9/G3</f>
        <v>48.825710754017301</v>
      </c>
      <c r="H14" s="27"/>
      <c r="I14" s="27"/>
      <c r="J14" s="27"/>
      <c r="K14" s="30">
        <f>K9/K3</f>
        <v>37.042925278219393</v>
      </c>
      <c r="L14" s="27"/>
      <c r="M14" s="27"/>
      <c r="N14" s="27"/>
      <c r="Q14" s="35">
        <f>AVERAGE(C14,G14,K14)</f>
        <v>37.933865642030476</v>
      </c>
      <c r="R14" s="35">
        <f>MEDIAN(C14,G14,K14)</f>
        <v>37.042925278219393</v>
      </c>
    </row>
    <row r="15" spans="1:18" x14ac:dyDescent="0.3">
      <c r="A15" s="29" t="s">
        <v>55</v>
      </c>
      <c r="B15" s="41" t="s">
        <v>80</v>
      </c>
      <c r="C15" s="30">
        <f>C9/(C4/C8)</f>
        <v>2.0919626793857997</v>
      </c>
      <c r="D15" s="27"/>
      <c r="E15" s="27"/>
      <c r="F15" s="27"/>
      <c r="G15" s="30">
        <f>G9/(G4/G8)</f>
        <v>3.3502968617472435</v>
      </c>
      <c r="H15" s="27"/>
      <c r="I15" s="27"/>
      <c r="J15" s="27"/>
      <c r="K15" s="30">
        <f>K9/(K4/K8)</f>
        <v>4.4271984990762814</v>
      </c>
      <c r="L15" s="27"/>
      <c r="M15" s="27"/>
      <c r="N15" s="27"/>
      <c r="Q15" s="35">
        <f>AVERAGE(C15,G15,K15)</f>
        <v>3.2898193467364414</v>
      </c>
      <c r="R15" s="35">
        <f>MEDIAN(C15,G15,K15)</f>
        <v>3.3502968617472435</v>
      </c>
    </row>
    <row r="16" spans="1:18" x14ac:dyDescent="0.3">
      <c r="A16" s="29" t="s">
        <v>56</v>
      </c>
      <c r="B16" s="41" t="s">
        <v>81</v>
      </c>
      <c r="C16" s="30">
        <f>C14/C13</f>
        <v>174.48466036127363</v>
      </c>
      <c r="D16" s="27"/>
      <c r="E16" s="27"/>
      <c r="F16" s="27"/>
      <c r="G16" s="30">
        <f>G14/G13</f>
        <v>357.84655715184249</v>
      </c>
      <c r="H16" s="27"/>
      <c r="I16" s="27"/>
      <c r="J16" s="27"/>
      <c r="K16" s="30">
        <f>K14/K13</f>
        <v>388.88797881515961</v>
      </c>
      <c r="L16" s="27"/>
      <c r="M16" s="27"/>
      <c r="N16" s="27"/>
      <c r="Q16" s="35">
        <f>AVERAGE(C16,G16,K16)</f>
        <v>307.0730654427586</v>
      </c>
      <c r="R16" s="35">
        <f>MEDIAN(C16,G16,K16)</f>
        <v>357.84655715184249</v>
      </c>
    </row>
    <row r="17" spans="1:18" x14ac:dyDescent="0.3">
      <c r="A17" s="29"/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8" x14ac:dyDescent="0.3">
      <c r="A18" s="29" t="s">
        <v>57</v>
      </c>
      <c r="B18" s="29"/>
      <c r="C18" s="30">
        <f>C9/D3</f>
        <v>16.012810248198559</v>
      </c>
      <c r="D18" s="27"/>
      <c r="E18" s="27"/>
      <c r="F18" s="27"/>
      <c r="G18" s="30">
        <f>G9/H3</f>
        <v>37.980769230769234</v>
      </c>
      <c r="H18" s="27"/>
      <c r="I18" s="27"/>
      <c r="J18" s="27"/>
      <c r="K18" s="30">
        <f>K9/L3</f>
        <v>34.064327485380119</v>
      </c>
      <c r="L18" s="27"/>
      <c r="M18" s="27"/>
      <c r="N18" s="27"/>
      <c r="Q18" s="35">
        <f>AVERAGE(C18,G18,K18)</f>
        <v>29.352635654782635</v>
      </c>
      <c r="R18" s="35">
        <f>MEDIAN(C18,G18,K18)</f>
        <v>34.064327485380119</v>
      </c>
    </row>
    <row r="19" spans="1:18" x14ac:dyDescent="0.3">
      <c r="A19" s="29" t="s">
        <v>58</v>
      </c>
      <c r="B19" s="29"/>
      <c r="C19" s="37">
        <f>C9/(D4/C8)</f>
        <v>1.5511331027315456</v>
      </c>
      <c r="D19" s="27"/>
      <c r="E19" s="27"/>
      <c r="F19" s="27"/>
      <c r="G19" s="37">
        <f>G9/(H4/G8)</f>
        <v>2.964969906500579</v>
      </c>
      <c r="H19" s="27"/>
      <c r="I19" s="27"/>
      <c r="J19" s="27"/>
      <c r="K19" s="37">
        <f>K9/(L4/K8)</f>
        <v>4.0376875867547817</v>
      </c>
      <c r="L19" s="27"/>
      <c r="M19" s="27"/>
      <c r="N19" s="27"/>
      <c r="Q19" s="35">
        <f>AVERAGE(C19,G19,K19)</f>
        <v>2.8512635319956359</v>
      </c>
      <c r="R19" s="35">
        <f>MEDIAN(C19,G19,K19)</f>
        <v>2.964969906500579</v>
      </c>
    </row>
    <row r="20" spans="1:18" x14ac:dyDescent="0.3">
      <c r="A20" s="29" t="s">
        <v>59</v>
      </c>
      <c r="B20" s="29"/>
      <c r="C20" s="30">
        <f>C18/C13</f>
        <v>100.02483332159481</v>
      </c>
      <c r="D20" s="27"/>
      <c r="E20" s="27"/>
      <c r="F20" s="27"/>
      <c r="G20" s="30">
        <f>G18/G13</f>
        <v>278.36333147676982</v>
      </c>
      <c r="H20" s="27"/>
      <c r="I20" s="27"/>
      <c r="J20" s="27"/>
      <c r="K20" s="30">
        <f>K18/K13</f>
        <v>357.61774660049036</v>
      </c>
      <c r="L20" s="27"/>
      <c r="M20" s="27"/>
      <c r="N20" s="27"/>
      <c r="Q20" s="35">
        <f>AVERAGE(C20,G20,K20)</f>
        <v>245.33530379961834</v>
      </c>
      <c r="R20" s="35">
        <f>MEDIAN(C20,G20,K20)</f>
        <v>278.36333147676982</v>
      </c>
    </row>
    <row r="21" spans="1:18" x14ac:dyDescent="0.3">
      <c r="A21" s="29"/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8" x14ac:dyDescent="0.3">
      <c r="A22" s="29" t="s">
        <v>60</v>
      </c>
      <c r="B22" s="29"/>
      <c r="C22" s="30">
        <f>C12/C5</f>
        <v>10.859299097848716</v>
      </c>
      <c r="D22" s="27"/>
      <c r="E22" s="27"/>
      <c r="F22" s="27"/>
      <c r="G22" s="30">
        <f>G12/G5</f>
        <v>20.607628718349282</v>
      </c>
      <c r="H22" s="27"/>
      <c r="I22" s="27"/>
      <c r="J22" s="27"/>
      <c r="K22" s="30">
        <f>K12/K5</f>
        <v>20.639915468274832</v>
      </c>
      <c r="L22" s="27"/>
      <c r="M22" s="27"/>
      <c r="N22" s="27"/>
      <c r="Q22" s="35">
        <f>AVERAGE(C22,G22,K22)</f>
        <v>17.368947761490944</v>
      </c>
      <c r="R22" s="35">
        <f>MEDIAN(C22,G22,K22)</f>
        <v>20.607628718349282</v>
      </c>
    </row>
    <row r="23" spans="1:18" x14ac:dyDescent="0.3">
      <c r="A23" s="29" t="s">
        <v>61</v>
      </c>
      <c r="B23" s="29"/>
      <c r="C23" s="30">
        <f>C12/C4</f>
        <v>2.6188443998159072</v>
      </c>
      <c r="D23" s="27"/>
      <c r="E23" s="27"/>
      <c r="F23" s="27"/>
      <c r="G23" s="30">
        <f>G12/G4</f>
        <v>3.9201228308042819</v>
      </c>
      <c r="H23" s="27"/>
      <c r="I23" s="27"/>
      <c r="J23" s="27"/>
      <c r="K23" s="30">
        <f>K12/K4</f>
        <v>3.8330509529142618</v>
      </c>
      <c r="L23" s="27"/>
      <c r="M23" s="27"/>
      <c r="N23" s="27"/>
      <c r="Q23" s="35">
        <f>AVERAGE(C23,G23,K23)</f>
        <v>3.4573393945114836</v>
      </c>
      <c r="R23" s="35">
        <f>MEDIAN(C23,G23,K23)</f>
        <v>3.8330509529142618</v>
      </c>
    </row>
    <row r="24" spans="1:18" x14ac:dyDescent="0.3">
      <c r="A24" s="29" t="s">
        <v>62</v>
      </c>
      <c r="B24" s="29"/>
      <c r="C24" s="30">
        <f>C12/D5</f>
        <v>8.1794184906893168</v>
      </c>
      <c r="D24" s="27"/>
      <c r="E24" s="27"/>
      <c r="F24" s="27"/>
      <c r="G24" s="30">
        <f>G12/H5</f>
        <v>18.638859043610083</v>
      </c>
      <c r="H24" s="27"/>
      <c r="I24" s="27"/>
      <c r="J24" s="27"/>
      <c r="K24" s="30">
        <f>K12/L5</f>
        <v>19.027559990496556</v>
      </c>
      <c r="L24" s="27"/>
      <c r="M24" s="27"/>
      <c r="N24" s="27"/>
      <c r="Q24" s="35">
        <f>AVERAGE(C24,G24,K24)</f>
        <v>15.281945841598651</v>
      </c>
      <c r="R24" s="35">
        <f>MEDIAN(C24,G24,K24)</f>
        <v>18.638859043610083</v>
      </c>
    </row>
    <row r="25" spans="1:18" x14ac:dyDescent="0.3">
      <c r="A25" s="29" t="s">
        <v>63</v>
      </c>
      <c r="B25" s="29"/>
      <c r="C25" s="30">
        <f>C12/D4</f>
        <v>1.9418014859855124</v>
      </c>
      <c r="D25" s="27"/>
      <c r="E25" s="27"/>
      <c r="F25" s="27"/>
      <c r="G25" s="30">
        <f>G12/H4</f>
        <v>3.4692586068504143</v>
      </c>
      <c r="H25" s="27"/>
      <c r="I25" s="27"/>
      <c r="J25" s="27"/>
      <c r="K25" s="30">
        <f>K12/L4</f>
        <v>3.4958139453674035</v>
      </c>
      <c r="L25" s="27"/>
      <c r="M25" s="27"/>
      <c r="N25" s="27"/>
      <c r="Q25" s="35">
        <f>AVERAGE(C25,G25,K25)</f>
        <v>2.9689580127344435</v>
      </c>
      <c r="R25" s="35">
        <f>MEDIAN(C25,G25,K25)</f>
        <v>3.4692586068504143</v>
      </c>
    </row>
    <row r="26" spans="1:18" x14ac:dyDescent="0.3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  <row r="27" spans="1:18" x14ac:dyDescent="0.3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  <row r="28" spans="1:18" x14ac:dyDescent="0.3">
      <c r="A28" s="27"/>
      <c r="B28" s="27"/>
      <c r="C28" s="27" t="s">
        <v>64</v>
      </c>
      <c r="D28" s="27" t="s">
        <v>65</v>
      </c>
      <c r="E28" s="27" t="s">
        <v>66</v>
      </c>
      <c r="F28" s="27"/>
      <c r="G28" s="27"/>
      <c r="H28" s="27"/>
      <c r="I28" s="27"/>
      <c r="J28" s="27"/>
      <c r="K28" s="27"/>
      <c r="L28" s="27"/>
      <c r="M28" s="27"/>
      <c r="N28" s="27"/>
    </row>
    <row r="29" spans="1:18" x14ac:dyDescent="0.3">
      <c r="A29" s="29" t="s">
        <v>54</v>
      </c>
      <c r="B29" s="29"/>
      <c r="C29" s="34">
        <f>$R$14*$C$3*0.8</f>
        <v>21218.187599364072</v>
      </c>
      <c r="D29" s="34">
        <f>$R$14*$C$3*1.2</f>
        <v>31827.2813990461</v>
      </c>
      <c r="E29" s="38">
        <v>0.05</v>
      </c>
      <c r="F29" s="27"/>
      <c r="G29" s="27"/>
      <c r="H29" s="27"/>
      <c r="I29" s="27"/>
      <c r="J29" s="27"/>
      <c r="K29" s="27"/>
      <c r="L29" s="27"/>
      <c r="M29" s="27"/>
      <c r="N29" s="27"/>
    </row>
    <row r="30" spans="1:18" x14ac:dyDescent="0.3">
      <c r="A30" s="29" t="s">
        <v>55</v>
      </c>
      <c r="B30" s="29"/>
      <c r="C30" s="34">
        <f>$R$15*($C$4/$C$8)*0.8</f>
        <v>25624.142493638676</v>
      </c>
      <c r="D30" s="34">
        <f>$R$15*($C$4/$C$8)*1.2</f>
        <v>38436.213740458013</v>
      </c>
      <c r="E30" s="38">
        <v>0.05</v>
      </c>
      <c r="F30" s="27"/>
      <c r="G30" s="27"/>
      <c r="H30" s="27"/>
      <c r="I30" s="27"/>
      <c r="J30" s="45" t="s">
        <v>67</v>
      </c>
      <c r="K30" s="46"/>
      <c r="L30" s="27"/>
      <c r="M30" s="27"/>
      <c r="N30" s="27"/>
    </row>
    <row r="31" spans="1:18" x14ac:dyDescent="0.3">
      <c r="A31" s="29" t="s">
        <v>56</v>
      </c>
      <c r="B31" s="29"/>
      <c r="C31" s="34">
        <f>$R$16*$C$3*$C$13*0.8</f>
        <v>32814.030199414876</v>
      </c>
      <c r="D31" s="34">
        <f>$R$16*$C$3*$C$13*1.2</f>
        <v>49221.045299122314</v>
      </c>
      <c r="E31" s="38">
        <v>0.05</v>
      </c>
      <c r="F31" s="27"/>
      <c r="G31" s="27"/>
      <c r="H31" s="27"/>
      <c r="I31" s="27"/>
      <c r="J31" s="39" t="s">
        <v>68</v>
      </c>
      <c r="K31" s="39" t="s">
        <v>69</v>
      </c>
      <c r="L31" s="27"/>
      <c r="M31" s="27"/>
      <c r="N31" s="27"/>
    </row>
    <row r="32" spans="1:18" x14ac:dyDescent="0.3">
      <c r="A32" s="29" t="s">
        <v>57</v>
      </c>
      <c r="B32" s="29"/>
      <c r="C32" s="34">
        <f>$R$18*$D$3*0.8</f>
        <v>34037.076023391819</v>
      </c>
      <c r="D32" s="34">
        <f>$R$18*$D$3*1.2</f>
        <v>51055.614035087718</v>
      </c>
      <c r="E32" s="38">
        <v>0.05</v>
      </c>
      <c r="F32" s="27"/>
      <c r="G32" s="27"/>
      <c r="H32" s="27"/>
      <c r="I32" s="27"/>
      <c r="J32" s="40">
        <f>SUMPRODUCT(C29:C40,E29:E40)</f>
        <v>25275.089598280512</v>
      </c>
      <c r="K32" s="40">
        <f>SUMPRODUCT(D29:D40,E29:E40)</f>
        <v>37912.634397420763</v>
      </c>
      <c r="L32" s="27"/>
      <c r="M32" s="27"/>
      <c r="N32" s="27"/>
    </row>
    <row r="33" spans="1:14" x14ac:dyDescent="0.3">
      <c r="A33" s="29" t="s">
        <v>58</v>
      </c>
      <c r="B33" s="29"/>
      <c r="C33" s="34">
        <f>$R$19*($D$4/$C$8)*0.8</f>
        <v>30583.78318434973</v>
      </c>
      <c r="D33" s="34">
        <f>$R$19*($D$4/$C$8)*1.2</f>
        <v>45875.674776524589</v>
      </c>
      <c r="E33" s="38">
        <v>0.05</v>
      </c>
      <c r="F33" s="27"/>
      <c r="G33" s="27"/>
      <c r="H33" s="27"/>
      <c r="I33" s="27"/>
      <c r="J33" s="27"/>
      <c r="K33" s="27"/>
      <c r="L33" s="27"/>
      <c r="M33" s="27"/>
      <c r="N33" s="27"/>
    </row>
    <row r="34" spans="1:14" x14ac:dyDescent="0.3">
      <c r="A34" s="29" t="s">
        <v>59</v>
      </c>
      <c r="B34" s="29"/>
      <c r="C34" s="34">
        <f>$R$20*$D$3*$C$13*0.8</f>
        <v>44527.075484431356</v>
      </c>
      <c r="D34" s="34">
        <f>$R$20*$D$3*$C$13*1.2</f>
        <v>66790.613226647023</v>
      </c>
      <c r="E34" s="38">
        <v>0.05</v>
      </c>
      <c r="F34" s="27"/>
      <c r="G34" s="27"/>
      <c r="H34" s="27"/>
      <c r="I34" s="27"/>
      <c r="J34" s="27"/>
      <c r="K34" s="27"/>
      <c r="L34" s="27"/>
      <c r="M34" s="27"/>
      <c r="N34" s="27"/>
    </row>
    <row r="35" spans="1:14" x14ac:dyDescent="0.3">
      <c r="A35" s="29" t="s">
        <v>60</v>
      </c>
      <c r="B35" s="29"/>
      <c r="C35" s="31">
        <f>E44*0.8</f>
        <v>33979.68</v>
      </c>
      <c r="D35" s="31">
        <f>E44*1.2</f>
        <v>50969.52</v>
      </c>
      <c r="E35" s="38">
        <v>0.05</v>
      </c>
      <c r="F35" s="27"/>
      <c r="G35" s="27"/>
      <c r="H35" s="27"/>
      <c r="I35" s="27"/>
      <c r="J35" s="27"/>
      <c r="K35" s="27"/>
      <c r="L35" s="27"/>
      <c r="M35" s="27"/>
      <c r="N35" s="27"/>
    </row>
    <row r="36" spans="1:14" x14ac:dyDescent="0.3">
      <c r="A36" s="29" t="s">
        <v>61</v>
      </c>
      <c r="B36" s="29"/>
      <c r="C36" s="31">
        <f>E45*0.8</f>
        <v>25286.640264193207</v>
      </c>
      <c r="D36" s="31">
        <f>E45*1.2</f>
        <v>37929.960396289811</v>
      </c>
      <c r="E36" s="38">
        <v>0.05</v>
      </c>
      <c r="F36" s="27"/>
      <c r="G36" s="27"/>
      <c r="H36" s="27"/>
      <c r="I36" s="27"/>
      <c r="J36" s="27"/>
      <c r="K36" s="27"/>
      <c r="L36" s="27"/>
      <c r="M36" s="27"/>
      <c r="N36" s="27"/>
    </row>
    <row r="37" spans="1:14" x14ac:dyDescent="0.3">
      <c r="A37" s="29" t="s">
        <v>62</v>
      </c>
      <c r="B37" s="29"/>
      <c r="C37" s="31">
        <f>E46*0.8</f>
        <v>41613.078025992378</v>
      </c>
      <c r="D37" s="31">
        <f>E46*1.2</f>
        <v>62419.617038988552</v>
      </c>
      <c r="E37" s="38">
        <v>0.05</v>
      </c>
      <c r="F37" s="27"/>
      <c r="G37" s="27"/>
      <c r="H37" s="27"/>
      <c r="I37" s="27"/>
      <c r="J37" s="27"/>
      <c r="K37" s="27"/>
      <c r="L37" s="27"/>
      <c r="M37" s="27"/>
      <c r="N37" s="27"/>
    </row>
    <row r="38" spans="1:14" x14ac:dyDescent="0.3">
      <c r="A38" s="29" t="s">
        <v>63</v>
      </c>
      <c r="B38" s="29"/>
      <c r="C38" s="31">
        <f>E47*0.8</f>
        <v>31755.781300006303</v>
      </c>
      <c r="D38" s="31">
        <f>E47*1.2</f>
        <v>47633.671950009448</v>
      </c>
      <c r="E38" s="38">
        <v>0.05</v>
      </c>
      <c r="F38" s="27"/>
      <c r="G38" s="27"/>
      <c r="H38" s="27"/>
      <c r="I38" s="27"/>
      <c r="J38" s="27"/>
      <c r="K38" s="27"/>
      <c r="L38" s="27"/>
      <c r="M38" s="27"/>
      <c r="N38" s="27"/>
    </row>
    <row r="39" spans="1:14" x14ac:dyDescent="0.3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</row>
    <row r="40" spans="1:14" x14ac:dyDescent="0.3">
      <c r="A40" s="27" t="s">
        <v>70</v>
      </c>
      <c r="B40" s="27"/>
      <c r="C40" s="31">
        <f>[1]DCF!I31*0.8</f>
        <v>18406.231739082777</v>
      </c>
      <c r="D40" s="31">
        <f>[1]DCF!I31*1.2</f>
        <v>27609.347608624168</v>
      </c>
      <c r="E40" s="38">
        <v>0.5</v>
      </c>
      <c r="F40" s="27"/>
      <c r="G40" s="27"/>
      <c r="H40" s="27"/>
      <c r="I40" s="27"/>
      <c r="J40" s="27"/>
      <c r="K40" s="27"/>
      <c r="L40" s="27"/>
      <c r="M40" s="27"/>
      <c r="N40" s="27"/>
    </row>
    <row r="43" spans="1:14" x14ac:dyDescent="0.3">
      <c r="B43" s="1"/>
      <c r="C43" t="s">
        <v>29</v>
      </c>
      <c r="D43" t="s">
        <v>82</v>
      </c>
      <c r="E43" t="s">
        <v>83</v>
      </c>
    </row>
    <row r="44" spans="1:14" x14ac:dyDescent="0.3">
      <c r="B44" t="s">
        <v>60</v>
      </c>
      <c r="C44" s="42">
        <f>R22*C5</f>
        <v>237564.74386513053</v>
      </c>
      <c r="D44" s="43">
        <v>212373</v>
      </c>
      <c r="E44" s="7">
        <f>D44/$C$8</f>
        <v>42474.6</v>
      </c>
    </row>
    <row r="45" spans="1:14" x14ac:dyDescent="0.3">
      <c r="B45" t="s">
        <v>61</v>
      </c>
      <c r="C45" s="42">
        <f>R23*C4</f>
        <v>183227.50165120754</v>
      </c>
      <c r="D45" s="43">
        <f>C45-$C$6+$C$7</f>
        <v>158041.50165120754</v>
      </c>
      <c r="E45" s="7">
        <f>D45/$C$8</f>
        <v>31608.300330241509</v>
      </c>
    </row>
    <row r="46" spans="1:14" x14ac:dyDescent="0.3">
      <c r="B46" t="s">
        <v>62</v>
      </c>
      <c r="C46" s="42">
        <f>R24*D5</f>
        <v>285267.73766245233</v>
      </c>
      <c r="D46" s="43">
        <f>C46-$C$6+$C$7</f>
        <v>260081.73766245233</v>
      </c>
      <c r="E46" s="7">
        <f>D46/$C$8</f>
        <v>52016.347532490465</v>
      </c>
    </row>
    <row r="47" spans="1:14" x14ac:dyDescent="0.3">
      <c r="B47" t="s">
        <v>63</v>
      </c>
      <c r="C47" s="42">
        <f>R25*D4</f>
        <v>223659.63312503937</v>
      </c>
      <c r="D47" s="43">
        <f>C47-$C$6+$C$7</f>
        <v>198473.63312503937</v>
      </c>
      <c r="E47" s="7">
        <f>D47/$C$8</f>
        <v>39694.726625007876</v>
      </c>
    </row>
  </sheetData>
  <mergeCells count="4">
    <mergeCell ref="C1:F1"/>
    <mergeCell ref="G1:J1"/>
    <mergeCell ref="K1:N1"/>
    <mergeCell ref="J30:K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DCF</vt:lpstr>
      <vt:lpstr>Relative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2021-05-21T12:30:27Z</dcterms:created>
  <dcterms:modified xsi:type="dcterms:W3CDTF">2021-06-11T16:21:11Z</dcterms:modified>
</cp:coreProperties>
</file>