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Drawings vs TURTLE De" sheetId="1" r:id="rId4"/>
  </sheets>
</workbook>
</file>

<file path=xl/sharedStrings.xml><?xml version="1.0" encoding="utf-8"?>
<sst xmlns="http://schemas.openxmlformats.org/spreadsheetml/2006/main" uniqueCount="33">
  <si>
    <t>Drawings vs TURTLE Default Input Deck - is there a different definition of length through the dipole?</t>
  </si>
  <si>
    <t>Element</t>
  </si>
  <si>
    <t>from T. Rauber drawing in PiM1 CH</t>
  </si>
  <si>
    <t>z_middle - drawing / spreadsheet</t>
  </si>
  <si>
    <t>Magnetic length (Davide or TURTLE)</t>
  </si>
  <si>
    <t>Start</t>
  </si>
  <si>
    <t>TURTLE Drift</t>
  </si>
  <si>
    <t>TURTLE Start</t>
  </si>
  <si>
    <t>TURTLE Width</t>
  </si>
  <si>
    <t>TURTLE middle</t>
  </si>
  <si>
    <t>Corrected start - TURTLE start</t>
  </si>
  <si>
    <t>Adopted drift before element</t>
  </si>
  <si>
    <t xml:space="preserve">Adopted Width </t>
  </si>
  <si>
    <t>Adjustment for dipole trajectory</t>
  </si>
  <si>
    <t>Adopted center</t>
  </si>
  <si>
    <t>Adopted Start</t>
  </si>
  <si>
    <t>QTA11</t>
  </si>
  <si>
    <t>QTB11</t>
  </si>
  <si>
    <t>QTB12</t>
  </si>
  <si>
    <t>FS11 (DR5??)</t>
  </si>
  <si>
    <t>ASM11</t>
  </si>
  <si>
    <t>KSD11</t>
  </si>
  <si>
    <t>QSL11</t>
  </si>
  <si>
    <t>QSL12</t>
  </si>
  <si>
    <t>IFP</t>
  </si>
  <si>
    <t>QSL13</t>
  </si>
  <si>
    <t>QSL14</t>
  </si>
  <si>
    <t>ASM12</t>
  </si>
  <si>
    <t>QSL15</t>
  </si>
  <si>
    <t>QSL16</t>
  </si>
  <si>
    <t>QSL17</t>
  </si>
  <si>
    <t>QSL18</t>
  </si>
  <si>
    <t>PiM1 Target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</si>
</sst>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49" fontId="2" fillId="2" borderId="5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borderId="8" applyNumberFormat="1" applyFont="1" applyFill="0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59" fontId="0" borderId="11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59" fontId="0" fillId="4" borderId="11" applyNumberFormat="1" applyFont="1" applyFill="1" applyBorder="1" applyAlignment="1" applyProtection="0">
      <alignment vertical="top" wrapText="1"/>
    </xf>
    <xf numFmtId="59" fontId="0" fillId="5" borderId="11" applyNumberFormat="1" applyFont="1" applyFill="1" applyBorder="1" applyAlignment="1" applyProtection="0">
      <alignment vertical="top" wrapText="1"/>
    </xf>
    <xf numFmtId="59" fontId="0" fillId="6" borderId="11" applyNumberFormat="1" applyFont="1" applyFill="1" applyBorder="1" applyAlignment="1" applyProtection="0">
      <alignment vertical="top" wrapText="1"/>
    </xf>
    <xf numFmtId="59" fontId="0" fillId="7" borderId="11" applyNumberFormat="1" applyFont="1" applyFill="1" applyBorder="1" applyAlignment="1" applyProtection="0">
      <alignment vertical="top" wrapText="1"/>
    </xf>
    <xf numFmtId="0" fontId="2" fillId="3" borderId="10" applyNumberFormat="0" applyFont="1" applyFill="1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d478"/>
      <rgbColor rgb="fffefc78"/>
      <rgbColor rgb="ffd4fb78"/>
      <rgbColor rgb="fffefb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2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12.375" style="1" customWidth="1"/>
    <col min="2" max="2" width="10.9375" style="1" customWidth="1"/>
    <col min="3" max="3" width="11.7031" style="1" customWidth="1"/>
    <col min="4" max="4" width="10.0781" style="1" customWidth="1"/>
    <col min="5" max="5" width="6.875" style="1" customWidth="1"/>
    <col min="6" max="6" width="9.73438" style="1" customWidth="1"/>
    <col min="7" max="7" width="9.16406" style="1" customWidth="1"/>
    <col min="8" max="9" width="9.46094" style="1" customWidth="1"/>
    <col min="10" max="10" width="10.1953" style="1" customWidth="1"/>
    <col min="11" max="11" width="9.01562" style="1" customWidth="1"/>
    <col min="12" max="12" width="8.41406" style="1" customWidth="1"/>
    <col min="13" max="14" width="9.05469" style="1" customWidth="1"/>
    <col min="15" max="15" width="8.72656" style="1" customWidth="1"/>
    <col min="16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68.25" customHeight="1">
      <c r="A2" t="s" s="3">
        <v>1</v>
      </c>
      <c r="B2" t="s" s="4">
        <v>2</v>
      </c>
      <c r="C2" t="s" s="5">
        <v>3</v>
      </c>
      <c r="D2" t="s" s="6">
        <v>4</v>
      </c>
      <c r="E2" t="s" s="3">
        <v>5</v>
      </c>
      <c r="F2" t="s" s="5">
        <v>6</v>
      </c>
      <c r="G2" t="s" s="6">
        <v>7</v>
      </c>
      <c r="H2" t="s" s="6">
        <v>8</v>
      </c>
      <c r="I2" t="s" s="3">
        <v>9</v>
      </c>
      <c r="J2" t="s" s="7">
        <v>10</v>
      </c>
      <c r="K2" t="s" s="5">
        <v>11</v>
      </c>
      <c r="L2" t="s" s="6">
        <v>12</v>
      </c>
      <c r="M2" t="s" s="6">
        <v>13</v>
      </c>
      <c r="N2" t="s" s="6">
        <v>14</v>
      </c>
      <c r="O2" t="s" s="6">
        <v>15</v>
      </c>
    </row>
    <row r="3" ht="20.25" customHeight="1">
      <c r="A3" t="s" s="8">
        <v>16</v>
      </c>
      <c r="B3" s="9">
        <v>1.12</v>
      </c>
      <c r="C3" s="10">
        <v>1.12</v>
      </c>
      <c r="D3" s="11">
        <v>0.324</v>
      </c>
      <c r="E3" s="12">
        <f>C3-0.5*D3</f>
        <v>0.9580000000000001</v>
      </c>
      <c r="F3" s="10">
        <v>0.948</v>
      </c>
      <c r="G3" s="11">
        <f>F3</f>
        <v>0.948</v>
      </c>
      <c r="H3" s="11">
        <v>0.324</v>
      </c>
      <c r="I3" s="12">
        <f>G3+0.5*H3</f>
        <v>1.11</v>
      </c>
      <c r="J3" s="9">
        <f>O3-G3</f>
        <v>0.01000000000000012</v>
      </c>
      <c r="K3" s="10">
        <f>O3</f>
        <v>0.9580000000000001</v>
      </c>
      <c r="L3" s="11">
        <f>D3</f>
        <v>0.324</v>
      </c>
      <c r="M3" s="11">
        <v>0</v>
      </c>
      <c r="N3" s="11">
        <f>B3-M3</f>
        <v>1.12</v>
      </c>
      <c r="O3" s="11">
        <f>N3-0.5*L3</f>
        <v>0.9580000000000001</v>
      </c>
    </row>
    <row r="4" ht="20.05" customHeight="1">
      <c r="A4" t="s" s="13">
        <v>17</v>
      </c>
      <c r="B4" s="14">
        <v>1.65</v>
      </c>
      <c r="C4" s="15">
        <v>1.65</v>
      </c>
      <c r="D4" s="16">
        <v>0.475</v>
      </c>
      <c r="E4" s="17">
        <f>C4-0.5*D4</f>
        <v>1.4125</v>
      </c>
      <c r="F4" s="15">
        <v>0.1</v>
      </c>
      <c r="G4" s="16">
        <f>G3+H3+F4</f>
        <v>1.372</v>
      </c>
      <c r="H4" s="16">
        <v>0.475</v>
      </c>
      <c r="I4" s="17">
        <f>G4+0.5*H4</f>
        <v>1.6095</v>
      </c>
      <c r="J4" s="14">
        <f>O4-G4</f>
        <v>0.04049999999999976</v>
      </c>
      <c r="K4" s="15">
        <f>O4-O3-L3</f>
        <v>0.1304999999999998</v>
      </c>
      <c r="L4" s="16">
        <f>D4</f>
        <v>0.475</v>
      </c>
      <c r="M4" s="16">
        <v>0</v>
      </c>
      <c r="N4" s="16">
        <f>B4-M4</f>
        <v>1.65</v>
      </c>
      <c r="O4" s="16">
        <f>N4-0.5*L4</f>
        <v>1.4125</v>
      </c>
    </row>
    <row r="5" ht="20.05" customHeight="1">
      <c r="A5" t="s" s="13">
        <v>18</v>
      </c>
      <c r="B5" s="14">
        <v>2.235</v>
      </c>
      <c r="C5" s="15">
        <v>2.235</v>
      </c>
      <c r="D5" s="16">
        <v>0.475</v>
      </c>
      <c r="E5" s="17">
        <f>C5-0.5*D5</f>
        <v>1.9975</v>
      </c>
      <c r="F5" s="15">
        <v>0.1</v>
      </c>
      <c r="G5" s="16">
        <f>G4+H4+F5</f>
        <v>1.947</v>
      </c>
      <c r="H5" s="16">
        <v>0.475</v>
      </c>
      <c r="I5" s="17">
        <f>G5+0.5*H5</f>
        <v>2.1845</v>
      </c>
      <c r="J5" s="14">
        <f>O5-G5</f>
        <v>0.05049999999999977</v>
      </c>
      <c r="K5" s="15">
        <f>O5-O4-L4</f>
        <v>0.11</v>
      </c>
      <c r="L5" s="16">
        <f>D5</f>
        <v>0.475</v>
      </c>
      <c r="M5" s="16">
        <v>0</v>
      </c>
      <c r="N5" s="16">
        <f>B5-M5</f>
        <v>2.235</v>
      </c>
      <c r="O5" s="16">
        <f>N5-0.5*L5</f>
        <v>1.9975</v>
      </c>
    </row>
    <row r="6" ht="20.05" customHeight="1">
      <c r="A6" t="s" s="13">
        <v>19</v>
      </c>
      <c r="B6" s="14">
        <v>6.678</v>
      </c>
      <c r="C6" s="15">
        <v>6.678</v>
      </c>
      <c r="D6" s="16"/>
      <c r="E6" s="17">
        <f>C6-0.5*D6</f>
        <v>6.678</v>
      </c>
      <c r="F6" s="15">
        <v>3.92</v>
      </c>
      <c r="G6" s="16">
        <f>G5+H5+F6</f>
        <v>6.342000000000001</v>
      </c>
      <c r="H6" s="16">
        <v>0</v>
      </c>
      <c r="I6" s="17">
        <f>G6+0.5*H6</f>
        <v>6.342000000000001</v>
      </c>
      <c r="J6" s="14">
        <f>O6-G6</f>
        <v>0.3259999999999996</v>
      </c>
      <c r="K6" s="15">
        <f>O6-O5-L5-0.02</f>
        <v>4.175500000000001</v>
      </c>
      <c r="L6" s="16">
        <v>0.02</v>
      </c>
      <c r="M6" s="16">
        <v>0</v>
      </c>
      <c r="N6" s="16">
        <f>B6-M6</f>
        <v>6.678</v>
      </c>
      <c r="O6" s="16">
        <f>N6-0.5*L6</f>
        <v>6.668</v>
      </c>
    </row>
    <row r="7" ht="20.05" customHeight="1">
      <c r="A7" t="s" s="13">
        <v>20</v>
      </c>
      <c r="B7" s="14">
        <f>8.25</f>
        <v>8.25</v>
      </c>
      <c r="C7" s="15">
        <v>8.25</v>
      </c>
      <c r="D7" s="16">
        <f t="shared" si="32" ref="D7:D14">2*0.77539</f>
        <v>1.55078</v>
      </c>
      <c r="E7" s="17">
        <f>C7-0.5*D7</f>
        <v>7.47461</v>
      </c>
      <c r="F7" s="15">
        <v>1</v>
      </c>
      <c r="G7" s="16">
        <f>G6+H6+F7</f>
        <v>7.342000000000001</v>
      </c>
      <c r="H7" s="16">
        <f>D7</f>
        <v>1.55078</v>
      </c>
      <c r="I7" s="17">
        <f>G7+0.5*H7</f>
        <v>8.11739</v>
      </c>
      <c r="J7" s="18">
        <f>O7-G7</f>
        <v>-0.001060000000000727</v>
      </c>
      <c r="K7" s="15">
        <f>O7-O6-L6</f>
        <v>0.6529399999999996</v>
      </c>
      <c r="L7" s="16">
        <f>D7</f>
        <v>1.55078</v>
      </c>
      <c r="M7" s="16">
        <v>0.13367</v>
      </c>
      <c r="N7" s="16">
        <f>B7-M7</f>
        <v>8.11633</v>
      </c>
      <c r="O7" s="16">
        <f>N7-0.5*L7</f>
        <v>7.34094</v>
      </c>
    </row>
    <row r="8" ht="20.05" customHeight="1">
      <c r="A8" t="s" s="13">
        <v>21</v>
      </c>
      <c r="B8" s="14">
        <f>8.25+1.727</f>
        <v>9.977</v>
      </c>
      <c r="C8" s="15">
        <v>9.977</v>
      </c>
      <c r="D8" s="16"/>
      <c r="E8" s="17">
        <f>C8-0.5*D8</f>
        <v>9.977</v>
      </c>
      <c r="F8" s="15">
        <v>0</v>
      </c>
      <c r="G8" s="16">
        <f>G7+H7+F8</f>
        <v>8.89278</v>
      </c>
      <c r="H8" s="16">
        <v>0</v>
      </c>
      <c r="I8" s="17">
        <f>G8+0.5*H8</f>
        <v>8.89278</v>
      </c>
      <c r="J8" s="19">
        <f>O8-G8</f>
        <v>0.8168799999999994</v>
      </c>
      <c r="K8" s="15">
        <f>O8-O7-L7</f>
        <v>0.8179399999999997</v>
      </c>
      <c r="L8" s="16">
        <f>D8</f>
        <v>0</v>
      </c>
      <c r="M8" s="16">
        <f>2*M7</f>
        <v>0.26734</v>
      </c>
      <c r="N8" s="16">
        <f>B8-M8</f>
        <v>9.70966</v>
      </c>
      <c r="O8" s="16">
        <f>N8-0.5*L8</f>
        <v>9.70966</v>
      </c>
    </row>
    <row r="9" ht="20.05" customHeight="1">
      <c r="A9" t="s" s="13">
        <v>22</v>
      </c>
      <c r="B9" s="14">
        <f>8.25+2.561</f>
        <v>10.811</v>
      </c>
      <c r="C9" s="15">
        <v>10.811</v>
      </c>
      <c r="D9" s="16">
        <v>0.59</v>
      </c>
      <c r="E9" s="17">
        <f>C9-0.5*D9</f>
        <v>10.516</v>
      </c>
      <c r="F9" s="15">
        <v>1.352</v>
      </c>
      <c r="G9" s="16">
        <f>G8+H8+F9</f>
        <v>10.24478</v>
      </c>
      <c r="H9" s="16">
        <v>0.6</v>
      </c>
      <c r="I9" s="17">
        <f>G9+0.5*H9</f>
        <v>10.54478</v>
      </c>
      <c r="J9" s="19">
        <f>O9-G9</f>
        <v>0.003879999999998773</v>
      </c>
      <c r="K9" s="15">
        <f>O9-O8-L8</f>
        <v>0.5389999999999997</v>
      </c>
      <c r="L9" s="16">
        <f>D9</f>
        <v>0.59</v>
      </c>
      <c r="M9" s="16">
        <f>M8</f>
        <v>0.26734</v>
      </c>
      <c r="N9" s="16">
        <f>B9-M9</f>
        <v>10.54366</v>
      </c>
      <c r="O9" s="16">
        <f>N9-0.5*L9</f>
        <v>10.24866</v>
      </c>
    </row>
    <row r="10" ht="20.05" customHeight="1">
      <c r="A10" t="s" s="13">
        <v>23</v>
      </c>
      <c r="B10" s="14">
        <f>8.25+3.263</f>
        <v>11.513</v>
      </c>
      <c r="C10" s="15">
        <v>11.513</v>
      </c>
      <c r="D10" s="16">
        <v>0.59</v>
      </c>
      <c r="E10" s="17">
        <f>C10-0.5*D10</f>
        <v>11.218</v>
      </c>
      <c r="F10" s="15">
        <v>0.1</v>
      </c>
      <c r="G10" s="16">
        <f>G9+H9+F10</f>
        <v>10.94478</v>
      </c>
      <c r="H10" s="16">
        <v>0.6</v>
      </c>
      <c r="I10" s="17">
        <f>G10+0.5*H10</f>
        <v>11.24478</v>
      </c>
      <c r="J10" s="19">
        <f>O10-G10</f>
        <v>0.005879999999999441</v>
      </c>
      <c r="K10" s="15">
        <f>O10-O9-L9</f>
        <v>0.112</v>
      </c>
      <c r="L10" s="16">
        <f>D10</f>
        <v>0.59</v>
      </c>
      <c r="M10" s="16">
        <f>M9</f>
        <v>0.26734</v>
      </c>
      <c r="N10" s="16">
        <f>B10-M10</f>
        <v>11.24566</v>
      </c>
      <c r="O10" s="16">
        <f>N10-0.5*L10</f>
        <v>10.95066</v>
      </c>
    </row>
    <row r="11" ht="20.05" customHeight="1">
      <c r="A11" t="s" s="13">
        <v>24</v>
      </c>
      <c r="B11" s="14"/>
      <c r="C11" s="15"/>
      <c r="D11" s="16"/>
      <c r="E11" s="17"/>
      <c r="F11" s="15">
        <f>0.739</f>
        <v>0.739</v>
      </c>
      <c r="G11" s="16">
        <f>G10+H10+F11</f>
        <v>12.28378</v>
      </c>
      <c r="H11" s="16">
        <v>0.1</v>
      </c>
      <c r="I11" s="17">
        <f>G11+0.5*H11</f>
        <v>12.33378</v>
      </c>
      <c r="J11" s="19">
        <f>O11-G11</f>
        <v>0.274664445511279</v>
      </c>
      <c r="K11" s="15">
        <f>O11-O10-L10</f>
        <v>1.01778444551128</v>
      </c>
      <c r="L11" s="16">
        <f>H11</f>
        <v>0.1</v>
      </c>
      <c r="M11" s="16">
        <f>M10</f>
        <v>0.26734</v>
      </c>
      <c r="N11" s="16">
        <f>N10+(N12-N10)*(G11-G10)/(G12-G10)</f>
        <v>12.60844444551128</v>
      </c>
      <c r="O11" s="16">
        <f>N11-0.5*L11</f>
        <v>12.55844444551128</v>
      </c>
    </row>
    <row r="12" ht="20.05" customHeight="1">
      <c r="A12" t="s" s="13">
        <v>25</v>
      </c>
      <c r="B12" s="14">
        <f>8.25+5.383</f>
        <v>13.633</v>
      </c>
      <c r="C12" s="15">
        <v>13.633</v>
      </c>
      <c r="D12" s="16">
        <v>0.59</v>
      </c>
      <c r="E12" s="17">
        <f>C12-0.5*D12</f>
        <v>13.338</v>
      </c>
      <c r="F12" s="15">
        <f>0.005+0.389+0.05+0.2</f>
        <v>0.644</v>
      </c>
      <c r="G12" s="16">
        <f>G11+H11+F12</f>
        <v>13.02778</v>
      </c>
      <c r="H12" s="16">
        <v>0.6</v>
      </c>
      <c r="I12" s="17">
        <f>G12+0.5*H12</f>
        <v>13.32778</v>
      </c>
      <c r="J12" s="19">
        <f>O12-G12</f>
        <v>0.04287999999999847</v>
      </c>
      <c r="K12" s="15">
        <f>O12-O11-L11</f>
        <v>0.4122155544887193</v>
      </c>
      <c r="L12" s="16">
        <f>D12</f>
        <v>0.59</v>
      </c>
      <c r="M12" s="16">
        <f>M11</f>
        <v>0.26734</v>
      </c>
      <c r="N12" s="16">
        <f>B12-M12</f>
        <v>13.36566</v>
      </c>
      <c r="O12" s="16">
        <f>N12-0.5*L12</f>
        <v>13.07066</v>
      </c>
    </row>
    <row r="13" ht="20.05" customHeight="1">
      <c r="A13" t="s" s="13">
        <v>26</v>
      </c>
      <c r="B13" s="14">
        <f>8.25+6.085</f>
        <v>14.335</v>
      </c>
      <c r="C13" s="15">
        <v>14.335</v>
      </c>
      <c r="D13" s="16">
        <v>0.59</v>
      </c>
      <c r="E13" s="17">
        <f>C13-0.5*D13</f>
        <v>14.04</v>
      </c>
      <c r="F13" s="15">
        <v>0.1</v>
      </c>
      <c r="G13" s="16">
        <f>G12+H12+F13</f>
        <v>13.72778</v>
      </c>
      <c r="H13" s="16">
        <v>0.6</v>
      </c>
      <c r="I13" s="17">
        <f>G13+0.5*H13</f>
        <v>14.02778</v>
      </c>
      <c r="J13" s="19">
        <f>O13-G13</f>
        <v>0.04488000000000092</v>
      </c>
      <c r="K13" s="15">
        <f>O13-O12-L12</f>
        <v>0.1120000000000018</v>
      </c>
      <c r="L13" s="16">
        <f>D13</f>
        <v>0.59</v>
      </c>
      <c r="M13" s="16">
        <f>M12</f>
        <v>0.26734</v>
      </c>
      <c r="N13" s="16">
        <f>B13-M13</f>
        <v>14.06766</v>
      </c>
      <c r="O13" s="16">
        <f>N13-0.5*L13</f>
        <v>13.77266</v>
      </c>
    </row>
    <row r="14" ht="20.05" customHeight="1">
      <c r="A14" t="s" s="13">
        <v>27</v>
      </c>
      <c r="B14" s="14">
        <f>8.25+8.6</f>
        <v>16.85</v>
      </c>
      <c r="C14" s="15">
        <v>16.85</v>
      </c>
      <c r="D14" s="16">
        <f t="shared" si="32"/>
        <v>1.55078</v>
      </c>
      <c r="E14" s="17">
        <f>C14-0.5*D14</f>
        <v>16.07461</v>
      </c>
      <c r="F14" s="15">
        <v>1.352</v>
      </c>
      <c r="G14" s="16">
        <f>G13+H13+F14</f>
        <v>15.67978</v>
      </c>
      <c r="H14" s="16">
        <f>H7</f>
        <v>1.55078</v>
      </c>
      <c r="I14" s="17">
        <f>G14+0.5*H14</f>
        <v>16.45517</v>
      </c>
      <c r="J14" s="20">
        <f>O14-G14</f>
        <v>-0.006179999999996966</v>
      </c>
      <c r="K14" s="15">
        <f>O14-O13-L13</f>
        <v>1.310940000000002</v>
      </c>
      <c r="L14" s="16">
        <f>D14</f>
        <v>1.55078</v>
      </c>
      <c r="M14" s="16">
        <f>3*M7</f>
        <v>0.40101</v>
      </c>
      <c r="N14" s="16">
        <f>B14-M14</f>
        <v>16.44899</v>
      </c>
      <c r="O14" s="16">
        <f>N14-0.5*L14</f>
        <v>15.6736</v>
      </c>
    </row>
    <row r="15" ht="20.05" customHeight="1">
      <c r="A15" t="s" s="13">
        <v>28</v>
      </c>
      <c r="B15" s="14">
        <f>B14+1.888</f>
        <v>18.738</v>
      </c>
      <c r="C15" s="15">
        <v>18.738</v>
      </c>
      <c r="D15" s="16">
        <v>0.59</v>
      </c>
      <c r="E15" s="17">
        <f>C15-0.5*D15</f>
        <v>18.443</v>
      </c>
      <c r="F15" s="15">
        <v>0.68</v>
      </c>
      <c r="G15" s="16">
        <f>G14+H14+F15</f>
        <v>17.91056</v>
      </c>
      <c r="H15" s="16">
        <v>0.6</v>
      </c>
      <c r="I15" s="17">
        <f>G15+0.5*H15</f>
        <v>18.21056</v>
      </c>
      <c r="J15" s="21">
        <f>O15-G15</f>
        <v>-0.002240000000004017</v>
      </c>
      <c r="K15" s="15">
        <f>O15-O14-L14</f>
        <v>0.683939999999994</v>
      </c>
      <c r="L15" s="16">
        <f>D15</f>
        <v>0.59</v>
      </c>
      <c r="M15" s="16">
        <f>4*M7</f>
        <v>0.53468</v>
      </c>
      <c r="N15" s="16">
        <f>B15-M15</f>
        <v>18.20332</v>
      </c>
      <c r="O15" s="16">
        <f>N15-0.5*L15</f>
        <v>17.90832</v>
      </c>
    </row>
    <row r="16" ht="20.05" customHeight="1">
      <c r="A16" t="s" s="13">
        <v>29</v>
      </c>
      <c r="B16" s="14">
        <f>B14+2.59</f>
        <v>19.44</v>
      </c>
      <c r="C16" s="15">
        <v>19.44</v>
      </c>
      <c r="D16" s="16">
        <v>0.59</v>
      </c>
      <c r="E16" s="17">
        <f>C16-0.5*D16</f>
        <v>19.145</v>
      </c>
      <c r="F16" s="15">
        <v>0.1</v>
      </c>
      <c r="G16" s="16">
        <f>G15+H15+F16</f>
        <v>18.61056</v>
      </c>
      <c r="H16" s="16">
        <v>0.6</v>
      </c>
      <c r="I16" s="17">
        <f>G16+0.5*H16</f>
        <v>18.91056</v>
      </c>
      <c r="J16" s="21">
        <f>O16-G16</f>
        <v>-0.000240000000005125</v>
      </c>
      <c r="K16" s="15">
        <f>O16-O15-L15</f>
        <v>0.1120000000000018</v>
      </c>
      <c r="L16" s="16">
        <f>D16</f>
        <v>0.59</v>
      </c>
      <c r="M16" s="16">
        <f>M15</f>
        <v>0.53468</v>
      </c>
      <c r="N16" s="16">
        <f>B16-M16</f>
        <v>18.90532</v>
      </c>
      <c r="O16" s="16">
        <f>N16-0.5*L16</f>
        <v>18.61032</v>
      </c>
    </row>
    <row r="17" ht="20.05" customHeight="1">
      <c r="A17" t="s" s="13">
        <v>30</v>
      </c>
      <c r="B17" s="14">
        <f>B14+4.218</f>
        <v>21.068</v>
      </c>
      <c r="C17" s="15"/>
      <c r="D17" s="16">
        <v>0.59</v>
      </c>
      <c r="E17" s="17">
        <f>C17-0.5*D17</f>
        <v>-0.295</v>
      </c>
      <c r="F17" s="15">
        <v>2.611</v>
      </c>
      <c r="G17" s="16">
        <f>G16+H16+F17</f>
        <v>21.82156000000001</v>
      </c>
      <c r="H17" s="16">
        <v>0.6</v>
      </c>
      <c r="I17" s="17">
        <f>G17+0.5*H17</f>
        <v>22.12156000000001</v>
      </c>
      <c r="J17" s="21">
        <f>O17-G17</f>
        <v>-1.583240000000007</v>
      </c>
      <c r="K17" s="15">
        <f>O17-O16-L16</f>
        <v>1.038</v>
      </c>
      <c r="L17" s="16">
        <f>D17</f>
        <v>0.59</v>
      </c>
      <c r="M17" s="16">
        <f>M16</f>
        <v>0.53468</v>
      </c>
      <c r="N17" s="16">
        <f>B17-M17</f>
        <v>20.53332</v>
      </c>
      <c r="O17" s="16">
        <f>N17-0.5*L17</f>
        <v>20.23832</v>
      </c>
    </row>
    <row r="18" ht="20.05" customHeight="1">
      <c r="A18" t="s" s="13">
        <v>31</v>
      </c>
      <c r="B18" s="14">
        <f>B14+4.971</f>
        <v>21.821</v>
      </c>
      <c r="C18" s="15"/>
      <c r="D18" s="16">
        <v>0.59</v>
      </c>
      <c r="E18" s="17">
        <f>C18-0.5*D18</f>
        <v>-0.295</v>
      </c>
      <c r="F18" s="15">
        <v>0.1</v>
      </c>
      <c r="G18" s="16">
        <f>G17+H17+F18</f>
        <v>22.52156000000001</v>
      </c>
      <c r="H18" s="16">
        <v>0.6</v>
      </c>
      <c r="I18" s="17">
        <f>G18+0.5*H18</f>
        <v>22.82156000000001</v>
      </c>
      <c r="J18" s="21">
        <f>O18-G18</f>
        <v>-1.53024000000001</v>
      </c>
      <c r="K18" s="15">
        <f>O18-O17-L17</f>
        <v>0.1630000000000001</v>
      </c>
      <c r="L18" s="16">
        <f>D18</f>
        <v>0.59</v>
      </c>
      <c r="M18" s="16">
        <f>M17</f>
        <v>0.53468</v>
      </c>
      <c r="N18" s="16">
        <f>B18-M18</f>
        <v>21.28632</v>
      </c>
      <c r="O18" s="16">
        <f>N18-0.5*L18</f>
        <v>20.99132</v>
      </c>
    </row>
    <row r="19" ht="20.05" customHeight="1">
      <c r="A19" t="s" s="13">
        <v>32</v>
      </c>
      <c r="B19" s="14">
        <f>B14+6.802</f>
        <v>23.652</v>
      </c>
      <c r="C19" s="15">
        <v>21.15</v>
      </c>
      <c r="D19" s="16"/>
      <c r="E19" s="17">
        <f>C19-0.5*D19</f>
        <v>21.15</v>
      </c>
      <c r="F19" s="15">
        <v>1.5</v>
      </c>
      <c r="G19" s="16">
        <f>G18+H18+F19</f>
        <v>24.62156000000001</v>
      </c>
      <c r="H19" s="16"/>
      <c r="I19" s="17">
        <f>G19+0.5*H19</f>
        <v>24.62156000000001</v>
      </c>
      <c r="J19" s="21">
        <f>O19-G19</f>
        <v>-1.50424000000001</v>
      </c>
      <c r="K19" s="15">
        <f>O19-O18-L18</f>
        <v>1.536000000000001</v>
      </c>
      <c r="L19" s="16">
        <f>D19</f>
        <v>0</v>
      </c>
      <c r="M19" s="16">
        <f>M18</f>
        <v>0.53468</v>
      </c>
      <c r="N19" s="16">
        <f>B19-M19</f>
        <v>23.11732</v>
      </c>
      <c r="O19" s="16">
        <f>N19-0.5*L19</f>
        <v>23.11732</v>
      </c>
    </row>
    <row r="20" ht="20.05" customHeight="1">
      <c r="A20" s="22"/>
      <c r="B20" s="23"/>
      <c r="C20" s="15"/>
      <c r="D20" s="16"/>
      <c r="E20" s="17"/>
      <c r="F20" s="15"/>
      <c r="G20" s="16"/>
      <c r="H20" s="16"/>
      <c r="I20" s="17"/>
      <c r="J20" s="14"/>
      <c r="K20" s="15"/>
      <c r="L20" s="16"/>
      <c r="M20" s="16"/>
      <c r="N20" s="16"/>
      <c r="O20" s="16"/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