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7D2BCBF-1DA3-45DF-933E-85A890936D63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ignal conditioning" sheetId="1" r:id="rId1"/>
    <sheet name="Baseline" sheetId="2" r:id="rId2"/>
    <sheet name="90ml øl" sheetId="3" r:id="rId3"/>
    <sheet name="90ml øl - placering og fjernels" sheetId="4" r:id="rId4"/>
    <sheet name="90ml øl fjernes" sheetId="5" r:id="rId5"/>
    <sheet name="90ml øl - bold drop" sheetId="6" r:id="rId6"/>
    <sheet name="90ml øl - ball drop 2" sheetId="7" r:id="rId7"/>
    <sheet name="110ml øl" sheetId="8" r:id="rId8"/>
    <sheet name="110ml øl - placering og fjernel" sheetId="9" r:id="rId9"/>
    <sheet name="110ml øl - drop" sheetId="11" r:id="rId10"/>
    <sheet name="110ml øl - kast (rammer kant)" sheetId="12" r:id="rId11"/>
    <sheet name="130ml øl" sheetId="13" r:id="rId12"/>
    <sheet name="130ml øl - placering og fjernel" sheetId="14" r:id="rId13"/>
    <sheet name="130ml øl - ball drop" sheetId="15" r:id="rId14"/>
  </sheets>
  <definedNames>
    <definedName name="_xlchart.v1.0" hidden="1">'110ml øl'!$B$3:$B$12</definedName>
    <definedName name="_xlchart.v1.1" hidden="1">'130ml øl'!$B$3:$B$12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1" l="1"/>
  <c r="O8" i="9"/>
  <c r="O8" i="4"/>
  <c r="O5" i="4"/>
  <c r="I5" i="13"/>
  <c r="I5" i="8"/>
  <c r="I5" i="3"/>
  <c r="I5" i="15"/>
  <c r="I9" i="15"/>
  <c r="E4" i="3"/>
  <c r="E5" i="3"/>
  <c r="E6" i="3"/>
  <c r="E7" i="3"/>
  <c r="E8" i="3"/>
  <c r="E9" i="3"/>
  <c r="E10" i="3"/>
  <c r="E11" i="3"/>
  <c r="E12" i="3"/>
  <c r="E3" i="3"/>
  <c r="D3" i="6"/>
  <c r="E4" i="15"/>
  <c r="E5" i="15"/>
  <c r="E6" i="15"/>
  <c r="E7" i="15"/>
  <c r="E8" i="15"/>
  <c r="E9" i="15"/>
  <c r="E10" i="15"/>
  <c r="E11" i="15"/>
  <c r="E12" i="15"/>
  <c r="E3" i="15"/>
  <c r="E3" i="14"/>
  <c r="E4" i="14"/>
  <c r="E5" i="14"/>
  <c r="E6" i="14"/>
  <c r="E7" i="14"/>
  <c r="E8" i="14"/>
  <c r="E9" i="14"/>
  <c r="E10" i="14"/>
  <c r="E11" i="14"/>
  <c r="E12" i="14"/>
  <c r="D4" i="14"/>
  <c r="D5" i="14"/>
  <c r="D6" i="14"/>
  <c r="D7" i="14"/>
  <c r="D8" i="14"/>
  <c r="D9" i="14"/>
  <c r="D10" i="14"/>
  <c r="D11" i="14"/>
  <c r="D12" i="14"/>
  <c r="D3" i="14"/>
  <c r="E4" i="13"/>
  <c r="E5" i="13"/>
  <c r="E6" i="13"/>
  <c r="E7" i="13"/>
  <c r="E8" i="13"/>
  <c r="E9" i="13"/>
  <c r="E10" i="13"/>
  <c r="E11" i="13"/>
  <c r="E12" i="13"/>
  <c r="E3" i="13"/>
  <c r="E4" i="11"/>
  <c r="E5" i="11"/>
  <c r="E6" i="11"/>
  <c r="E7" i="11"/>
  <c r="E8" i="11"/>
  <c r="E9" i="11"/>
  <c r="E10" i="11"/>
  <c r="E11" i="11"/>
  <c r="E12" i="11"/>
  <c r="E3" i="11"/>
  <c r="E3" i="9"/>
  <c r="E4" i="9"/>
  <c r="E5" i="9"/>
  <c r="E6" i="9"/>
  <c r="E7" i="9"/>
  <c r="E8" i="9"/>
  <c r="E9" i="9"/>
  <c r="E10" i="9"/>
  <c r="E11" i="9"/>
  <c r="E12" i="9"/>
  <c r="D4" i="9"/>
  <c r="D5" i="9"/>
  <c r="D6" i="9"/>
  <c r="D7" i="9"/>
  <c r="D8" i="9"/>
  <c r="D9" i="9"/>
  <c r="D10" i="9"/>
  <c r="D11" i="9"/>
  <c r="D12" i="9"/>
  <c r="D3" i="9"/>
  <c r="E4" i="8"/>
  <c r="E5" i="8"/>
  <c r="E6" i="8"/>
  <c r="E7" i="8"/>
  <c r="E8" i="8"/>
  <c r="E9" i="8"/>
  <c r="E10" i="8"/>
  <c r="E11" i="8"/>
  <c r="E12" i="8"/>
  <c r="E3" i="8"/>
  <c r="D4" i="6"/>
  <c r="D5" i="6"/>
  <c r="D6" i="6"/>
  <c r="D7" i="6"/>
  <c r="D8" i="6"/>
  <c r="D9" i="6"/>
  <c r="D10" i="6"/>
  <c r="D11" i="6"/>
  <c r="D12" i="6"/>
  <c r="D3" i="4"/>
  <c r="E3" i="4"/>
  <c r="E4" i="4"/>
  <c r="E5" i="4"/>
  <c r="E6" i="4"/>
  <c r="E7" i="4"/>
  <c r="E8" i="4"/>
  <c r="E9" i="4"/>
  <c r="E10" i="4"/>
  <c r="E11" i="4"/>
  <c r="E12" i="4"/>
  <c r="D4" i="4"/>
  <c r="D5" i="4"/>
  <c r="D6" i="4"/>
  <c r="D7" i="4"/>
  <c r="D8" i="4"/>
  <c r="D9" i="4"/>
  <c r="D10" i="4"/>
  <c r="D11" i="4"/>
  <c r="D12" i="4"/>
  <c r="I5" i="11"/>
  <c r="H5" i="11"/>
  <c r="I5" i="14"/>
  <c r="J6" i="2"/>
  <c r="J5" i="2"/>
  <c r="E4" i="2"/>
  <c r="E5" i="2"/>
  <c r="E6" i="2"/>
  <c r="E7" i="2"/>
  <c r="E8" i="2"/>
  <c r="E9" i="2"/>
  <c r="E10" i="2"/>
  <c r="E11" i="2"/>
  <c r="E12" i="2"/>
  <c r="E3" i="2"/>
  <c r="H11" i="6" l="1"/>
  <c r="I11" i="6"/>
  <c r="N11" i="4"/>
  <c r="O11" i="4"/>
  <c r="O12" i="4" s="1"/>
  <c r="P12" i="4" s="1"/>
  <c r="N12" i="4"/>
  <c r="I7" i="6"/>
  <c r="H7" i="6"/>
  <c r="H12" i="6"/>
  <c r="H13" i="6"/>
  <c r="H6" i="6"/>
  <c r="I11" i="9"/>
  <c r="H12" i="4"/>
  <c r="I11" i="4"/>
  <c r="I12" i="4" s="1"/>
  <c r="J12" i="4" s="1"/>
  <c r="H11" i="4"/>
  <c r="H13" i="4" s="1"/>
  <c r="H7" i="9"/>
  <c r="I7" i="9" s="1"/>
  <c r="I11" i="14"/>
  <c r="I12" i="14" s="1"/>
  <c r="J12" i="14" s="1"/>
  <c r="H11" i="14"/>
  <c r="H12" i="14" s="1"/>
  <c r="H6" i="13"/>
  <c r="I11" i="3"/>
  <c r="I12" i="3" s="1"/>
  <c r="J12" i="3" s="1"/>
  <c r="H11" i="3"/>
  <c r="H12" i="3" s="1"/>
  <c r="I13" i="8"/>
  <c r="J13" i="8" s="1"/>
  <c r="H13" i="8"/>
  <c r="J12" i="8"/>
  <c r="J9" i="8"/>
  <c r="I12" i="8"/>
  <c r="I11" i="8"/>
  <c r="I9" i="8"/>
  <c r="H12" i="8"/>
  <c r="H11" i="8"/>
  <c r="O13" i="4" l="1"/>
  <c r="P13" i="4" s="1"/>
  <c r="I13" i="6"/>
  <c r="I12" i="9"/>
  <c r="J12" i="9" s="1"/>
  <c r="N13" i="4"/>
  <c r="I13" i="4"/>
  <c r="J13" i="4" s="1"/>
  <c r="H11" i="9"/>
  <c r="H12" i="9" s="1"/>
  <c r="H13" i="9"/>
  <c r="I13" i="9"/>
  <c r="J13" i="9" s="1"/>
  <c r="H13" i="14"/>
  <c r="I13" i="14"/>
  <c r="J13" i="14" s="1"/>
  <c r="H13" i="3"/>
  <c r="I13" i="3"/>
  <c r="J13" i="3" s="1"/>
  <c r="H9" i="12"/>
  <c r="I9" i="12" s="1"/>
  <c r="H8" i="12"/>
  <c r="I8" i="12" s="1"/>
  <c r="H6" i="12"/>
  <c r="H7" i="12" s="1"/>
  <c r="I7" i="12" s="1"/>
  <c r="H5" i="12"/>
  <c r="I5" i="12" s="1"/>
  <c r="H5" i="14"/>
  <c r="N9" i="14"/>
  <c r="O9" i="14" s="1"/>
  <c r="H9" i="14"/>
  <c r="I9" i="14" s="1"/>
  <c r="N8" i="14"/>
  <c r="O8" i="14" s="1"/>
  <c r="H8" i="14"/>
  <c r="I8" i="14" s="1"/>
  <c r="N6" i="14"/>
  <c r="O6" i="14" s="1"/>
  <c r="H6" i="14"/>
  <c r="I6" i="14" s="1"/>
  <c r="N5" i="14"/>
  <c r="O5" i="14" s="1"/>
  <c r="N5" i="9"/>
  <c r="O5" i="9" s="1"/>
  <c r="H5" i="9"/>
  <c r="N9" i="9"/>
  <c r="O9" i="9" s="1"/>
  <c r="H9" i="9"/>
  <c r="I9" i="9" s="1"/>
  <c r="N8" i="9"/>
  <c r="H8" i="9"/>
  <c r="I8" i="9" s="1"/>
  <c r="N6" i="9"/>
  <c r="O6" i="9" s="1"/>
  <c r="H6" i="9"/>
  <c r="I6" i="9" s="1"/>
  <c r="I5" i="9"/>
  <c r="O6" i="4"/>
  <c r="N9" i="4"/>
  <c r="O9" i="4" s="1"/>
  <c r="N8" i="4"/>
  <c r="N6" i="4"/>
  <c r="N7" i="4" s="1"/>
  <c r="O7" i="4" s="1"/>
  <c r="N5" i="4"/>
  <c r="H8" i="4"/>
  <c r="I8" i="4" s="1"/>
  <c r="H9" i="4"/>
  <c r="I9" i="4" s="1"/>
  <c r="H5" i="4"/>
  <c r="I5" i="4" s="1"/>
  <c r="H6" i="4"/>
  <c r="I6" i="4" s="1"/>
  <c r="H9" i="15"/>
  <c r="H6" i="15"/>
  <c r="H7" i="15" s="1"/>
  <c r="I7" i="15" s="1"/>
  <c r="H5" i="15"/>
  <c r="H8" i="15"/>
  <c r="I8" i="15" s="1"/>
  <c r="H9" i="11"/>
  <c r="I9" i="11" s="1"/>
  <c r="H8" i="11"/>
  <c r="I8" i="11" s="1"/>
  <c r="H6" i="11"/>
  <c r="H7" i="11" s="1"/>
  <c r="I7" i="11" s="1"/>
  <c r="H9" i="7"/>
  <c r="I9" i="7" s="1"/>
  <c r="H8" i="7"/>
  <c r="I8" i="7" s="1"/>
  <c r="H6" i="7"/>
  <c r="H7" i="7" s="1"/>
  <c r="I7" i="7" s="1"/>
  <c r="H5" i="7"/>
  <c r="I5" i="7" s="1"/>
  <c r="H8" i="6"/>
  <c r="H9" i="6"/>
  <c r="I9" i="6" s="1"/>
  <c r="H5" i="6"/>
  <c r="I5" i="6" s="1"/>
  <c r="I8" i="6"/>
  <c r="J10" i="2"/>
  <c r="I10" i="2"/>
  <c r="J9" i="2"/>
  <c r="I9" i="2"/>
  <c r="I9" i="3"/>
  <c r="I9" i="13"/>
  <c r="I8" i="13"/>
  <c r="I6" i="13"/>
  <c r="I7" i="3"/>
  <c r="I6" i="3"/>
  <c r="H9" i="13"/>
  <c r="H8" i="13"/>
  <c r="H9" i="8"/>
  <c r="H8" i="8"/>
  <c r="I8" i="8" s="1"/>
  <c r="H9" i="3"/>
  <c r="H8" i="3"/>
  <c r="I8" i="3" s="1"/>
  <c r="H7" i="13"/>
  <c r="H5" i="13"/>
  <c r="H6" i="8"/>
  <c r="I6" i="8" s="1"/>
  <c r="H5" i="8"/>
  <c r="H5" i="3"/>
  <c r="H6" i="3"/>
  <c r="H7" i="3" s="1"/>
  <c r="I7" i="2"/>
  <c r="J7" i="2" s="1"/>
  <c r="I6" i="2"/>
  <c r="I5" i="2"/>
  <c r="I7" i="13" l="1"/>
  <c r="I11" i="13" s="1"/>
  <c r="H11" i="13"/>
  <c r="J8" i="13"/>
  <c r="J8" i="6"/>
  <c r="J5" i="15"/>
  <c r="J9" i="7"/>
  <c r="J5" i="3"/>
  <c r="Q13" i="4" s="1"/>
  <c r="J8" i="8"/>
  <c r="J9" i="13"/>
  <c r="J5" i="7"/>
  <c r="J9" i="15"/>
  <c r="J5" i="12"/>
  <c r="J5" i="8"/>
  <c r="J5" i="13"/>
  <c r="J5" i="6"/>
  <c r="K5" i="6" s="1"/>
  <c r="J8" i="11"/>
  <c r="J8" i="15"/>
  <c r="P5" i="4"/>
  <c r="J8" i="3"/>
  <c r="J9" i="3"/>
  <c r="J9" i="6"/>
  <c r="J8" i="7"/>
  <c r="J9" i="11"/>
  <c r="J5" i="4"/>
  <c r="P5" i="9"/>
  <c r="Q5" i="9" s="1"/>
  <c r="J5" i="11"/>
  <c r="P8" i="14"/>
  <c r="Q8" i="14" s="1"/>
  <c r="J5" i="9"/>
  <c r="P8" i="9"/>
  <c r="Q8" i="9" s="1"/>
  <c r="P5" i="14"/>
  <c r="Q5" i="14" s="1"/>
  <c r="H7" i="8"/>
  <c r="I7" i="8" s="1"/>
  <c r="J9" i="9"/>
  <c r="K9" i="9" s="1"/>
  <c r="J9" i="14"/>
  <c r="J9" i="4"/>
  <c r="P9" i="9"/>
  <c r="P9" i="14"/>
  <c r="J8" i="12"/>
  <c r="K8" i="12" s="1"/>
  <c r="J8" i="4"/>
  <c r="J8" i="9"/>
  <c r="J5" i="14"/>
  <c r="J8" i="14"/>
  <c r="J9" i="12"/>
  <c r="I6" i="12"/>
  <c r="H7" i="14"/>
  <c r="I7" i="14" s="1"/>
  <c r="N7" i="14"/>
  <c r="O7" i="14" s="1"/>
  <c r="N7" i="9"/>
  <c r="O7" i="9" s="1"/>
  <c r="P9" i="4"/>
  <c r="Q9" i="4" s="1"/>
  <c r="P8" i="4"/>
  <c r="H7" i="4"/>
  <c r="I7" i="4" s="1"/>
  <c r="I6" i="15"/>
  <c r="I6" i="11"/>
  <c r="I6" i="7"/>
  <c r="I6" i="6"/>
  <c r="K8" i="4" l="1"/>
  <c r="K8" i="7"/>
  <c r="K5" i="7"/>
  <c r="K9" i="6"/>
  <c r="K8" i="15"/>
  <c r="K5" i="15"/>
  <c r="K9" i="4"/>
  <c r="Q5" i="4"/>
  <c r="K9" i="7"/>
  <c r="K8" i="14"/>
  <c r="K9" i="14"/>
  <c r="Q8" i="4"/>
  <c r="K5" i="14"/>
  <c r="Q9" i="14"/>
  <c r="K5" i="9"/>
  <c r="K5" i="4"/>
  <c r="K8" i="11"/>
  <c r="K8" i="6"/>
  <c r="J13" i="6"/>
  <c r="I12" i="6"/>
  <c r="J12" i="6" s="1"/>
  <c r="K12" i="6" s="1"/>
  <c r="H13" i="13"/>
  <c r="H12" i="13"/>
  <c r="I13" i="13"/>
  <c r="J13" i="13" s="1"/>
  <c r="I12" i="13"/>
  <c r="J12" i="13" s="1"/>
  <c r="K8" i="9"/>
  <c r="Q9" i="9"/>
  <c r="K9" i="11"/>
  <c r="K5" i="12"/>
  <c r="K9" i="12"/>
  <c r="K5" i="11"/>
  <c r="K9" i="15"/>
</calcChain>
</file>

<file path=xl/sharedStrings.xml><?xml version="1.0" encoding="utf-8"?>
<sst xmlns="http://schemas.openxmlformats.org/spreadsheetml/2006/main" count="304" uniqueCount="54">
  <si>
    <t>Måleobjekt</t>
  </si>
  <si>
    <t>Tom kop</t>
  </si>
  <si>
    <t>positiv peak-værdi (mV)</t>
  </si>
  <si>
    <t>negativ peak-værdi (mV)</t>
  </si>
  <si>
    <t>TIA feedback modstand (kOhm)</t>
  </si>
  <si>
    <t>Kop med bold (uden væske)</t>
  </si>
  <si>
    <t>kop med 110ml vand</t>
  </si>
  <si>
    <t>kop med bold i 110ml vand</t>
  </si>
  <si>
    <t>kop med 220ml vand</t>
  </si>
  <si>
    <t>kop med bold i 220ml vand</t>
  </si>
  <si>
    <t>Kop med 110ml øl med skum</t>
  </si>
  <si>
    <t>ingen synlig ændring</t>
  </si>
  <si>
    <t>Kop med 110ml øl uden skum</t>
  </si>
  <si>
    <t>Kop med bold i  110ml øl med skum</t>
  </si>
  <si>
    <t>Kop med bold i 110ml øl uden skum</t>
  </si>
  <si>
    <t>går næsten i mætning</t>
  </si>
  <si>
    <t>kop med 220ml øl med skum</t>
  </si>
  <si>
    <t>muligvis for lille forstærkning</t>
  </si>
  <si>
    <t>kop med bold i 220ml øl med skum</t>
  </si>
  <si>
    <t>kop med 220ml øl uden skum</t>
  </si>
  <si>
    <t xml:space="preserve">kop med bold i 220ml øl uden skum </t>
  </si>
  <si>
    <t>VDAC p-p</t>
  </si>
  <si>
    <t>mV</t>
  </si>
  <si>
    <t>VDAC average spænding ved V_sample[0]&gt;&gt;7</t>
  </si>
  <si>
    <t>VDAC AC RMS</t>
  </si>
  <si>
    <t>måling nr</t>
  </si>
  <si>
    <t>VDAC peak ved V_sample[0]&gt;&gt;7</t>
  </si>
  <si>
    <t>VDAC negativ peak efter drop ved V_sample[0]&gt;&gt;7</t>
  </si>
  <si>
    <t>slut værdi</t>
  </si>
  <si>
    <t>placering VDAC peak ved V_sample[0]&gt;&gt;7</t>
  </si>
  <si>
    <t>fjernelse peak</t>
  </si>
  <si>
    <t>Varians</t>
  </si>
  <si>
    <t>Middelværdi</t>
  </si>
  <si>
    <t>Standardafvigelse</t>
  </si>
  <si>
    <t>spænding</t>
  </si>
  <si>
    <t>counts</t>
  </si>
  <si>
    <t>countsize</t>
  </si>
  <si>
    <t>Maks</t>
  </si>
  <si>
    <t>Maks (maks af middel plus havldelen af maks af p-p)</t>
  </si>
  <si>
    <t>min  (min af middel minus havldelen af maks af p-p)</t>
  </si>
  <si>
    <t>min</t>
  </si>
  <si>
    <t>relative to baseline</t>
  </si>
  <si>
    <t>relative to placed mean</t>
  </si>
  <si>
    <t>relative change</t>
  </si>
  <si>
    <t>Placering af kop</t>
  </si>
  <si>
    <t>Fjernelse af kop</t>
  </si>
  <si>
    <t xml:space="preserve">min </t>
  </si>
  <si>
    <t>præcision (95% konfidensniveau)</t>
  </si>
  <si>
    <t>lower threshold</t>
  </si>
  <si>
    <t>upper limit</t>
  </si>
  <si>
    <t xml:space="preserve"> </t>
  </si>
  <si>
    <t>counts peak</t>
  </si>
  <si>
    <t>counts place</t>
  </si>
  <si>
    <t>counts removing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</si>
</sst>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060CE19-D182-4B78-9BC1-B7D618893F2A}"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D23D95F-CC24-4AA8-A8C6-CE3894614C21}"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15</xdr:row>
      <xdr:rowOff>43815</xdr:rowOff>
    </xdr:from>
    <xdr:to>
      <xdr:col>11</xdr:col>
      <xdr:colOff>533400</xdr:colOff>
      <xdr:row>30</xdr:row>
      <xdr:rowOff>43815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55842A6E-9C8A-47DC-B5A6-8C1CC3DA8D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52875" y="2758440"/>
              <a:ext cx="4562475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Dette diagram er ikke tilgængeligt i din version af Excel.
Hvis du redigerer denne figur eller gemmer projektmappen i et andet filformat, bliver diagrammet permanent ødelagt.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1554480</xdr:colOff>
      <xdr:row>14</xdr:row>
      <xdr:rowOff>26670</xdr:rowOff>
    </xdr:from>
    <xdr:to>
      <xdr:col>14</xdr:col>
      <xdr:colOff>53340</xdr:colOff>
      <xdr:row>29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F9D4C339-5BDA-4428-8372-9E761404B2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0175" y="2558415"/>
              <a:ext cx="4581525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Dette diagram er ikke tilgængeligt i din version af Excel.
Hvis du redigerer denne figur eller gemmer projektmappen i et andet filformat, bliver diagrammet permanent ødelagt.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topLeftCell="A4" workbookViewId="0">
      <selection activeCell="I14" sqref="I14:I18"/>
    </sheetView>
  </sheetViews>
  <sheetFormatPr defaultRowHeight="14.4" x14ac:dyDescent="0.3"/>
  <cols>
    <col min="1" max="1" width="36.21875" customWidth="1"/>
    <col min="2" max="2" width="10.33203125" customWidth="1"/>
    <col min="3" max="3" width="11.33203125" customWidth="1"/>
    <col min="4" max="4" width="13.88671875" customWidth="1"/>
  </cols>
  <sheetData>
    <row r="1" spans="1:9" x14ac:dyDescent="0.3">
      <c r="A1" t="s">
        <v>0</v>
      </c>
      <c r="B1" t="s">
        <v>4</v>
      </c>
      <c r="C1" t="s">
        <v>2</v>
      </c>
      <c r="D1" t="s">
        <v>3</v>
      </c>
    </row>
    <row r="2" spans="1:9" x14ac:dyDescent="0.3">
      <c r="A2" t="s">
        <v>1</v>
      </c>
      <c r="B2">
        <v>80</v>
      </c>
      <c r="C2">
        <v>1174</v>
      </c>
      <c r="D2">
        <v>1004</v>
      </c>
    </row>
    <row r="3" spans="1:9" x14ac:dyDescent="0.3">
      <c r="A3" t="s">
        <v>5</v>
      </c>
      <c r="B3">
        <v>40</v>
      </c>
      <c r="C3">
        <v>1124</v>
      </c>
      <c r="D3">
        <v>966</v>
      </c>
    </row>
    <row r="4" spans="1:9" x14ac:dyDescent="0.3">
      <c r="A4" t="s">
        <v>6</v>
      </c>
      <c r="B4">
        <v>80</v>
      </c>
      <c r="C4">
        <v>814</v>
      </c>
      <c r="D4">
        <v>757</v>
      </c>
    </row>
    <row r="5" spans="1:9" x14ac:dyDescent="0.3">
      <c r="A5" t="s">
        <v>7</v>
      </c>
      <c r="B5">
        <v>80</v>
      </c>
      <c r="C5">
        <v>1264</v>
      </c>
      <c r="D5">
        <v>1058</v>
      </c>
    </row>
    <row r="6" spans="1:9" x14ac:dyDescent="0.3">
      <c r="A6" t="s">
        <v>8</v>
      </c>
      <c r="B6">
        <v>80</v>
      </c>
      <c r="C6">
        <v>763</v>
      </c>
      <c r="D6">
        <v>720</v>
      </c>
    </row>
    <row r="7" spans="1:9" x14ac:dyDescent="0.3">
      <c r="A7" t="s">
        <v>9</v>
      </c>
      <c r="B7">
        <v>80</v>
      </c>
      <c r="C7">
        <v>801</v>
      </c>
      <c r="D7">
        <v>751</v>
      </c>
    </row>
    <row r="8" spans="1:9" x14ac:dyDescent="0.3">
      <c r="A8" t="s">
        <v>10</v>
      </c>
      <c r="B8">
        <v>40</v>
      </c>
      <c r="C8">
        <v>663</v>
      </c>
      <c r="D8">
        <v>613</v>
      </c>
    </row>
    <row r="9" spans="1:9" x14ac:dyDescent="0.3">
      <c r="A9" t="s">
        <v>13</v>
      </c>
      <c r="B9">
        <v>40</v>
      </c>
      <c r="C9">
        <v>663</v>
      </c>
      <c r="D9">
        <v>613</v>
      </c>
      <c r="E9" t="s">
        <v>11</v>
      </c>
    </row>
    <row r="10" spans="1:9" x14ac:dyDescent="0.3">
      <c r="A10" t="s">
        <v>10</v>
      </c>
      <c r="B10">
        <v>80</v>
      </c>
      <c r="C10">
        <v>1054</v>
      </c>
      <c r="D10">
        <v>936</v>
      </c>
    </row>
    <row r="11" spans="1:9" x14ac:dyDescent="0.3">
      <c r="A11" t="s">
        <v>10</v>
      </c>
      <c r="B11">
        <v>80</v>
      </c>
      <c r="C11">
        <v>1054</v>
      </c>
      <c r="D11">
        <v>936</v>
      </c>
      <c r="E11" t="s">
        <v>11</v>
      </c>
    </row>
    <row r="12" spans="1:9" x14ac:dyDescent="0.3">
      <c r="A12" t="s">
        <v>12</v>
      </c>
      <c r="B12">
        <v>80</v>
      </c>
      <c r="C12">
        <v>826</v>
      </c>
      <c r="D12">
        <v>813</v>
      </c>
    </row>
    <row r="13" spans="1:9" x14ac:dyDescent="0.3">
      <c r="A13" t="s">
        <v>14</v>
      </c>
      <c r="B13">
        <v>80</v>
      </c>
      <c r="C13">
        <v>1183</v>
      </c>
      <c r="D13">
        <v>989</v>
      </c>
      <c r="E13" t="s">
        <v>15</v>
      </c>
      <c r="I13">
        <f>C13+D13</f>
        <v>2172</v>
      </c>
    </row>
    <row r="14" spans="1:9" x14ac:dyDescent="0.3">
      <c r="A14" t="s">
        <v>16</v>
      </c>
      <c r="B14">
        <v>40</v>
      </c>
      <c r="C14">
        <v>457</v>
      </c>
      <c r="D14">
        <v>476</v>
      </c>
      <c r="E14" t="s">
        <v>17</v>
      </c>
    </row>
    <row r="15" spans="1:9" x14ac:dyDescent="0.3">
      <c r="A15" t="s">
        <v>16</v>
      </c>
      <c r="B15">
        <v>80</v>
      </c>
      <c r="C15">
        <v>919</v>
      </c>
      <c r="D15">
        <v>832</v>
      </c>
    </row>
    <row r="16" spans="1:9" x14ac:dyDescent="0.3">
      <c r="A16" t="s">
        <v>18</v>
      </c>
      <c r="B16">
        <v>80</v>
      </c>
      <c r="C16">
        <v>919</v>
      </c>
      <c r="D16">
        <v>832</v>
      </c>
      <c r="E16" t="s">
        <v>11</v>
      </c>
    </row>
    <row r="17" spans="1:4" x14ac:dyDescent="0.3">
      <c r="A17" t="s">
        <v>19</v>
      </c>
      <c r="B17">
        <v>80</v>
      </c>
      <c r="C17">
        <v>707</v>
      </c>
      <c r="D17">
        <v>688</v>
      </c>
    </row>
    <row r="18" spans="1:4" x14ac:dyDescent="0.3">
      <c r="A18" t="s">
        <v>20</v>
      </c>
      <c r="B18">
        <v>80</v>
      </c>
      <c r="C18">
        <v>882</v>
      </c>
      <c r="D18">
        <v>770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38B6-860B-4167-B014-417C8B880B20}">
  <dimension ref="A1:K12"/>
  <sheetViews>
    <sheetView workbookViewId="0">
      <selection activeCell="E3" sqref="E3"/>
    </sheetView>
  </sheetViews>
  <sheetFormatPr defaultRowHeight="14.4" x14ac:dyDescent="0.3"/>
  <sheetData>
    <row r="1" spans="1:11" x14ac:dyDescent="0.3">
      <c r="A1" t="s">
        <v>25</v>
      </c>
      <c r="B1" t="s">
        <v>26</v>
      </c>
      <c r="C1" t="s">
        <v>28</v>
      </c>
      <c r="D1" t="s">
        <v>27</v>
      </c>
      <c r="E1" t="s">
        <v>51</v>
      </c>
    </row>
    <row r="2" spans="1:11" x14ac:dyDescent="0.3">
      <c r="B2" t="s">
        <v>22</v>
      </c>
      <c r="C2" t="s">
        <v>22</v>
      </c>
      <c r="D2" t="s">
        <v>22</v>
      </c>
      <c r="G2" t="s">
        <v>36</v>
      </c>
      <c r="H2">
        <v>16</v>
      </c>
      <c r="I2" t="s">
        <v>22</v>
      </c>
    </row>
    <row r="3" spans="1:11" x14ac:dyDescent="0.3">
      <c r="A3">
        <v>1</v>
      </c>
      <c r="B3">
        <v>1721</v>
      </c>
      <c r="C3">
        <v>995</v>
      </c>
      <c r="D3">
        <v>970</v>
      </c>
      <c r="E3">
        <f>ROUND(B3/16,0) - Baseline!$J$5</f>
        <v>79</v>
      </c>
    </row>
    <row r="4" spans="1:11" x14ac:dyDescent="0.3">
      <c r="A4">
        <v>2</v>
      </c>
      <c r="B4">
        <v>1940</v>
      </c>
      <c r="C4">
        <v>1114</v>
      </c>
      <c r="D4">
        <v>945</v>
      </c>
      <c r="E4">
        <f>ROUND(B4/16,0) - Baseline!$J$5</f>
        <v>92</v>
      </c>
      <c r="H4" t="s">
        <v>34</v>
      </c>
      <c r="I4" t="s">
        <v>35</v>
      </c>
      <c r="J4" t="s">
        <v>41</v>
      </c>
      <c r="K4" t="s">
        <v>43</v>
      </c>
    </row>
    <row r="5" spans="1:11" x14ac:dyDescent="0.3">
      <c r="A5">
        <v>3</v>
      </c>
      <c r="B5">
        <v>1708</v>
      </c>
      <c r="C5">
        <v>1101</v>
      </c>
      <c r="D5">
        <v>1063</v>
      </c>
      <c r="E5">
        <f>ROUND(B5/16,0) - Baseline!$J$5</f>
        <v>78</v>
      </c>
      <c r="G5" t="s">
        <v>32</v>
      </c>
      <c r="H5">
        <f>AVERAGE(B3:B12)</f>
        <v>1813</v>
      </c>
      <c r="I5">
        <f>ROUND(H5/H2,0)</f>
        <v>113</v>
      </c>
      <c r="J5">
        <f>I5-Baseline!$J$5</f>
        <v>84</v>
      </c>
      <c r="K5">
        <f>J5/'110ml øl'!$J$5</f>
        <v>3.5</v>
      </c>
    </row>
    <row r="6" spans="1:11" x14ac:dyDescent="0.3">
      <c r="A6">
        <v>4</v>
      </c>
      <c r="B6">
        <v>2096</v>
      </c>
      <c r="C6">
        <v>901</v>
      </c>
      <c r="D6">
        <v>1076</v>
      </c>
      <c r="E6">
        <f>ROUND(B6/16,0) - Baseline!$J$5</f>
        <v>102</v>
      </c>
      <c r="G6" t="s">
        <v>31</v>
      </c>
      <c r="H6">
        <f>_xlfn.VAR.S(B3:B12)</f>
        <v>78604.444444444438</v>
      </c>
      <c r="I6">
        <f>ROUNDUP(H6/H2,0)</f>
        <v>4913</v>
      </c>
    </row>
    <row r="7" spans="1:11" x14ac:dyDescent="0.3">
      <c r="A7">
        <v>5</v>
      </c>
      <c r="B7">
        <v>1420</v>
      </c>
      <c r="C7">
        <v>1057</v>
      </c>
      <c r="D7">
        <v>988</v>
      </c>
      <c r="E7">
        <f>ROUND(B7/16,0) - Baseline!$J$5</f>
        <v>60</v>
      </c>
      <c r="G7" t="s">
        <v>33</v>
      </c>
      <c r="H7">
        <f>SQRT(H6)</f>
        <v>280.36484166964379</v>
      </c>
      <c r="I7">
        <f>ROUNDUP(H7/SQRT(H2),0)</f>
        <v>71</v>
      </c>
    </row>
    <row r="8" spans="1:11" x14ac:dyDescent="0.3">
      <c r="A8">
        <v>6</v>
      </c>
      <c r="B8">
        <v>1664</v>
      </c>
      <c r="C8">
        <v>1038</v>
      </c>
      <c r="D8">
        <v>932</v>
      </c>
      <c r="E8">
        <f>ROUND(B8/16,0) - Baseline!$J$5</f>
        <v>75</v>
      </c>
      <c r="G8" t="s">
        <v>37</v>
      </c>
      <c r="H8">
        <f>MAX(B3:B12)</f>
        <v>2157</v>
      </c>
      <c r="I8">
        <f>ROUNDUP(H8/H2,0)</f>
        <v>135</v>
      </c>
      <c r="J8">
        <f>I8-Baseline!$J$5</f>
        <v>106</v>
      </c>
      <c r="K8">
        <f>J8/'110ml øl'!$J$5</f>
        <v>4.416666666666667</v>
      </c>
    </row>
    <row r="9" spans="1:11" x14ac:dyDescent="0.3">
      <c r="A9">
        <v>7</v>
      </c>
      <c r="B9">
        <v>2052</v>
      </c>
      <c r="C9">
        <v>1201</v>
      </c>
      <c r="D9">
        <v>1051</v>
      </c>
      <c r="E9">
        <f>ROUND(B9/16,0) - Baseline!$J$5</f>
        <v>99</v>
      </c>
      <c r="G9" t="s">
        <v>40</v>
      </c>
      <c r="H9">
        <f>MIN(B3:B12)</f>
        <v>1364</v>
      </c>
      <c r="I9">
        <f>ROUNDUP(H9/H2,0)</f>
        <v>86</v>
      </c>
      <c r="J9">
        <f>I9-Baseline!$J$5</f>
        <v>57</v>
      </c>
      <c r="K9">
        <f>J9/'110ml øl'!$J$5</f>
        <v>2.375</v>
      </c>
    </row>
    <row r="10" spans="1:11" x14ac:dyDescent="0.3">
      <c r="A10">
        <v>8</v>
      </c>
      <c r="B10">
        <v>1364</v>
      </c>
      <c r="C10">
        <v>1020</v>
      </c>
      <c r="D10">
        <v>932</v>
      </c>
      <c r="E10">
        <f>ROUND(B10/16,0) - Baseline!$J$5</f>
        <v>56</v>
      </c>
    </row>
    <row r="11" spans="1:11" x14ac:dyDescent="0.3">
      <c r="A11">
        <v>9</v>
      </c>
      <c r="B11">
        <v>2008</v>
      </c>
      <c r="C11">
        <v>1264</v>
      </c>
      <c r="D11">
        <v>1201</v>
      </c>
      <c r="E11">
        <f>ROUND(B11/16,0) - Baseline!$J$5</f>
        <v>97</v>
      </c>
    </row>
    <row r="12" spans="1:11" x14ac:dyDescent="0.3">
      <c r="A12">
        <v>10</v>
      </c>
      <c r="B12">
        <v>2157</v>
      </c>
      <c r="C12">
        <v>1126</v>
      </c>
      <c r="D12">
        <v>938</v>
      </c>
      <c r="E12">
        <f>ROUND(B12/16,0) - Baseline!$J$5</f>
        <v>106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9B29-0B44-4C05-A0BD-DC40B6196710}">
  <dimension ref="A1:K9"/>
  <sheetViews>
    <sheetView workbookViewId="0">
      <selection activeCell="R14" sqref="R14"/>
    </sheetView>
  </sheetViews>
  <sheetFormatPr defaultRowHeight="14.4" x14ac:dyDescent="0.3"/>
  <sheetData>
    <row r="1" spans="1:11" x14ac:dyDescent="0.3">
      <c r="A1" t="s">
        <v>25</v>
      </c>
      <c r="B1" t="s">
        <v>26</v>
      </c>
      <c r="C1" t="s">
        <v>28</v>
      </c>
      <c r="D1" t="s">
        <v>27</v>
      </c>
    </row>
    <row r="2" spans="1:11" x14ac:dyDescent="0.3">
      <c r="B2" t="s">
        <v>22</v>
      </c>
      <c r="C2" t="s">
        <v>22</v>
      </c>
      <c r="D2" t="s">
        <v>22</v>
      </c>
      <c r="G2" t="s">
        <v>36</v>
      </c>
      <c r="H2">
        <v>16</v>
      </c>
      <c r="I2" t="s">
        <v>22</v>
      </c>
    </row>
    <row r="3" spans="1:11" x14ac:dyDescent="0.3">
      <c r="A3">
        <v>1</v>
      </c>
      <c r="B3">
        <v>1195</v>
      </c>
      <c r="C3">
        <v>1187</v>
      </c>
      <c r="D3">
        <v>963</v>
      </c>
    </row>
    <row r="4" spans="1:11" x14ac:dyDescent="0.3">
      <c r="A4">
        <v>2</v>
      </c>
      <c r="B4">
        <v>1333</v>
      </c>
      <c r="C4">
        <v>1214</v>
      </c>
      <c r="D4">
        <v>1176</v>
      </c>
      <c r="H4" t="s">
        <v>34</v>
      </c>
      <c r="I4" t="s">
        <v>35</v>
      </c>
      <c r="J4" t="s">
        <v>41</v>
      </c>
      <c r="K4" t="s">
        <v>43</v>
      </c>
    </row>
    <row r="5" spans="1:11" x14ac:dyDescent="0.3">
      <c r="A5">
        <v>3</v>
      </c>
      <c r="B5">
        <v>2008</v>
      </c>
      <c r="C5">
        <v>1257</v>
      </c>
      <c r="D5">
        <v>1176</v>
      </c>
      <c r="G5" t="s">
        <v>32</v>
      </c>
      <c r="H5">
        <f>AVERAGE(B3:B7)</f>
        <v>1460.2</v>
      </c>
      <c r="I5">
        <f>ROUNDUP(H5/H2,0)</f>
        <v>92</v>
      </c>
      <c r="J5">
        <f>I5-Baseline!$J$5</f>
        <v>63</v>
      </c>
      <c r="K5">
        <f>J5/'110ml øl'!$J$5</f>
        <v>2.625</v>
      </c>
    </row>
    <row r="6" spans="1:11" x14ac:dyDescent="0.3">
      <c r="A6">
        <v>4</v>
      </c>
      <c r="B6">
        <v>1226</v>
      </c>
      <c r="C6">
        <v>1157</v>
      </c>
      <c r="D6">
        <v>1057</v>
      </c>
      <c r="G6" t="s">
        <v>31</v>
      </c>
      <c r="H6">
        <f>_xlfn.VAR.S(B3:B7)</f>
        <v>111913.70000000019</v>
      </c>
      <c r="I6">
        <f>ROUNDUP(H6/H2,0)</f>
        <v>6995</v>
      </c>
    </row>
    <row r="7" spans="1:11" x14ac:dyDescent="0.3">
      <c r="A7">
        <v>5</v>
      </c>
      <c r="B7">
        <v>1539</v>
      </c>
      <c r="C7">
        <v>1038</v>
      </c>
      <c r="D7">
        <v>920</v>
      </c>
      <c r="G7" t="s">
        <v>33</v>
      </c>
      <c r="H7">
        <f>SQRT(H6)</f>
        <v>334.5350504805142</v>
      </c>
      <c r="I7">
        <f>ROUNDUP(H7/SQRT(H2),0)</f>
        <v>84</v>
      </c>
    </row>
    <row r="8" spans="1:11" x14ac:dyDescent="0.3">
      <c r="G8" t="s">
        <v>37</v>
      </c>
      <c r="H8">
        <f>MAX(B3:B7)</f>
        <v>2008</v>
      </c>
      <c r="I8">
        <f>ROUNDUP(H8/H2,0)</f>
        <v>126</v>
      </c>
      <c r="J8">
        <f>I8-Baseline!$J$5</f>
        <v>97</v>
      </c>
      <c r="K8">
        <f>J8/'110ml øl'!$J$5</f>
        <v>4.041666666666667</v>
      </c>
    </row>
    <row r="9" spans="1:11" x14ac:dyDescent="0.3">
      <c r="G9" t="s">
        <v>40</v>
      </c>
      <c r="H9">
        <f>MIN(B3:B7)</f>
        <v>1195</v>
      </c>
      <c r="I9">
        <f>ROUNDUP(H9/H2,0)</f>
        <v>75</v>
      </c>
      <c r="J9">
        <f>I9-Baseline!$J$5</f>
        <v>46</v>
      </c>
      <c r="K9">
        <f>J9/'110ml øl'!$J$5</f>
        <v>1.9166666666666667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45C8-F946-47D2-AFD2-27DB4BDE30AC}">
  <dimension ref="A1:J13"/>
  <sheetViews>
    <sheetView workbookViewId="0">
      <selection activeCell="I5" sqref="I5"/>
    </sheetView>
  </sheetViews>
  <sheetFormatPr defaultRowHeight="14.4" x14ac:dyDescent="0.3"/>
  <cols>
    <col min="7" max="7" width="26.33203125" customWidth="1"/>
  </cols>
  <sheetData>
    <row r="1" spans="1:10" x14ac:dyDescent="0.3">
      <c r="A1" t="s">
        <v>25</v>
      </c>
      <c r="B1" t="s">
        <v>23</v>
      </c>
      <c r="C1" t="s">
        <v>21</v>
      </c>
      <c r="D1" t="s">
        <v>24</v>
      </c>
      <c r="E1" t="s">
        <v>35</v>
      </c>
    </row>
    <row r="2" spans="1:10" x14ac:dyDescent="0.3">
      <c r="B2" t="s">
        <v>22</v>
      </c>
      <c r="C2" t="s">
        <v>22</v>
      </c>
      <c r="D2" t="s">
        <v>22</v>
      </c>
      <c r="G2" t="s">
        <v>36</v>
      </c>
      <c r="H2">
        <v>16</v>
      </c>
      <c r="I2" t="s">
        <v>22</v>
      </c>
    </row>
    <row r="3" spans="1:10" x14ac:dyDescent="0.3">
      <c r="A3">
        <v>1</v>
      </c>
      <c r="B3">
        <v>778</v>
      </c>
      <c r="C3">
        <v>58</v>
      </c>
      <c r="D3">
        <v>9</v>
      </c>
      <c r="E3">
        <f>ROUND(B3/16,0) - Baseline!$J$5</f>
        <v>20</v>
      </c>
    </row>
    <row r="4" spans="1:10" x14ac:dyDescent="0.3">
      <c r="A4">
        <v>2</v>
      </c>
      <c r="B4">
        <v>807</v>
      </c>
      <c r="C4">
        <v>31</v>
      </c>
      <c r="D4">
        <v>6</v>
      </c>
      <c r="E4">
        <f>ROUND(B4/16,0) - Baseline!$J$5</f>
        <v>21</v>
      </c>
      <c r="H4" t="s">
        <v>34</v>
      </c>
      <c r="I4" t="s">
        <v>35</v>
      </c>
      <c r="J4" t="s">
        <v>41</v>
      </c>
    </row>
    <row r="5" spans="1:10" x14ac:dyDescent="0.3">
      <c r="A5">
        <v>3</v>
      </c>
      <c r="B5">
        <v>794</v>
      </c>
      <c r="C5">
        <v>44</v>
      </c>
      <c r="D5">
        <v>7</v>
      </c>
      <c r="E5">
        <f>ROUND(B5/16,0) - Baseline!$J$5</f>
        <v>21</v>
      </c>
      <c r="G5" t="s">
        <v>32</v>
      </c>
      <c r="H5">
        <f>AVERAGE(B3:B12)</f>
        <v>812</v>
      </c>
      <c r="I5">
        <f>ROUND(H5/H2,0)</f>
        <v>51</v>
      </c>
      <c r="J5">
        <f>'130ml øl'!I5-Baseline!$J$5</f>
        <v>22</v>
      </c>
    </row>
    <row r="6" spans="1:10" x14ac:dyDescent="0.3">
      <c r="A6">
        <v>4</v>
      </c>
      <c r="B6">
        <v>799</v>
      </c>
      <c r="C6">
        <v>73</v>
      </c>
      <c r="D6">
        <v>11</v>
      </c>
      <c r="E6">
        <f>ROUND(B6/16,0) - Baseline!$J$5</f>
        <v>21</v>
      </c>
      <c r="G6" t="s">
        <v>31</v>
      </c>
      <c r="H6">
        <f>_xlfn.VAR.S(B3:B12)</f>
        <v>425.77777777777777</v>
      </c>
      <c r="I6">
        <f>ROUNDUP(H6/H2,0)</f>
        <v>27</v>
      </c>
    </row>
    <row r="7" spans="1:10" x14ac:dyDescent="0.3">
      <c r="A7">
        <v>5</v>
      </c>
      <c r="B7">
        <v>811</v>
      </c>
      <c r="C7">
        <v>44</v>
      </c>
      <c r="D7">
        <v>9</v>
      </c>
      <c r="E7">
        <f>ROUND(B7/16,0) - Baseline!$J$5</f>
        <v>22</v>
      </c>
      <c r="G7" t="s">
        <v>33</v>
      </c>
      <c r="H7">
        <f>SQRT(H6)</f>
        <v>20.634383387389548</v>
      </c>
      <c r="I7">
        <f>ROUNDUP(H7/SQRT(H2),0)</f>
        <v>6</v>
      </c>
    </row>
    <row r="8" spans="1:10" x14ac:dyDescent="0.3">
      <c r="A8">
        <v>6</v>
      </c>
      <c r="B8">
        <v>816</v>
      </c>
      <c r="C8">
        <v>58</v>
      </c>
      <c r="D8">
        <v>10</v>
      </c>
      <c r="E8">
        <f>ROUND(B8/16,0) - Baseline!$J$5</f>
        <v>22</v>
      </c>
      <c r="G8" t="s">
        <v>38</v>
      </c>
      <c r="H8">
        <f>MAX(B3:B12)+MAX(C3:C12)/2</f>
        <v>884.5</v>
      </c>
      <c r="I8">
        <f>ROUNDUP(H8/H2,0)</f>
        <v>56</v>
      </c>
      <c r="J8">
        <f>'130ml øl'!I8-Baseline!$J$5</f>
        <v>27</v>
      </c>
    </row>
    <row r="9" spans="1:10" x14ac:dyDescent="0.3">
      <c r="A9">
        <v>7</v>
      </c>
      <c r="B9">
        <v>814</v>
      </c>
      <c r="C9">
        <v>45</v>
      </c>
      <c r="D9">
        <v>10</v>
      </c>
      <c r="E9">
        <f>ROUND(B9/16,0) - Baseline!$J$5</f>
        <v>22</v>
      </c>
      <c r="G9" t="s">
        <v>39</v>
      </c>
      <c r="H9">
        <f>MIN(B3:B12) - MIN(C3:C12)</f>
        <v>747</v>
      </c>
      <c r="I9">
        <f>ROUNDUP(H9/H2,0)</f>
        <v>47</v>
      </c>
      <c r="J9">
        <f>'130ml øl'!I9-Baseline!$J$5</f>
        <v>18</v>
      </c>
    </row>
    <row r="10" spans="1:10" x14ac:dyDescent="0.3">
      <c r="A10">
        <v>8</v>
      </c>
      <c r="B10">
        <v>812</v>
      </c>
      <c r="C10">
        <v>45</v>
      </c>
      <c r="D10">
        <v>9</v>
      </c>
      <c r="E10">
        <f>ROUND(B10/16,0) - Baseline!$J$5</f>
        <v>22</v>
      </c>
    </row>
    <row r="11" spans="1:10" x14ac:dyDescent="0.3">
      <c r="A11">
        <v>9</v>
      </c>
      <c r="B11">
        <v>841</v>
      </c>
      <c r="C11">
        <v>45</v>
      </c>
      <c r="D11">
        <v>10</v>
      </c>
      <c r="E11">
        <f>ROUND(B11/16,0) - Baseline!$J$5</f>
        <v>24</v>
      </c>
      <c r="G11" t="s">
        <v>47</v>
      </c>
      <c r="H11">
        <f>H7*1.96</f>
        <v>40.443391439283509</v>
      </c>
      <c r="I11">
        <f>ROUNDUP(I7*1.96,0)</f>
        <v>12</v>
      </c>
    </row>
    <row r="12" spans="1:10" x14ac:dyDescent="0.3">
      <c r="A12">
        <v>10</v>
      </c>
      <c r="B12">
        <v>848</v>
      </c>
      <c r="C12">
        <v>45</v>
      </c>
      <c r="D12">
        <v>10</v>
      </c>
      <c r="E12">
        <f>ROUND(B12/16,0) - Baseline!$J$5</f>
        <v>24</v>
      </c>
      <c r="G12" t="s">
        <v>48</v>
      </c>
      <c r="H12">
        <f>H5-H11</f>
        <v>771.55660856071654</v>
      </c>
      <c r="I12">
        <f>I5-I11</f>
        <v>39</v>
      </c>
      <c r="J12">
        <f>I12-Baseline!$J$5</f>
        <v>10</v>
      </c>
    </row>
    <row r="13" spans="1:10" x14ac:dyDescent="0.3">
      <c r="G13" t="s">
        <v>49</v>
      </c>
      <c r="H13">
        <f>H5+H11</f>
        <v>852.44339143928346</v>
      </c>
      <c r="I13">
        <f>I5+I11</f>
        <v>63</v>
      </c>
      <c r="J13">
        <f>I13-Baseline!$J$5</f>
        <v>34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4691-D819-48DC-99D4-4C36A84B2989}">
  <dimension ref="A1:Q13"/>
  <sheetViews>
    <sheetView workbookViewId="0">
      <selection activeCell="E3" sqref="E3"/>
    </sheetView>
  </sheetViews>
  <sheetFormatPr defaultRowHeight="14.4" x14ac:dyDescent="0.3"/>
  <cols>
    <col min="7" max="7" width="15.6640625" customWidth="1"/>
  </cols>
  <sheetData>
    <row r="1" spans="1:17" x14ac:dyDescent="0.3">
      <c r="A1" t="s">
        <v>25</v>
      </c>
      <c r="B1" t="s">
        <v>29</v>
      </c>
      <c r="C1" t="s">
        <v>30</v>
      </c>
      <c r="D1" t="s">
        <v>35</v>
      </c>
      <c r="E1" t="s">
        <v>53</v>
      </c>
    </row>
    <row r="2" spans="1:17" x14ac:dyDescent="0.3">
      <c r="B2" t="s">
        <v>22</v>
      </c>
      <c r="C2" t="s">
        <v>22</v>
      </c>
      <c r="G2" t="s">
        <v>36</v>
      </c>
      <c r="H2">
        <v>16</v>
      </c>
      <c r="I2" t="s">
        <v>22</v>
      </c>
    </row>
    <row r="3" spans="1:17" x14ac:dyDescent="0.3">
      <c r="A3">
        <v>1</v>
      </c>
      <c r="B3">
        <v>1063</v>
      </c>
      <c r="C3">
        <v>995</v>
      </c>
      <c r="D3">
        <f>ROUND(B3/16,0)- Baseline!$J$5</f>
        <v>37</v>
      </c>
      <c r="E3">
        <f>ROUND(C3/16,0)- Baseline!$J$5</f>
        <v>33</v>
      </c>
      <c r="G3" s="1" t="s">
        <v>44</v>
      </c>
      <c r="H3" s="1"/>
      <c r="I3" s="1"/>
      <c r="J3" s="1"/>
      <c r="K3" s="1"/>
      <c r="M3" s="1" t="s">
        <v>45</v>
      </c>
      <c r="N3" s="1"/>
      <c r="O3" s="1"/>
      <c r="P3" s="1"/>
    </row>
    <row r="4" spans="1:17" x14ac:dyDescent="0.3">
      <c r="A4">
        <v>2</v>
      </c>
      <c r="B4">
        <v>1095</v>
      </c>
      <c r="C4">
        <v>982</v>
      </c>
      <c r="D4">
        <f>ROUND(B4/16,0)- Baseline!$J$5</f>
        <v>39</v>
      </c>
      <c r="E4">
        <f>ROUND(C4/16,0)- Baseline!$J$5</f>
        <v>32</v>
      </c>
      <c r="H4" t="s">
        <v>34</v>
      </c>
      <c r="I4" t="s">
        <v>35</v>
      </c>
      <c r="J4" t="s">
        <v>41</v>
      </c>
      <c r="K4" t="s">
        <v>43</v>
      </c>
      <c r="N4" t="s">
        <v>34</v>
      </c>
      <c r="O4" t="s">
        <v>35</v>
      </c>
      <c r="P4" t="s">
        <v>42</v>
      </c>
      <c r="Q4" t="s">
        <v>43</v>
      </c>
    </row>
    <row r="5" spans="1:17" x14ac:dyDescent="0.3">
      <c r="A5">
        <v>3</v>
      </c>
      <c r="B5">
        <v>970</v>
      </c>
      <c r="C5">
        <v>1007</v>
      </c>
      <c r="D5">
        <f>ROUND(B5/16,0)- Baseline!$J$5</f>
        <v>32</v>
      </c>
      <c r="E5">
        <f>ROUND(C5/16,0)- Baseline!$J$5</f>
        <v>34</v>
      </c>
      <c r="G5" t="s">
        <v>32</v>
      </c>
      <c r="H5">
        <f>AVERAGE(B3:B12)</f>
        <v>1007.8</v>
      </c>
      <c r="I5">
        <f>ROUND(H5/H2,0)</f>
        <v>63</v>
      </c>
      <c r="J5">
        <f>I5-Baseline!$J$5</f>
        <v>34</v>
      </c>
      <c r="K5">
        <f>J5/'130ml øl'!$J$5</f>
        <v>1.5454545454545454</v>
      </c>
      <c r="M5" t="s">
        <v>32</v>
      </c>
      <c r="N5">
        <f>AVERAGE(C3:C12)</f>
        <v>993.2</v>
      </c>
      <c r="O5">
        <f>ROUNDUP(N5/H2,0)</f>
        <v>63</v>
      </c>
      <c r="P5">
        <f>O5-Baseline!$J$5</f>
        <v>34</v>
      </c>
      <c r="Q5">
        <f>P5/'130ml øl'!$J$5</f>
        <v>1.5454545454545454</v>
      </c>
    </row>
    <row r="6" spans="1:17" x14ac:dyDescent="0.3">
      <c r="A6">
        <v>4</v>
      </c>
      <c r="B6">
        <v>1020</v>
      </c>
      <c r="C6">
        <v>1007</v>
      </c>
      <c r="D6">
        <f>ROUND(B6/16,0)- Baseline!$J$5</f>
        <v>35</v>
      </c>
      <c r="E6">
        <f>ROUND(C6/16,0)- Baseline!$J$5</f>
        <v>34</v>
      </c>
      <c r="G6" t="s">
        <v>31</v>
      </c>
      <c r="H6">
        <f>_xlfn.VAR.S(B3:B12)</f>
        <v>1718.4000000000003</v>
      </c>
      <c r="I6">
        <f>ROUNDUP(H6/H2,0)</f>
        <v>108</v>
      </c>
      <c r="M6" t="s">
        <v>31</v>
      </c>
      <c r="N6">
        <f>_xlfn.VAR.S(C3:C12)</f>
        <v>943.06666666666672</v>
      </c>
      <c r="O6">
        <f>ROUNDUP(N6/H2,0)</f>
        <v>59</v>
      </c>
    </row>
    <row r="7" spans="1:17" x14ac:dyDescent="0.3">
      <c r="A7">
        <v>5</v>
      </c>
      <c r="B7">
        <v>1007</v>
      </c>
      <c r="C7">
        <v>925</v>
      </c>
      <c r="D7">
        <f>ROUND(B7/16,0)- Baseline!$J$5</f>
        <v>34</v>
      </c>
      <c r="E7">
        <f>ROUND(C7/16,0)- Baseline!$J$5</f>
        <v>29</v>
      </c>
      <c r="G7" t="s">
        <v>33</v>
      </c>
      <c r="H7">
        <f>SQRT(H6)</f>
        <v>41.45358850570117</v>
      </c>
      <c r="I7">
        <f>ROUNDUP(H7/SQRT(H2),0)</f>
        <v>11</v>
      </c>
      <c r="M7" t="s">
        <v>33</v>
      </c>
      <c r="N7">
        <f>SQRT(N6)</f>
        <v>30.709390529065644</v>
      </c>
      <c r="O7">
        <f>ROUNDUP(N7/SQRT(H2),0)</f>
        <v>8</v>
      </c>
    </row>
    <row r="8" spans="1:17" x14ac:dyDescent="0.3">
      <c r="A8">
        <v>6</v>
      </c>
      <c r="B8">
        <v>969</v>
      </c>
      <c r="C8">
        <v>1032</v>
      </c>
      <c r="D8">
        <f>ROUND(B8/16,0)- Baseline!$J$5</f>
        <v>32</v>
      </c>
      <c r="E8">
        <f>ROUND(C8/16,0)- Baseline!$J$5</f>
        <v>36</v>
      </c>
      <c r="G8" t="s">
        <v>37</v>
      </c>
      <c r="H8">
        <f>MAX(B3:B12)</f>
        <v>1095</v>
      </c>
      <c r="I8">
        <f>ROUNDUP(H8/H2,0)</f>
        <v>69</v>
      </c>
      <c r="J8">
        <f>I8-Baseline!$J$5</f>
        <v>40</v>
      </c>
      <c r="K8">
        <f>J8/'130ml øl'!$J$5</f>
        <v>1.8181818181818181</v>
      </c>
      <c r="M8" t="s">
        <v>37</v>
      </c>
      <c r="N8">
        <f>MAX(C3:C12)</f>
        <v>1032</v>
      </c>
      <c r="O8">
        <f>ROUNDUP(N8/H2,0)</f>
        <v>65</v>
      </c>
      <c r="P8">
        <f>O8-Baseline!$J$5</f>
        <v>36</v>
      </c>
      <c r="Q8">
        <f>P8/'130ml øl'!$J$5</f>
        <v>1.6363636363636365</v>
      </c>
    </row>
    <row r="9" spans="1:17" x14ac:dyDescent="0.3">
      <c r="A9">
        <v>7</v>
      </c>
      <c r="B9">
        <v>988</v>
      </c>
      <c r="C9">
        <v>1020</v>
      </c>
      <c r="D9">
        <f>ROUND(B9/16,0)- Baseline!$J$5</f>
        <v>33</v>
      </c>
      <c r="E9">
        <f>ROUND(C9/16,0)- Baseline!$J$5</f>
        <v>35</v>
      </c>
      <c r="G9" t="s">
        <v>46</v>
      </c>
      <c r="H9">
        <f>MIN(B3:B12)</f>
        <v>969</v>
      </c>
      <c r="I9">
        <f>ROUNDUP(H9/H2,0)</f>
        <v>61</v>
      </c>
      <c r="J9">
        <f>I9-Baseline!$J$5</f>
        <v>32</v>
      </c>
      <c r="K9">
        <f>J9/'130ml øl'!$J$5</f>
        <v>1.4545454545454546</v>
      </c>
      <c r="M9" t="s">
        <v>40</v>
      </c>
      <c r="N9">
        <f>MIN(C3:C12)</f>
        <v>925</v>
      </c>
      <c r="O9">
        <f>ROUNDUP(N9/H2,0)</f>
        <v>58</v>
      </c>
      <c r="P9">
        <f>O9-Baseline!$J$5</f>
        <v>29</v>
      </c>
      <c r="Q9">
        <f>P9/'130ml øl'!$J$5</f>
        <v>1.3181818181818181</v>
      </c>
    </row>
    <row r="10" spans="1:17" x14ac:dyDescent="0.3">
      <c r="A10">
        <v>8</v>
      </c>
      <c r="B10">
        <v>995</v>
      </c>
      <c r="C10">
        <v>963</v>
      </c>
      <c r="D10">
        <f>ROUND(B10/16,0)- Baseline!$J$5</f>
        <v>33</v>
      </c>
      <c r="E10">
        <f>ROUND(C10/16,0)- Baseline!$J$5</f>
        <v>31</v>
      </c>
    </row>
    <row r="11" spans="1:17" x14ac:dyDescent="0.3">
      <c r="A11">
        <v>9</v>
      </c>
      <c r="B11">
        <v>995</v>
      </c>
      <c r="C11">
        <v>1007</v>
      </c>
      <c r="D11">
        <f>ROUND(B11/16,0)- Baseline!$J$5</f>
        <v>33</v>
      </c>
      <c r="E11">
        <f>ROUND(C11/16,0)- Baseline!$J$5</f>
        <v>34</v>
      </c>
      <c r="G11" t="s">
        <v>47</v>
      </c>
      <c r="H11">
        <f>H7*1.96</f>
        <v>81.249033471174286</v>
      </c>
      <c r="I11">
        <f>ROUNDUP(I7*1.96,0)</f>
        <v>22</v>
      </c>
    </row>
    <row r="12" spans="1:17" x14ac:dyDescent="0.3">
      <c r="A12">
        <v>10</v>
      </c>
      <c r="B12">
        <v>976</v>
      </c>
      <c r="C12">
        <v>994</v>
      </c>
      <c r="D12">
        <f>ROUND(B12/16,0)- Baseline!$J$5</f>
        <v>32</v>
      </c>
      <c r="E12">
        <f>ROUND(C12/16,0)- Baseline!$J$5</f>
        <v>33</v>
      </c>
      <c r="G12" t="s">
        <v>48</v>
      </c>
      <c r="H12">
        <f>H5-H11</f>
        <v>926.55096652882571</v>
      </c>
      <c r="I12">
        <f>I5-I11</f>
        <v>41</v>
      </c>
      <c r="J12">
        <f>I12-Baseline!$J$5</f>
        <v>12</v>
      </c>
    </row>
    <row r="13" spans="1:17" x14ac:dyDescent="0.3">
      <c r="G13" t="s">
        <v>49</v>
      </c>
      <c r="H13">
        <f>H5+H11</f>
        <v>1089.0490334711742</v>
      </c>
      <c r="I13">
        <f>I5+I11</f>
        <v>85</v>
      </c>
      <c r="J13">
        <f>I13-Baseline!$J$5</f>
        <v>56</v>
      </c>
    </row>
  </sheetData>
  <mergeCells count="2">
    <mergeCell ref="G3:K3"/>
    <mergeCell ref="M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5AAA4-DCE1-4862-86B5-4EC7763D44C9}">
  <dimension ref="A1:K12"/>
  <sheetViews>
    <sheetView workbookViewId="0">
      <selection activeCell="I8" sqref="I8"/>
    </sheetView>
  </sheetViews>
  <sheetFormatPr defaultRowHeight="14.4" x14ac:dyDescent="0.3"/>
  <cols>
    <col min="5" max="6" width="19.6640625" customWidth="1"/>
  </cols>
  <sheetData>
    <row r="1" spans="1:11" x14ac:dyDescent="0.3">
      <c r="A1" t="s">
        <v>25</v>
      </c>
      <c r="B1" t="s">
        <v>26</v>
      </c>
      <c r="C1" t="s">
        <v>28</v>
      </c>
      <c r="D1" t="s">
        <v>27</v>
      </c>
      <c r="E1" t="s">
        <v>51</v>
      </c>
    </row>
    <row r="2" spans="1:11" x14ac:dyDescent="0.3">
      <c r="B2" t="s">
        <v>22</v>
      </c>
      <c r="C2" t="s">
        <v>22</v>
      </c>
      <c r="D2" t="s">
        <v>22</v>
      </c>
      <c r="G2" t="s">
        <v>36</v>
      </c>
      <c r="H2">
        <v>16</v>
      </c>
      <c r="I2" t="s">
        <v>22</v>
      </c>
    </row>
    <row r="3" spans="1:11" x14ac:dyDescent="0.3">
      <c r="A3">
        <v>1</v>
      </c>
      <c r="B3">
        <v>1821</v>
      </c>
      <c r="C3">
        <v>1089</v>
      </c>
      <c r="D3">
        <v>907</v>
      </c>
      <c r="E3">
        <f>ROUND(B3/16,0)- Baseline!$J$5</f>
        <v>85</v>
      </c>
    </row>
    <row r="4" spans="1:11" x14ac:dyDescent="0.3">
      <c r="A4">
        <v>2</v>
      </c>
      <c r="B4">
        <v>2065</v>
      </c>
      <c r="C4">
        <v>1107</v>
      </c>
      <c r="D4">
        <v>799</v>
      </c>
      <c r="E4">
        <f>ROUND(B4/16,0)- Baseline!$J$5</f>
        <v>100</v>
      </c>
      <c r="H4" t="s">
        <v>34</v>
      </c>
      <c r="I4" t="s">
        <v>35</v>
      </c>
      <c r="J4" t="s">
        <v>42</v>
      </c>
      <c r="K4" t="s">
        <v>43</v>
      </c>
    </row>
    <row r="5" spans="1:11" x14ac:dyDescent="0.3">
      <c r="A5">
        <v>3</v>
      </c>
      <c r="B5">
        <v>1483</v>
      </c>
      <c r="C5">
        <v>1145</v>
      </c>
      <c r="D5">
        <v>1095</v>
      </c>
      <c r="E5">
        <f>ROUND(B5/16,0)- Baseline!$J$5</f>
        <v>64</v>
      </c>
      <c r="G5" t="s">
        <v>32</v>
      </c>
      <c r="H5">
        <f>AVERAGE(B3:B12)</f>
        <v>1712.5</v>
      </c>
      <c r="I5">
        <f>ROUND(H5/H2,0)</f>
        <v>107</v>
      </c>
      <c r="J5">
        <f>I5-Baseline!$J$5</f>
        <v>78</v>
      </c>
      <c r="K5">
        <f>J5/'130ml øl'!$J$5</f>
        <v>3.5454545454545454</v>
      </c>
    </row>
    <row r="6" spans="1:11" x14ac:dyDescent="0.3">
      <c r="A6">
        <v>4</v>
      </c>
      <c r="B6">
        <v>2002</v>
      </c>
      <c r="C6">
        <v>1120</v>
      </c>
      <c r="D6">
        <v>957</v>
      </c>
      <c r="E6">
        <f>ROUND(B6/16,0)- Baseline!$J$5</f>
        <v>96</v>
      </c>
      <c r="G6" t="s">
        <v>31</v>
      </c>
      <c r="H6">
        <f>_xlfn.VAR.S(B3:B12)</f>
        <v>82417.833333333328</v>
      </c>
      <c r="I6">
        <f>ROUNDUP(H6/H2,0)</f>
        <v>5152</v>
      </c>
    </row>
    <row r="7" spans="1:11" x14ac:dyDescent="0.3">
      <c r="A7">
        <v>5</v>
      </c>
      <c r="B7">
        <v>2027</v>
      </c>
      <c r="C7">
        <v>1114</v>
      </c>
      <c r="D7">
        <v>913</v>
      </c>
      <c r="E7">
        <f>ROUND(B7/16,0)- Baseline!$J$5</f>
        <v>98</v>
      </c>
      <c r="G7" t="s">
        <v>33</v>
      </c>
      <c r="H7">
        <f>SQRT(H6)</f>
        <v>287.08506288787186</v>
      </c>
      <c r="I7">
        <f>ROUNDUP(H7/SQRT(H2),0)</f>
        <v>72</v>
      </c>
    </row>
    <row r="8" spans="1:11" x14ac:dyDescent="0.3">
      <c r="A8">
        <v>6</v>
      </c>
      <c r="B8">
        <v>1320</v>
      </c>
      <c r="C8">
        <v>1051</v>
      </c>
      <c r="D8">
        <v>1013</v>
      </c>
      <c r="E8">
        <f>ROUND(B8/16,0)- Baseline!$J$5</f>
        <v>54</v>
      </c>
      <c r="G8" t="s">
        <v>37</v>
      </c>
      <c r="H8">
        <f>MAX(B3:B12)</f>
        <v>2065</v>
      </c>
      <c r="I8">
        <f>ROUNDUP(H8/H2,0)</f>
        <v>130</v>
      </c>
      <c r="J8">
        <f>I8-Baseline!$J$5</f>
        <v>101</v>
      </c>
      <c r="K8">
        <f>J8/'130ml øl'!$J$5</f>
        <v>4.5909090909090908</v>
      </c>
    </row>
    <row r="9" spans="1:11" x14ac:dyDescent="0.3">
      <c r="A9">
        <v>7</v>
      </c>
      <c r="B9">
        <v>1771</v>
      </c>
      <c r="C9">
        <v>1095</v>
      </c>
      <c r="D9">
        <v>982</v>
      </c>
      <c r="E9">
        <f>ROUND(B9/16,0)- Baseline!$J$5</f>
        <v>82</v>
      </c>
      <c r="G9" t="s">
        <v>40</v>
      </c>
      <c r="H9">
        <f>MIN(B3:B12)</f>
        <v>1301</v>
      </c>
      <c r="I9">
        <f>ROUNDUP(H9/H2,0)</f>
        <v>82</v>
      </c>
      <c r="J9">
        <f>I9-Baseline!$J$5</f>
        <v>53</v>
      </c>
      <c r="K9">
        <f>J9/'130ml øl'!$J$5</f>
        <v>2.4090909090909092</v>
      </c>
    </row>
    <row r="10" spans="1:11" x14ac:dyDescent="0.3">
      <c r="A10">
        <v>8</v>
      </c>
      <c r="B10">
        <v>1808</v>
      </c>
      <c r="C10">
        <v>1132</v>
      </c>
      <c r="D10">
        <v>1082</v>
      </c>
      <c r="E10">
        <f>ROUND(B10/16,0)- Baseline!$J$5</f>
        <v>84</v>
      </c>
    </row>
    <row r="11" spans="1:11" x14ac:dyDescent="0.3">
      <c r="A11">
        <v>9</v>
      </c>
      <c r="B11">
        <v>1527</v>
      </c>
      <c r="C11">
        <v>1120</v>
      </c>
      <c r="D11">
        <v>1026</v>
      </c>
      <c r="E11">
        <f>ROUND(B11/16,0)- Baseline!$J$5</f>
        <v>66</v>
      </c>
    </row>
    <row r="12" spans="1:11" x14ac:dyDescent="0.3">
      <c r="A12">
        <v>10</v>
      </c>
      <c r="B12">
        <v>1301</v>
      </c>
      <c r="C12">
        <v>1082</v>
      </c>
      <c r="D12">
        <v>1013</v>
      </c>
      <c r="E12">
        <f>ROUND(B12/16,0)- Baseline!$J$5</f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87517-96D9-4D3C-8D22-F5999EA664DD}">
  <dimension ref="A1:J12"/>
  <sheetViews>
    <sheetView workbookViewId="0">
      <selection activeCell="E1" sqref="E1:E12"/>
    </sheetView>
  </sheetViews>
  <sheetFormatPr defaultRowHeight="14.4" x14ac:dyDescent="0.3"/>
  <cols>
    <col min="2" max="2" width="17.109375" customWidth="1"/>
    <col min="4" max="4" width="13.77734375" customWidth="1"/>
    <col min="8" max="8" width="15.6640625" customWidth="1"/>
    <col min="9" max="9" width="12" bestFit="1" customWidth="1"/>
  </cols>
  <sheetData>
    <row r="1" spans="1:10" x14ac:dyDescent="0.3">
      <c r="A1" t="s">
        <v>25</v>
      </c>
      <c r="B1" t="s">
        <v>23</v>
      </c>
      <c r="C1" t="s">
        <v>21</v>
      </c>
      <c r="D1" t="s">
        <v>24</v>
      </c>
      <c r="E1" t="s">
        <v>35</v>
      </c>
    </row>
    <row r="2" spans="1:10" x14ac:dyDescent="0.3">
      <c r="B2" t="s">
        <v>22</v>
      </c>
      <c r="C2" t="s">
        <v>22</v>
      </c>
      <c r="D2" t="s">
        <v>22</v>
      </c>
      <c r="H2" t="s">
        <v>36</v>
      </c>
      <c r="I2">
        <v>16</v>
      </c>
      <c r="J2" t="s">
        <v>22</v>
      </c>
    </row>
    <row r="3" spans="1:10" x14ac:dyDescent="0.3">
      <c r="A3">
        <v>1</v>
      </c>
      <c r="B3">
        <v>482</v>
      </c>
      <c r="C3">
        <v>41</v>
      </c>
      <c r="D3">
        <v>8</v>
      </c>
      <c r="E3">
        <f>ROUND(B3/16,0)</f>
        <v>30</v>
      </c>
    </row>
    <row r="4" spans="1:10" x14ac:dyDescent="0.3">
      <c r="A4">
        <v>2</v>
      </c>
      <c r="B4">
        <v>460</v>
      </c>
      <c r="C4">
        <v>44</v>
      </c>
      <c r="D4">
        <v>10</v>
      </c>
      <c r="E4">
        <f t="shared" ref="E4:E12" si="0">ROUND(B4/16,0)</f>
        <v>29</v>
      </c>
      <c r="I4" t="s">
        <v>34</v>
      </c>
      <c r="J4" t="s">
        <v>35</v>
      </c>
    </row>
    <row r="5" spans="1:10" x14ac:dyDescent="0.3">
      <c r="A5">
        <v>3</v>
      </c>
      <c r="B5">
        <v>463</v>
      </c>
      <c r="C5">
        <v>43</v>
      </c>
      <c r="D5">
        <v>10</v>
      </c>
      <c r="E5">
        <f t="shared" si="0"/>
        <v>29</v>
      </c>
      <c r="H5" t="s">
        <v>32</v>
      </c>
      <c r="I5">
        <f>AVERAGE(B3:B12)</f>
        <v>466.8</v>
      </c>
      <c r="J5">
        <f>ROUND(I5/I2,0)</f>
        <v>29</v>
      </c>
    </row>
    <row r="6" spans="1:10" x14ac:dyDescent="0.3">
      <c r="A6">
        <v>4</v>
      </c>
      <c r="B6">
        <v>464</v>
      </c>
      <c r="C6">
        <v>44</v>
      </c>
      <c r="D6">
        <v>10</v>
      </c>
      <c r="E6">
        <f t="shared" si="0"/>
        <v>29</v>
      </c>
      <c r="H6" t="s">
        <v>31</v>
      </c>
      <c r="I6">
        <f>_xlfn.VAR.S(B3:B12)</f>
        <v>34.40000000000002</v>
      </c>
      <c r="J6">
        <f>ROUNDUP(I6/I2,0)</f>
        <v>3</v>
      </c>
    </row>
    <row r="7" spans="1:10" x14ac:dyDescent="0.3">
      <c r="A7">
        <v>5</v>
      </c>
      <c r="B7">
        <v>464</v>
      </c>
      <c r="C7">
        <v>43</v>
      </c>
      <c r="D7">
        <v>10</v>
      </c>
      <c r="E7">
        <f t="shared" si="0"/>
        <v>29</v>
      </c>
      <c r="H7" t="s">
        <v>33</v>
      </c>
      <c r="I7">
        <f>SQRT(I6)</f>
        <v>5.865151319446074</v>
      </c>
      <c r="J7">
        <f>ROUNDUP(I7/SQRT(I2),0)</f>
        <v>2</v>
      </c>
    </row>
    <row r="8" spans="1:10" x14ac:dyDescent="0.3">
      <c r="A8">
        <v>6</v>
      </c>
      <c r="B8">
        <v>467</v>
      </c>
      <c r="C8">
        <v>43</v>
      </c>
      <c r="D8">
        <v>10</v>
      </c>
      <c r="E8">
        <f t="shared" si="0"/>
        <v>29</v>
      </c>
      <c r="H8" t="s">
        <v>37</v>
      </c>
    </row>
    <row r="9" spans="1:10" x14ac:dyDescent="0.3">
      <c r="A9">
        <v>7</v>
      </c>
      <c r="B9">
        <v>467</v>
      </c>
      <c r="C9">
        <v>44</v>
      </c>
      <c r="D9">
        <v>10</v>
      </c>
      <c r="E9">
        <f t="shared" si="0"/>
        <v>29</v>
      </c>
      <c r="H9" t="s">
        <v>38</v>
      </c>
      <c r="I9">
        <f>MAX(B3:B12)+MAX(C3:C12)/2</f>
        <v>504</v>
      </c>
      <c r="J9">
        <f>ROUNDUP(I9/I2,0)</f>
        <v>32</v>
      </c>
    </row>
    <row r="10" spans="1:10" x14ac:dyDescent="0.3">
      <c r="A10">
        <v>8</v>
      </c>
      <c r="B10">
        <v>467</v>
      </c>
      <c r="C10">
        <v>43</v>
      </c>
      <c r="D10">
        <v>10</v>
      </c>
      <c r="E10">
        <f t="shared" si="0"/>
        <v>29</v>
      </c>
      <c r="H10" t="s">
        <v>39</v>
      </c>
      <c r="I10">
        <f>MIN(B3:B12) - MIN(C3:C12)</f>
        <v>419</v>
      </c>
      <c r="J10">
        <f>ROUNDUP(I10/I2,0)</f>
        <v>27</v>
      </c>
    </row>
    <row r="11" spans="1:10" x14ac:dyDescent="0.3">
      <c r="A11">
        <v>9</v>
      </c>
      <c r="B11">
        <v>468</v>
      </c>
      <c r="C11">
        <v>44</v>
      </c>
      <c r="D11">
        <v>10</v>
      </c>
      <c r="E11">
        <f t="shared" si="0"/>
        <v>29</v>
      </c>
    </row>
    <row r="12" spans="1:10" x14ac:dyDescent="0.3">
      <c r="A12">
        <v>10</v>
      </c>
      <c r="B12">
        <v>466</v>
      </c>
      <c r="C12">
        <v>42</v>
      </c>
      <c r="D12">
        <v>10</v>
      </c>
      <c r="E12">
        <f t="shared" si="0"/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28E51-A5A3-4025-B433-C849398A649B}">
  <dimension ref="A1:J13"/>
  <sheetViews>
    <sheetView workbookViewId="0">
      <selection activeCell="I5" sqref="I5"/>
    </sheetView>
  </sheetViews>
  <sheetFormatPr defaultRowHeight="14.4" x14ac:dyDescent="0.3"/>
  <cols>
    <col min="7" max="7" width="16.44140625" customWidth="1"/>
  </cols>
  <sheetData>
    <row r="1" spans="1:10" x14ac:dyDescent="0.3">
      <c r="A1" t="s">
        <v>25</v>
      </c>
      <c r="B1" t="s">
        <v>23</v>
      </c>
      <c r="C1" t="s">
        <v>21</v>
      </c>
      <c r="D1" t="s">
        <v>24</v>
      </c>
      <c r="E1" t="s">
        <v>35</v>
      </c>
    </row>
    <row r="2" spans="1:10" x14ac:dyDescent="0.3">
      <c r="B2" t="s">
        <v>22</v>
      </c>
      <c r="C2" t="s">
        <v>22</v>
      </c>
      <c r="D2" t="s">
        <v>22</v>
      </c>
      <c r="G2" t="s">
        <v>36</v>
      </c>
      <c r="H2">
        <v>16</v>
      </c>
      <c r="I2" t="s">
        <v>22</v>
      </c>
    </row>
    <row r="3" spans="1:10" x14ac:dyDescent="0.3">
      <c r="A3">
        <v>1</v>
      </c>
      <c r="B3">
        <v>895</v>
      </c>
      <c r="C3">
        <v>71</v>
      </c>
      <c r="D3">
        <v>11</v>
      </c>
      <c r="E3">
        <f>ROUND(B3/16,0)- Baseline!$J$5</f>
        <v>27</v>
      </c>
    </row>
    <row r="4" spans="1:10" x14ac:dyDescent="0.3">
      <c r="A4">
        <v>2</v>
      </c>
      <c r="B4">
        <v>935</v>
      </c>
      <c r="C4">
        <v>28</v>
      </c>
      <c r="D4">
        <v>6</v>
      </c>
      <c r="E4">
        <f>ROUND(B4/16,0)- Baseline!$J$5</f>
        <v>29</v>
      </c>
      <c r="H4" t="s">
        <v>34</v>
      </c>
      <c r="I4" t="s">
        <v>35</v>
      </c>
      <c r="J4" t="s">
        <v>41</v>
      </c>
    </row>
    <row r="5" spans="1:10" x14ac:dyDescent="0.3">
      <c r="A5">
        <v>3</v>
      </c>
      <c r="B5">
        <v>901</v>
      </c>
      <c r="C5">
        <v>29</v>
      </c>
      <c r="D5">
        <v>7</v>
      </c>
      <c r="E5">
        <f>ROUND(B5/16,0)- Baseline!$J$5</f>
        <v>27</v>
      </c>
      <c r="G5" t="s">
        <v>32</v>
      </c>
      <c r="H5">
        <f>AVERAGE(B3:B12)</f>
        <v>917.7</v>
      </c>
      <c r="I5">
        <f>ROUND(H5/H2,0)</f>
        <v>57</v>
      </c>
      <c r="J5">
        <f>'90ml øl'!I5-Baseline!$J$5</f>
        <v>28</v>
      </c>
    </row>
    <row r="6" spans="1:10" x14ac:dyDescent="0.3">
      <c r="A6">
        <v>4</v>
      </c>
      <c r="B6">
        <v>924</v>
      </c>
      <c r="C6">
        <v>44</v>
      </c>
      <c r="D6">
        <v>10</v>
      </c>
      <c r="E6">
        <f>ROUND(B6/16,0)- Baseline!$J$5</f>
        <v>29</v>
      </c>
      <c r="G6" t="s">
        <v>31</v>
      </c>
      <c r="H6">
        <f>_xlfn.VAR.S(B3:B12)</f>
        <v>166.67777777777772</v>
      </c>
      <c r="I6">
        <f>ROUNDUP(H6/H2,0)</f>
        <v>11</v>
      </c>
    </row>
    <row r="7" spans="1:10" x14ac:dyDescent="0.3">
      <c r="A7">
        <v>5</v>
      </c>
      <c r="B7">
        <v>909</v>
      </c>
      <c r="C7">
        <v>45</v>
      </c>
      <c r="D7">
        <v>11</v>
      </c>
      <c r="E7">
        <f>ROUND(B7/16,0)- Baseline!$J$5</f>
        <v>28</v>
      </c>
      <c r="G7" t="s">
        <v>33</v>
      </c>
      <c r="H7">
        <f>SQRT(H6)</f>
        <v>12.910374811669014</v>
      </c>
      <c r="I7">
        <f>ROUNDUP(H7/SQRT(H2),0)</f>
        <v>4</v>
      </c>
    </row>
    <row r="8" spans="1:10" x14ac:dyDescent="0.3">
      <c r="A8">
        <v>6</v>
      </c>
      <c r="B8">
        <v>922</v>
      </c>
      <c r="C8">
        <v>60</v>
      </c>
      <c r="D8">
        <v>9</v>
      </c>
      <c r="E8">
        <f>ROUND(B8/16,0)- Baseline!$J$5</f>
        <v>29</v>
      </c>
      <c r="G8" t="s">
        <v>38</v>
      </c>
      <c r="H8">
        <f>MAX(B3:B12)+MAX(C3:C12)/2</f>
        <v>970.5</v>
      </c>
      <c r="I8">
        <f>ROUNDUP(H8/H2,0)</f>
        <v>61</v>
      </c>
      <c r="J8">
        <f>'90ml øl'!I8-Baseline!$J$5</f>
        <v>32</v>
      </c>
    </row>
    <row r="9" spans="1:10" x14ac:dyDescent="0.3">
      <c r="A9">
        <v>7</v>
      </c>
      <c r="B9">
        <v>934</v>
      </c>
      <c r="C9">
        <v>59</v>
      </c>
      <c r="D9">
        <v>10</v>
      </c>
      <c r="E9">
        <f>ROUND(B9/16,0)- Baseline!$J$5</f>
        <v>29</v>
      </c>
      <c r="G9" t="s">
        <v>39</v>
      </c>
      <c r="H9">
        <f>MIN(B3:B12) - MIN(C3:C12)</f>
        <v>867</v>
      </c>
      <c r="I9">
        <f>ROUNDUP(H9/H2,0)</f>
        <v>55</v>
      </c>
      <c r="J9">
        <f>'90ml øl'!I9-Baseline!$J$5</f>
        <v>26</v>
      </c>
    </row>
    <row r="10" spans="1:10" x14ac:dyDescent="0.3">
      <c r="A10">
        <v>8</v>
      </c>
      <c r="B10">
        <v>918</v>
      </c>
      <c r="C10">
        <v>45</v>
      </c>
      <c r="D10">
        <v>8</v>
      </c>
      <c r="E10">
        <f>ROUND(B10/16,0)- Baseline!$J$5</f>
        <v>28</v>
      </c>
    </row>
    <row r="11" spans="1:10" x14ac:dyDescent="0.3">
      <c r="A11">
        <v>9</v>
      </c>
      <c r="B11">
        <v>919</v>
      </c>
      <c r="C11">
        <v>28</v>
      </c>
      <c r="D11">
        <v>6</v>
      </c>
      <c r="E11">
        <f>ROUND(B11/16,0)- Baseline!$J$5</f>
        <v>28</v>
      </c>
      <c r="G11" t="s">
        <v>47</v>
      </c>
      <c r="H11">
        <f>H7*1.96</f>
        <v>25.304334630871267</v>
      </c>
      <c r="I11">
        <f>ROUNDUP(I7*1.96,0)</f>
        <v>8</v>
      </c>
    </row>
    <row r="12" spans="1:10" x14ac:dyDescent="0.3">
      <c r="A12">
        <v>10</v>
      </c>
      <c r="B12">
        <v>920</v>
      </c>
      <c r="C12">
        <v>44</v>
      </c>
      <c r="D12">
        <v>7</v>
      </c>
      <c r="E12">
        <f>ROUND(B12/16,0)- Baseline!$J$5</f>
        <v>29</v>
      </c>
      <c r="G12" t="s">
        <v>48</v>
      </c>
      <c r="H12">
        <f>H5-H11</f>
        <v>892.39566536912878</v>
      </c>
      <c r="I12">
        <f>I5-I11</f>
        <v>49</v>
      </c>
      <c r="J12">
        <f>I12-Baseline!$J$5</f>
        <v>20</v>
      </c>
    </row>
    <row r="13" spans="1:10" x14ac:dyDescent="0.3">
      <c r="G13" t="s">
        <v>49</v>
      </c>
      <c r="H13">
        <f>H5+H11</f>
        <v>943.00433463087131</v>
      </c>
      <c r="I13">
        <f>I5+I11</f>
        <v>65</v>
      </c>
      <c r="J13">
        <f>I13-Baseline!$J$5</f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309E-8889-458F-B640-9C3EB844BDC3}">
  <dimension ref="A1:Q13"/>
  <sheetViews>
    <sheetView workbookViewId="0">
      <selection activeCell="Q8" sqref="Q8"/>
    </sheetView>
  </sheetViews>
  <sheetFormatPr defaultRowHeight="14.4" x14ac:dyDescent="0.3"/>
  <cols>
    <col min="11" max="11" width="12.77734375" customWidth="1"/>
  </cols>
  <sheetData>
    <row r="1" spans="1:17" x14ac:dyDescent="0.3">
      <c r="A1" t="s">
        <v>25</v>
      </c>
      <c r="B1" t="s">
        <v>26</v>
      </c>
      <c r="C1" t="s">
        <v>30</v>
      </c>
      <c r="D1" t="s">
        <v>52</v>
      </c>
      <c r="E1" t="s">
        <v>53</v>
      </c>
    </row>
    <row r="2" spans="1:17" x14ac:dyDescent="0.3">
      <c r="B2" t="s">
        <v>22</v>
      </c>
      <c r="C2" t="s">
        <v>22</v>
      </c>
      <c r="G2" t="s">
        <v>36</v>
      </c>
      <c r="H2">
        <v>16</v>
      </c>
      <c r="I2" t="s">
        <v>22</v>
      </c>
    </row>
    <row r="3" spans="1:17" x14ac:dyDescent="0.3">
      <c r="A3">
        <v>1</v>
      </c>
      <c r="B3">
        <v>1057</v>
      </c>
      <c r="C3">
        <v>1045</v>
      </c>
      <c r="D3">
        <f>ROUND(B3/16,0) - Baseline!$J$5</f>
        <v>37</v>
      </c>
      <c r="E3">
        <f>ROUND(C3/16,0) - Baseline!$J$5</f>
        <v>36</v>
      </c>
      <c r="G3" s="1" t="s">
        <v>44</v>
      </c>
      <c r="H3" s="1"/>
      <c r="I3" s="1"/>
      <c r="J3" s="1"/>
      <c r="K3" s="1"/>
      <c r="M3" s="1" t="s">
        <v>45</v>
      </c>
      <c r="N3" s="1"/>
      <c r="O3" s="1"/>
      <c r="P3" s="1"/>
    </row>
    <row r="4" spans="1:17" x14ac:dyDescent="0.3">
      <c r="A4">
        <v>2</v>
      </c>
      <c r="B4">
        <v>1288</v>
      </c>
      <c r="C4">
        <v>1038</v>
      </c>
      <c r="D4">
        <f>ROUND(B4/16,0) - Baseline!$J$5</f>
        <v>52</v>
      </c>
      <c r="E4">
        <f>ROUND(C4/16,0) - Baseline!$J$5</f>
        <v>36</v>
      </c>
      <c r="H4" t="s">
        <v>34</v>
      </c>
      <c r="I4" t="s">
        <v>35</v>
      </c>
      <c r="J4" t="s">
        <v>41</v>
      </c>
      <c r="K4" t="s">
        <v>43</v>
      </c>
      <c r="N4" t="s">
        <v>34</v>
      </c>
      <c r="O4" t="s">
        <v>35</v>
      </c>
      <c r="P4" t="s">
        <v>42</v>
      </c>
      <c r="Q4" t="s">
        <v>43</v>
      </c>
    </row>
    <row r="5" spans="1:17" x14ac:dyDescent="0.3">
      <c r="A5">
        <v>3</v>
      </c>
      <c r="B5">
        <v>1201</v>
      </c>
      <c r="C5">
        <v>1239</v>
      </c>
      <c r="D5">
        <f>ROUND(B5/16,0) - Baseline!$J$5</f>
        <v>46</v>
      </c>
      <c r="E5">
        <f>ROUND(C5/16,0) - Baseline!$J$5</f>
        <v>48</v>
      </c>
      <c r="G5" t="s">
        <v>32</v>
      </c>
      <c r="H5">
        <f>AVERAGE(B3:B12)</f>
        <v>1197.8</v>
      </c>
      <c r="I5">
        <f>ROUNDUP(H5/H2,0)</f>
        <v>75</v>
      </c>
      <c r="J5">
        <f>I5-Baseline!$J$5</f>
        <v>46</v>
      </c>
      <c r="K5">
        <f>J5/'90ml øl'!$J$5</f>
        <v>1.6428571428571428</v>
      </c>
      <c r="M5" t="s">
        <v>32</v>
      </c>
      <c r="N5">
        <f>AVERAGE(C3:C12)</f>
        <v>1077.9000000000001</v>
      </c>
      <c r="O5">
        <f>ROUND(N5/H2,0)</f>
        <v>67</v>
      </c>
      <c r="P5">
        <f>O5-Baseline!$J$5</f>
        <v>38</v>
      </c>
      <c r="Q5">
        <f>P5/'90ml øl'!$J$5</f>
        <v>1.3571428571428572</v>
      </c>
    </row>
    <row r="6" spans="1:17" x14ac:dyDescent="0.3">
      <c r="A6">
        <v>4</v>
      </c>
      <c r="B6">
        <v>1276</v>
      </c>
      <c r="C6">
        <v>1070</v>
      </c>
      <c r="D6">
        <f>ROUND(B6/16,0) - Baseline!$J$5</f>
        <v>51</v>
      </c>
      <c r="E6">
        <f>ROUND(C6/16,0) - Baseline!$J$5</f>
        <v>38</v>
      </c>
      <c r="G6" t="s">
        <v>31</v>
      </c>
      <c r="H6">
        <f>_xlfn.VAR.S(B3:B12)</f>
        <v>6041.2888888888892</v>
      </c>
      <c r="I6">
        <f>ROUNDUP(H6/H2,0)</f>
        <v>378</v>
      </c>
      <c r="M6" t="s">
        <v>31</v>
      </c>
      <c r="N6">
        <f>_xlfn.VAR.S(C3:C12)</f>
        <v>3566.7666666666655</v>
      </c>
      <c r="O6">
        <f>ROUNDUP(N6/H2,0)</f>
        <v>223</v>
      </c>
    </row>
    <row r="7" spans="1:17" x14ac:dyDescent="0.3">
      <c r="A7">
        <v>5</v>
      </c>
      <c r="B7">
        <v>1320</v>
      </c>
      <c r="C7">
        <v>1038</v>
      </c>
      <c r="D7">
        <f>ROUND(B7/16,0) - Baseline!$J$5</f>
        <v>54</v>
      </c>
      <c r="E7">
        <f>ROUND(C7/16,0) - Baseline!$J$5</f>
        <v>36</v>
      </c>
      <c r="G7" t="s">
        <v>33</v>
      </c>
      <c r="H7">
        <f>SQRT(H6)</f>
        <v>77.725728616005199</v>
      </c>
      <c r="I7">
        <f>ROUNDUP(H7/SQRT(H2),0)</f>
        <v>20</v>
      </c>
      <c r="M7" t="s">
        <v>33</v>
      </c>
      <c r="N7">
        <f>SQRT(N6)</f>
        <v>59.72241343638639</v>
      </c>
      <c r="O7">
        <f>ROUNDUP(N7/SQRT(H2),0)</f>
        <v>15</v>
      </c>
    </row>
    <row r="8" spans="1:17" x14ac:dyDescent="0.3">
      <c r="A8">
        <v>6</v>
      </c>
      <c r="B8">
        <v>1151</v>
      </c>
      <c r="C8">
        <v>1051</v>
      </c>
      <c r="D8">
        <f>ROUND(B8/16,0) - Baseline!$J$5</f>
        <v>43</v>
      </c>
      <c r="E8">
        <f>ROUND(C8/16,0) - Baseline!$J$5</f>
        <v>37</v>
      </c>
      <c r="G8" t="s">
        <v>38</v>
      </c>
      <c r="H8">
        <f>MAX(B3:B12)</f>
        <v>1320</v>
      </c>
      <c r="I8">
        <f>ROUNDUP(H8/H2,0)</f>
        <v>83</v>
      </c>
      <c r="J8">
        <f>I8-Baseline!$J$5</f>
        <v>54</v>
      </c>
      <c r="K8">
        <f>J8/'90ml øl'!$J$5</f>
        <v>1.9285714285714286</v>
      </c>
      <c r="M8" t="s">
        <v>38</v>
      </c>
      <c r="N8">
        <f>MAX(C3:C12)</f>
        <v>1239</v>
      </c>
      <c r="O8">
        <f>ROUND(N8/H2,0)</f>
        <v>77</v>
      </c>
      <c r="P8">
        <f>O8-Baseline!$J$5</f>
        <v>48</v>
      </c>
      <c r="Q8">
        <f>P8/'90ml øl'!$J$5</f>
        <v>1.7142857142857142</v>
      </c>
    </row>
    <row r="9" spans="1:17" x14ac:dyDescent="0.3">
      <c r="A9">
        <v>7</v>
      </c>
      <c r="B9">
        <v>1170</v>
      </c>
      <c r="C9">
        <v>1082</v>
      </c>
      <c r="D9">
        <f>ROUND(B9/16,0) - Baseline!$J$5</f>
        <v>44</v>
      </c>
      <c r="E9">
        <f>ROUND(C9/16,0) - Baseline!$J$5</f>
        <v>39</v>
      </c>
      <c r="G9" t="s">
        <v>39</v>
      </c>
      <c r="H9">
        <f>MIN(B3:B12)</f>
        <v>1057</v>
      </c>
      <c r="I9">
        <f>ROUNDUP(H9/H2,0)</f>
        <v>67</v>
      </c>
      <c r="J9">
        <f>I9-Baseline!$J$5</f>
        <v>38</v>
      </c>
      <c r="K9">
        <f>J9/'90ml øl'!$J$5</f>
        <v>1.3571428571428572</v>
      </c>
      <c r="M9" t="s">
        <v>39</v>
      </c>
      <c r="N9">
        <f>MIN(C3:C12)</f>
        <v>1038</v>
      </c>
      <c r="O9">
        <f>ROUNDUP(N9/H2,0)</f>
        <v>65</v>
      </c>
      <c r="P9">
        <f>O9-Baseline!$J$5</f>
        <v>36</v>
      </c>
      <c r="Q9">
        <f>P9/'90ml øl'!$J$5</f>
        <v>1.2857142857142858</v>
      </c>
    </row>
    <row r="10" spans="1:17" x14ac:dyDescent="0.3">
      <c r="A10">
        <v>8</v>
      </c>
      <c r="B10">
        <v>1182</v>
      </c>
      <c r="C10">
        <v>1070</v>
      </c>
      <c r="D10">
        <f>ROUND(B10/16,0) - Baseline!$J$5</f>
        <v>45</v>
      </c>
      <c r="E10">
        <f>ROUND(C10/16,0) - Baseline!$J$5</f>
        <v>38</v>
      </c>
    </row>
    <row r="11" spans="1:17" x14ac:dyDescent="0.3">
      <c r="A11">
        <v>9</v>
      </c>
      <c r="B11">
        <v>1157</v>
      </c>
      <c r="C11">
        <v>1051</v>
      </c>
      <c r="D11">
        <f>ROUND(B11/16,0) - Baseline!$J$5</f>
        <v>43</v>
      </c>
      <c r="E11">
        <f>ROUND(C11/16,0) - Baseline!$J$5</f>
        <v>37</v>
      </c>
      <c r="G11" t="s">
        <v>47</v>
      </c>
      <c r="H11">
        <f>H7*1.96</f>
        <v>152.34242808737019</v>
      </c>
      <c r="I11">
        <f>ROUNDUP(I7*1.96,0)</f>
        <v>40</v>
      </c>
      <c r="M11" t="s">
        <v>47</v>
      </c>
      <c r="N11">
        <f>N7*1.96</f>
        <v>117.05593033531733</v>
      </c>
      <c r="O11">
        <f>ROUNDUP(O7*1.96,0)</f>
        <v>30</v>
      </c>
    </row>
    <row r="12" spans="1:17" x14ac:dyDescent="0.3">
      <c r="A12">
        <v>10</v>
      </c>
      <c r="B12">
        <v>1176</v>
      </c>
      <c r="C12">
        <v>1095</v>
      </c>
      <c r="D12">
        <f>ROUND(B12/16,0) - Baseline!$J$5</f>
        <v>45</v>
      </c>
      <c r="E12">
        <f>ROUND(C12/16,0) - Baseline!$J$5</f>
        <v>39</v>
      </c>
      <c r="G12" t="s">
        <v>48</v>
      </c>
      <c r="H12">
        <f>H5-H11</f>
        <v>1045.4575719126296</v>
      </c>
      <c r="I12">
        <f>I5-I11</f>
        <v>35</v>
      </c>
      <c r="J12">
        <f>I12-Baseline!$J$5</f>
        <v>6</v>
      </c>
      <c r="M12" t="s">
        <v>48</v>
      </c>
      <c r="N12">
        <f>N5-N11</f>
        <v>960.84406966468282</v>
      </c>
      <c r="O12">
        <f>O5-O11</f>
        <v>37</v>
      </c>
      <c r="P12">
        <f>O12-Baseline!$J$5</f>
        <v>8</v>
      </c>
    </row>
    <row r="13" spans="1:17" x14ac:dyDescent="0.3">
      <c r="G13" t="s">
        <v>49</v>
      </c>
      <c r="H13">
        <f>H5+H11</f>
        <v>1350.1424280873703</v>
      </c>
      <c r="I13">
        <f>I5+I11</f>
        <v>115</v>
      </c>
      <c r="J13">
        <f>I13-Baseline!$J$5</f>
        <v>86</v>
      </c>
      <c r="M13" t="s">
        <v>49</v>
      </c>
      <c r="N13">
        <f>N5+N11</f>
        <v>1194.9559303353174</v>
      </c>
      <c r="O13">
        <f>O5+O11</f>
        <v>97</v>
      </c>
      <c r="P13">
        <f>O13-Baseline!$J$5</f>
        <v>68</v>
      </c>
      <c r="Q13">
        <f>P13/'90ml øl'!$J$5</f>
        <v>2.4285714285714284</v>
      </c>
    </row>
  </sheetData>
  <mergeCells count="2">
    <mergeCell ref="M3:P3"/>
    <mergeCell ref="G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7172-D30B-4F0C-8C15-723B0363C79F}">
  <dimension ref="A1:B12"/>
  <sheetViews>
    <sheetView workbookViewId="0">
      <selection activeCell="D21" sqref="D21"/>
    </sheetView>
  </sheetViews>
  <sheetFormatPr defaultRowHeight="14.4" x14ac:dyDescent="0.3"/>
  <sheetData>
    <row r="1" spans="1:2" x14ac:dyDescent="0.3">
      <c r="A1" t="s">
        <v>25</v>
      </c>
      <c r="B1" t="s">
        <v>26</v>
      </c>
    </row>
    <row r="2" spans="1:2" x14ac:dyDescent="0.3">
      <c r="B2" t="s">
        <v>22</v>
      </c>
    </row>
    <row r="3" spans="1:2" x14ac:dyDescent="0.3">
      <c r="A3">
        <v>1</v>
      </c>
      <c r="B3">
        <v>1045</v>
      </c>
    </row>
    <row r="4" spans="1:2" x14ac:dyDescent="0.3">
      <c r="A4">
        <v>2</v>
      </c>
      <c r="B4">
        <v>1038</v>
      </c>
    </row>
    <row r="5" spans="1:2" x14ac:dyDescent="0.3">
      <c r="A5">
        <v>3</v>
      </c>
      <c r="B5">
        <v>1239</v>
      </c>
    </row>
    <row r="6" spans="1:2" x14ac:dyDescent="0.3">
      <c r="A6">
        <v>4</v>
      </c>
      <c r="B6">
        <v>1070</v>
      </c>
    </row>
    <row r="7" spans="1:2" x14ac:dyDescent="0.3">
      <c r="A7">
        <v>5</v>
      </c>
      <c r="B7">
        <v>1038</v>
      </c>
    </row>
    <row r="8" spans="1:2" x14ac:dyDescent="0.3">
      <c r="A8">
        <v>6</v>
      </c>
      <c r="B8">
        <v>1051</v>
      </c>
    </row>
    <row r="9" spans="1:2" x14ac:dyDescent="0.3">
      <c r="A9">
        <v>7</v>
      </c>
      <c r="B9">
        <v>1082</v>
      </c>
    </row>
    <row r="10" spans="1:2" x14ac:dyDescent="0.3">
      <c r="A10">
        <v>8</v>
      </c>
      <c r="B10">
        <v>1070</v>
      </c>
    </row>
    <row r="11" spans="1:2" x14ac:dyDescent="0.3">
      <c r="A11">
        <v>9</v>
      </c>
      <c r="B11">
        <v>1051</v>
      </c>
    </row>
    <row r="12" spans="1:2" x14ac:dyDescent="0.3">
      <c r="A12">
        <v>10</v>
      </c>
      <c r="B12">
        <v>1095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48F25-58F4-43FF-BAC4-24306EF01F50}">
  <dimension ref="A1:K13"/>
  <sheetViews>
    <sheetView workbookViewId="0">
      <selection activeCell="D3" sqref="D3"/>
    </sheetView>
  </sheetViews>
  <sheetFormatPr defaultRowHeight="14.4" x14ac:dyDescent="0.3"/>
  <cols>
    <col min="2" max="2" width="15.109375" customWidth="1"/>
    <col min="3" max="3" width="14.21875" customWidth="1"/>
  </cols>
  <sheetData>
    <row r="1" spans="1:11" x14ac:dyDescent="0.3">
      <c r="A1" t="s">
        <v>25</v>
      </c>
      <c r="B1" t="s">
        <v>26</v>
      </c>
      <c r="C1" t="s">
        <v>27</v>
      </c>
      <c r="D1" t="s">
        <v>51</v>
      </c>
    </row>
    <row r="2" spans="1:11" x14ac:dyDescent="0.3">
      <c r="B2" t="s">
        <v>22</v>
      </c>
      <c r="C2" t="s">
        <v>22</v>
      </c>
      <c r="G2" t="s">
        <v>36</v>
      </c>
      <c r="H2">
        <v>16</v>
      </c>
      <c r="I2" t="s">
        <v>22</v>
      </c>
    </row>
    <row r="3" spans="1:11" x14ac:dyDescent="0.3">
      <c r="A3">
        <v>1</v>
      </c>
      <c r="B3">
        <v>1846</v>
      </c>
      <c r="C3">
        <v>1320</v>
      </c>
      <c r="D3">
        <f>ROUND(B3/16,0) - Baseline!$J$5</f>
        <v>86</v>
      </c>
    </row>
    <row r="4" spans="1:11" x14ac:dyDescent="0.3">
      <c r="A4">
        <v>2</v>
      </c>
      <c r="B4">
        <v>1814</v>
      </c>
      <c r="C4">
        <v>1195</v>
      </c>
      <c r="D4">
        <f>ROUND(B4/16,0) - Baseline!$J$5</f>
        <v>84</v>
      </c>
      <c r="H4" t="s">
        <v>34</v>
      </c>
      <c r="I4" t="s">
        <v>35</v>
      </c>
      <c r="J4" t="s">
        <v>41</v>
      </c>
      <c r="K4" t="s">
        <v>43</v>
      </c>
    </row>
    <row r="5" spans="1:11" x14ac:dyDescent="0.3">
      <c r="A5">
        <v>3</v>
      </c>
      <c r="B5">
        <v>2428</v>
      </c>
      <c r="C5">
        <v>988</v>
      </c>
      <c r="D5">
        <f>ROUND(B5/16,0) - Baseline!$J$5</f>
        <v>123</v>
      </c>
      <c r="G5" t="s">
        <v>32</v>
      </c>
      <c r="H5">
        <f>AVERAGE(B3:B12)</f>
        <v>2090.4</v>
      </c>
      <c r="I5">
        <f>ROUNDUP(H5/H2,0)</f>
        <v>131</v>
      </c>
      <c r="J5">
        <f>I5-Baseline!$J$5</f>
        <v>102</v>
      </c>
      <c r="K5">
        <f>J5/'90ml øl'!$J$5</f>
        <v>3.6428571428571428</v>
      </c>
    </row>
    <row r="6" spans="1:11" x14ac:dyDescent="0.3">
      <c r="A6">
        <v>4</v>
      </c>
      <c r="B6">
        <v>2152</v>
      </c>
      <c r="C6">
        <v>1276</v>
      </c>
      <c r="D6">
        <f>ROUND(B6/16,0) - Baseline!$J$5</f>
        <v>106</v>
      </c>
      <c r="G6" t="s">
        <v>31</v>
      </c>
      <c r="H6">
        <f>_xlfn.VAR.S(B3:B12)</f>
        <v>50161.377777777612</v>
      </c>
      <c r="I6">
        <f>ROUNDUP(H6/H2,0)</f>
        <v>3136</v>
      </c>
    </row>
    <row r="7" spans="1:11" x14ac:dyDescent="0.3">
      <c r="A7">
        <v>5</v>
      </c>
      <c r="B7">
        <v>1927</v>
      </c>
      <c r="C7">
        <v>1270</v>
      </c>
      <c r="D7">
        <f>ROUND(B7/16,0) - Baseline!$J$5</f>
        <v>91</v>
      </c>
      <c r="G7" t="s">
        <v>33</v>
      </c>
      <c r="H7">
        <f>SQRT(H6)</f>
        <v>223.96735873286895</v>
      </c>
      <c r="I7">
        <f>ROUNDUP(H7/SQRT(H2),0)</f>
        <v>56</v>
      </c>
    </row>
    <row r="8" spans="1:11" x14ac:dyDescent="0.3">
      <c r="A8">
        <v>6</v>
      </c>
      <c r="B8">
        <v>2190</v>
      </c>
      <c r="C8">
        <v>995</v>
      </c>
      <c r="D8">
        <f>ROUND(B8/16,0) - Baseline!$J$5</f>
        <v>108</v>
      </c>
      <c r="G8" t="s">
        <v>37</v>
      </c>
      <c r="H8">
        <f>MAX(B3:B12)</f>
        <v>2428</v>
      </c>
      <c r="I8">
        <f>ROUNDUP(H8/H2,0)</f>
        <v>152</v>
      </c>
      <c r="J8">
        <f>I8-Baseline!$J$5</f>
        <v>123</v>
      </c>
      <c r="K8">
        <f>J8/'90ml øl'!$J$5</f>
        <v>4.3928571428571432</v>
      </c>
    </row>
    <row r="9" spans="1:11" x14ac:dyDescent="0.3">
      <c r="A9">
        <v>7</v>
      </c>
      <c r="B9">
        <v>2378</v>
      </c>
      <c r="C9">
        <v>907</v>
      </c>
      <c r="D9">
        <f>ROUND(B9/16,0) - Baseline!$J$5</f>
        <v>120</v>
      </c>
      <c r="G9" t="s">
        <v>40</v>
      </c>
      <c r="H9">
        <f>MIN(B3:B12)</f>
        <v>1814</v>
      </c>
      <c r="I9">
        <f>ROUNDUP(H9/H2,0)</f>
        <v>114</v>
      </c>
      <c r="J9">
        <f>I9-Baseline!$J$5</f>
        <v>85</v>
      </c>
      <c r="K9">
        <f>J9/'90ml øl'!$J$5</f>
        <v>3.0357142857142856</v>
      </c>
    </row>
    <row r="10" spans="1:11" x14ac:dyDescent="0.3">
      <c r="A10">
        <v>8</v>
      </c>
      <c r="B10">
        <v>2271</v>
      </c>
      <c r="C10">
        <v>1132</v>
      </c>
      <c r="D10">
        <f>ROUND(B10/16,0) - Baseline!$J$5</f>
        <v>113</v>
      </c>
    </row>
    <row r="11" spans="1:11" x14ac:dyDescent="0.3">
      <c r="A11">
        <v>9</v>
      </c>
      <c r="B11">
        <v>2002</v>
      </c>
      <c r="C11">
        <v>1370</v>
      </c>
      <c r="D11">
        <f>ROUND(B11/16,0) - Baseline!$J$5</f>
        <v>96</v>
      </c>
      <c r="G11" t="s">
        <v>47</v>
      </c>
      <c r="H11">
        <f>H7*1.96</f>
        <v>438.97602311642311</v>
      </c>
      <c r="I11">
        <f>ROUNDUP(I7*1.96,0)</f>
        <v>110</v>
      </c>
    </row>
    <row r="12" spans="1:11" x14ac:dyDescent="0.3">
      <c r="A12">
        <v>10</v>
      </c>
      <c r="B12">
        <v>1896</v>
      </c>
      <c r="C12">
        <v>1132</v>
      </c>
      <c r="D12">
        <f>ROUND(B12/16,0) - Baseline!$J$5</f>
        <v>90</v>
      </c>
      <c r="G12" t="s">
        <v>48</v>
      </c>
      <c r="H12">
        <f>H5-H11</f>
        <v>1651.4239768835769</v>
      </c>
      <c r="I12">
        <f>I5-I11</f>
        <v>21</v>
      </c>
      <c r="J12">
        <f>I12-Baseline!$J$5</f>
        <v>-8</v>
      </c>
      <c r="K12">
        <f>J12/'90ml øl'!$J$5</f>
        <v>-0.2857142857142857</v>
      </c>
    </row>
    <row r="13" spans="1:11" x14ac:dyDescent="0.3">
      <c r="G13" t="s">
        <v>49</v>
      </c>
      <c r="H13">
        <f>H5+H11</f>
        <v>2529.3760231164233</v>
      </c>
      <c r="I13">
        <f>I5+I11</f>
        <v>241</v>
      </c>
      <c r="J13">
        <f>I13-Baseline!$J$5</f>
        <v>212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FEE2-D7E1-4C6E-806D-9F4D6ED814E7}">
  <dimension ref="A1:K12"/>
  <sheetViews>
    <sheetView workbookViewId="0">
      <selection activeCell="H11" sqref="H11"/>
    </sheetView>
  </sheetViews>
  <sheetFormatPr defaultRowHeight="14.4" x14ac:dyDescent="0.3"/>
  <cols>
    <col min="10" max="10" width="12.21875" bestFit="1" customWidth="1"/>
  </cols>
  <sheetData>
    <row r="1" spans="1:11" x14ac:dyDescent="0.3">
      <c r="A1" t="s">
        <v>25</v>
      </c>
      <c r="B1" t="s">
        <v>26</v>
      </c>
      <c r="C1" t="s">
        <v>28</v>
      </c>
      <c r="D1" t="s">
        <v>27</v>
      </c>
    </row>
    <row r="2" spans="1:11" x14ac:dyDescent="0.3">
      <c r="B2" t="s">
        <v>22</v>
      </c>
      <c r="C2" t="s">
        <v>22</v>
      </c>
      <c r="D2" t="s">
        <v>22</v>
      </c>
      <c r="G2" t="s">
        <v>36</v>
      </c>
      <c r="H2">
        <v>16</v>
      </c>
      <c r="I2" t="s">
        <v>22</v>
      </c>
    </row>
    <row r="3" spans="1:11" x14ac:dyDescent="0.3">
      <c r="A3">
        <v>1</v>
      </c>
      <c r="B3">
        <v>1940</v>
      </c>
      <c r="C3">
        <v>1251</v>
      </c>
      <c r="D3">
        <v>1107</v>
      </c>
    </row>
    <row r="4" spans="1:11" x14ac:dyDescent="0.3">
      <c r="A4">
        <v>2</v>
      </c>
      <c r="B4">
        <v>1558</v>
      </c>
      <c r="C4">
        <v>1201</v>
      </c>
      <c r="D4">
        <v>1151</v>
      </c>
      <c r="H4" t="s">
        <v>34</v>
      </c>
      <c r="I4" t="s">
        <v>35</v>
      </c>
      <c r="J4" t="s">
        <v>41</v>
      </c>
      <c r="K4" t="s">
        <v>43</v>
      </c>
    </row>
    <row r="5" spans="1:11" x14ac:dyDescent="0.3">
      <c r="A5">
        <v>3</v>
      </c>
      <c r="B5">
        <v>1915</v>
      </c>
      <c r="C5">
        <v>1289</v>
      </c>
      <c r="D5">
        <v>1201</v>
      </c>
      <c r="G5" t="s">
        <v>32</v>
      </c>
      <c r="H5">
        <f>AVERAGE(B3:B12)</f>
        <v>1919.6</v>
      </c>
      <c r="I5">
        <f>ROUNDUP(H5/H2,0)</f>
        <v>120</v>
      </c>
      <c r="J5">
        <f>I5-Baseline!$J$5</f>
        <v>91</v>
      </c>
      <c r="K5">
        <f>J5/'90ml øl'!$J$5</f>
        <v>3.25</v>
      </c>
    </row>
    <row r="6" spans="1:11" x14ac:dyDescent="0.3">
      <c r="A6">
        <v>4</v>
      </c>
      <c r="B6">
        <v>1821</v>
      </c>
      <c r="C6">
        <v>1301</v>
      </c>
      <c r="D6">
        <v>1201</v>
      </c>
      <c r="G6" t="s">
        <v>31</v>
      </c>
      <c r="H6">
        <f>_xlfn.VAR.S(B3:B12)</f>
        <v>86492.933333333174</v>
      </c>
      <c r="I6">
        <f>ROUNDUP(H6/H2,0)</f>
        <v>5406</v>
      </c>
    </row>
    <row r="7" spans="1:11" x14ac:dyDescent="0.3">
      <c r="A7">
        <v>5</v>
      </c>
      <c r="B7">
        <v>2378</v>
      </c>
      <c r="C7">
        <v>1376</v>
      </c>
      <c r="D7">
        <v>925</v>
      </c>
      <c r="G7" t="s">
        <v>33</v>
      </c>
      <c r="H7">
        <f>SQRT(H6)</f>
        <v>294.0968094579286</v>
      </c>
      <c r="I7">
        <f>ROUNDUP(H7/SQRT(H2),0)</f>
        <v>74</v>
      </c>
    </row>
    <row r="8" spans="1:11" x14ac:dyDescent="0.3">
      <c r="A8">
        <v>6</v>
      </c>
      <c r="B8">
        <v>1601</v>
      </c>
      <c r="C8">
        <v>1151</v>
      </c>
      <c r="D8">
        <v>1095</v>
      </c>
      <c r="G8" t="s">
        <v>37</v>
      </c>
      <c r="H8">
        <f>MAX(B3:B12)</f>
        <v>2378</v>
      </c>
      <c r="I8">
        <f>ROUNDUP(H8/H2,0)</f>
        <v>149</v>
      </c>
      <c r="J8">
        <f>I8-Baseline!$J$5</f>
        <v>120</v>
      </c>
      <c r="K8">
        <f>J8/'90ml øl'!$J$5</f>
        <v>4.2857142857142856</v>
      </c>
    </row>
    <row r="9" spans="1:11" x14ac:dyDescent="0.3">
      <c r="A9">
        <v>7</v>
      </c>
      <c r="B9">
        <v>2071</v>
      </c>
      <c r="C9">
        <v>1414</v>
      </c>
      <c r="D9">
        <v>1314</v>
      </c>
      <c r="G9" t="s">
        <v>40</v>
      </c>
      <c r="H9">
        <f>MIN(B3:B12)</f>
        <v>1533</v>
      </c>
      <c r="I9">
        <f>ROUNDUP(H9/H2,0)</f>
        <v>96</v>
      </c>
      <c r="J9">
        <f>I9-Baseline!$J$5</f>
        <v>67</v>
      </c>
      <c r="K9">
        <f>J9/'90ml øl'!$J$5</f>
        <v>2.3928571428571428</v>
      </c>
    </row>
    <row r="10" spans="1:11" x14ac:dyDescent="0.3">
      <c r="A10">
        <v>8</v>
      </c>
      <c r="B10">
        <v>2252</v>
      </c>
      <c r="C10">
        <v>1308</v>
      </c>
      <c r="D10">
        <v>1082</v>
      </c>
    </row>
    <row r="11" spans="1:11" x14ac:dyDescent="0.3">
      <c r="A11">
        <v>9</v>
      </c>
      <c r="B11">
        <v>1533</v>
      </c>
      <c r="C11">
        <v>1076</v>
      </c>
      <c r="D11">
        <v>982</v>
      </c>
    </row>
    <row r="12" spans="1:11" x14ac:dyDescent="0.3">
      <c r="A12">
        <v>10</v>
      </c>
      <c r="B12">
        <v>2127</v>
      </c>
      <c r="C12">
        <v>1217</v>
      </c>
      <c r="D12">
        <v>1114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8AC7-9A7B-4FCC-8EF5-35B3512F07E1}">
  <dimension ref="A1:J13"/>
  <sheetViews>
    <sheetView workbookViewId="0">
      <selection activeCell="I5" sqref="I5"/>
    </sheetView>
  </sheetViews>
  <sheetFormatPr defaultRowHeight="14.4" x14ac:dyDescent="0.3"/>
  <cols>
    <col min="7" max="7" width="27.5546875" customWidth="1"/>
  </cols>
  <sheetData>
    <row r="1" spans="1:10" x14ac:dyDescent="0.3">
      <c r="A1" t="s">
        <v>25</v>
      </c>
      <c r="B1" t="s">
        <v>23</v>
      </c>
      <c r="C1" t="s">
        <v>21</v>
      </c>
      <c r="D1" t="s">
        <v>24</v>
      </c>
      <c r="E1" t="s">
        <v>35</v>
      </c>
    </row>
    <row r="2" spans="1:10" x14ac:dyDescent="0.3">
      <c r="B2" t="s">
        <v>22</v>
      </c>
      <c r="C2" t="s">
        <v>22</v>
      </c>
      <c r="D2" t="s">
        <v>22</v>
      </c>
      <c r="G2" t="s">
        <v>36</v>
      </c>
      <c r="H2">
        <v>16</v>
      </c>
      <c r="I2" t="s">
        <v>22</v>
      </c>
    </row>
    <row r="3" spans="1:10" x14ac:dyDescent="0.3">
      <c r="A3">
        <v>1</v>
      </c>
      <c r="B3">
        <v>863</v>
      </c>
      <c r="C3">
        <v>45</v>
      </c>
      <c r="D3">
        <v>9</v>
      </c>
      <c r="E3">
        <f>ROUND(B3/16,0) - Baseline!$J$5</f>
        <v>25</v>
      </c>
    </row>
    <row r="4" spans="1:10" x14ac:dyDescent="0.3">
      <c r="A4">
        <v>2</v>
      </c>
      <c r="B4">
        <v>877</v>
      </c>
      <c r="C4">
        <v>31</v>
      </c>
      <c r="D4">
        <v>7</v>
      </c>
      <c r="E4">
        <f>ROUND(B4/16,0) - Baseline!$J$5</f>
        <v>26</v>
      </c>
      <c r="H4" t="s">
        <v>34</v>
      </c>
      <c r="I4" t="s">
        <v>35</v>
      </c>
      <c r="J4" t="s">
        <v>41</v>
      </c>
    </row>
    <row r="5" spans="1:10" x14ac:dyDescent="0.3">
      <c r="A5">
        <v>3</v>
      </c>
      <c r="B5">
        <v>860</v>
      </c>
      <c r="C5">
        <v>46</v>
      </c>
      <c r="D5">
        <v>9</v>
      </c>
      <c r="E5">
        <f>ROUND(B5/16,0) - Baseline!$J$5</f>
        <v>25</v>
      </c>
      <c r="G5" t="s">
        <v>32</v>
      </c>
      <c r="H5">
        <f>AVERAGE(B3:B12)</f>
        <v>850.2</v>
      </c>
      <c r="I5">
        <f>ROUND(H5/H2,0)</f>
        <v>53</v>
      </c>
      <c r="J5">
        <f>'110ml øl'!I5-Baseline!$J$5</f>
        <v>24</v>
      </c>
    </row>
    <row r="6" spans="1:10" x14ac:dyDescent="0.3">
      <c r="A6">
        <v>4</v>
      </c>
      <c r="B6">
        <v>853</v>
      </c>
      <c r="C6">
        <v>46</v>
      </c>
      <c r="D6">
        <v>10</v>
      </c>
      <c r="E6">
        <f>ROUND(B6/16,0) - Baseline!$J$5</f>
        <v>24</v>
      </c>
      <c r="G6" t="s">
        <v>31</v>
      </c>
      <c r="H6">
        <f>_xlfn.VAR.S(B3:B12)</f>
        <v>253.06666666666661</v>
      </c>
      <c r="I6">
        <f>ROUNDUP(H6/H2,0)</f>
        <v>16</v>
      </c>
    </row>
    <row r="7" spans="1:10" x14ac:dyDescent="0.3">
      <c r="A7">
        <v>5</v>
      </c>
      <c r="B7">
        <v>847</v>
      </c>
      <c r="C7">
        <v>46</v>
      </c>
      <c r="D7">
        <v>8</v>
      </c>
      <c r="E7">
        <f>ROUND(B7/16,0) - Baseline!$J$5</f>
        <v>24</v>
      </c>
      <c r="G7" t="s">
        <v>33</v>
      </c>
      <c r="H7">
        <f>SQRT(H6)</f>
        <v>15.908069231263315</v>
      </c>
      <c r="I7">
        <f>ROUNDUP(H7/SQRT(H2),0)</f>
        <v>4</v>
      </c>
    </row>
    <row r="8" spans="1:10" x14ac:dyDescent="0.3">
      <c r="A8">
        <v>6</v>
      </c>
      <c r="B8">
        <v>846</v>
      </c>
      <c r="C8">
        <v>43</v>
      </c>
      <c r="D8">
        <v>8</v>
      </c>
      <c r="E8">
        <f>ROUND(B8/16,0) - Baseline!$J$5</f>
        <v>24</v>
      </c>
      <c r="G8" t="s">
        <v>38</v>
      </c>
      <c r="H8">
        <f>MAX(B3:B12)+MAX(C3:C12)/2</f>
        <v>900</v>
      </c>
      <c r="I8">
        <f>ROUNDUP(H8/H2,0)</f>
        <v>57</v>
      </c>
      <c r="J8">
        <f>'110ml øl'!I8-Baseline!$J$5</f>
        <v>28</v>
      </c>
    </row>
    <row r="9" spans="1:10" x14ac:dyDescent="0.3">
      <c r="A9">
        <v>7</v>
      </c>
      <c r="B9">
        <v>861</v>
      </c>
      <c r="C9">
        <v>32</v>
      </c>
      <c r="D9">
        <v>7</v>
      </c>
      <c r="E9">
        <f>ROUND(B9/16,0) - Baseline!$J$5</f>
        <v>25</v>
      </c>
      <c r="G9" t="s">
        <v>39</v>
      </c>
      <c r="H9">
        <f>MIN(B3:B12) - MIN(C3:C12)</f>
        <v>794</v>
      </c>
      <c r="I9">
        <f>ROUNDDOWN(H9/H2,0)</f>
        <v>49</v>
      </c>
      <c r="J9">
        <f>'110ml øl'!I9-Baseline!$J$5</f>
        <v>20</v>
      </c>
    </row>
    <row r="10" spans="1:10" x14ac:dyDescent="0.3">
      <c r="A10">
        <v>8</v>
      </c>
      <c r="B10">
        <v>830</v>
      </c>
      <c r="C10">
        <v>44</v>
      </c>
      <c r="D10">
        <v>8</v>
      </c>
      <c r="E10">
        <f>ROUND(B10/16,0) - Baseline!$J$5</f>
        <v>23</v>
      </c>
    </row>
    <row r="11" spans="1:10" x14ac:dyDescent="0.3">
      <c r="A11">
        <v>9</v>
      </c>
      <c r="B11">
        <v>825</v>
      </c>
      <c r="C11">
        <v>46</v>
      </c>
      <c r="D11">
        <v>10</v>
      </c>
      <c r="E11">
        <f>ROUND(B11/16,0) - Baseline!$J$5</f>
        <v>23</v>
      </c>
      <c r="G11" t="s">
        <v>47</v>
      </c>
      <c r="H11">
        <f>H7*1.96</f>
        <v>31.179815693276097</v>
      </c>
      <c r="I11">
        <f>ROUNDUP(I7*1.96,0)</f>
        <v>8</v>
      </c>
    </row>
    <row r="12" spans="1:10" x14ac:dyDescent="0.3">
      <c r="A12">
        <v>10</v>
      </c>
      <c r="B12">
        <v>840</v>
      </c>
      <c r="C12">
        <v>46</v>
      </c>
      <c r="D12">
        <v>10</v>
      </c>
      <c r="E12">
        <f>ROUND(B12/16,0) - Baseline!$J$5</f>
        <v>24</v>
      </c>
      <c r="G12" t="s">
        <v>48</v>
      </c>
      <c r="H12">
        <f>H5-H11</f>
        <v>819.02018430672399</v>
      </c>
      <c r="I12">
        <f>I5-I11</f>
        <v>45</v>
      </c>
      <c r="J12">
        <f>I12-Baseline!$J$5</f>
        <v>16</v>
      </c>
    </row>
    <row r="13" spans="1:10" x14ac:dyDescent="0.3">
      <c r="G13" t="s">
        <v>49</v>
      </c>
      <c r="H13">
        <f>H5+H11</f>
        <v>881.3798156932761</v>
      </c>
      <c r="I13">
        <f>I5+I11</f>
        <v>61</v>
      </c>
      <c r="J13">
        <f>I13-Baseline!$J$5</f>
        <v>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014D-591D-4853-9065-B7510B3C0328}">
  <dimension ref="A1:Q13"/>
  <sheetViews>
    <sheetView workbookViewId="0">
      <selection activeCell="Q8" sqref="Q8"/>
    </sheetView>
  </sheetViews>
  <sheetFormatPr defaultRowHeight="14.4" x14ac:dyDescent="0.3"/>
  <sheetData>
    <row r="1" spans="1:17" x14ac:dyDescent="0.3">
      <c r="A1" t="s">
        <v>25</v>
      </c>
      <c r="B1" t="s">
        <v>29</v>
      </c>
      <c r="C1" t="s">
        <v>30</v>
      </c>
      <c r="D1" t="s">
        <v>35</v>
      </c>
      <c r="E1" t="s">
        <v>53</v>
      </c>
    </row>
    <row r="2" spans="1:17" x14ac:dyDescent="0.3">
      <c r="B2" t="s">
        <v>22</v>
      </c>
      <c r="C2" t="s">
        <v>22</v>
      </c>
      <c r="G2" t="s">
        <v>36</v>
      </c>
      <c r="H2">
        <v>16</v>
      </c>
      <c r="I2" t="s">
        <v>22</v>
      </c>
    </row>
    <row r="3" spans="1:17" x14ac:dyDescent="0.3">
      <c r="A3">
        <v>1</v>
      </c>
      <c r="B3">
        <v>1001</v>
      </c>
      <c r="C3">
        <v>945</v>
      </c>
      <c r="D3">
        <f>ROUND(B3/16,0) - Baseline!$J$5</f>
        <v>34</v>
      </c>
      <c r="E3">
        <f>ROUND(C3/16,0) - Baseline!$J$5</f>
        <v>30</v>
      </c>
      <c r="G3" s="1" t="s">
        <v>44</v>
      </c>
      <c r="H3" s="1"/>
      <c r="I3" s="1"/>
      <c r="J3" s="1"/>
      <c r="K3" s="1"/>
      <c r="M3" s="1" t="s">
        <v>45</v>
      </c>
      <c r="N3" s="1"/>
      <c r="O3" s="1"/>
      <c r="P3" s="1"/>
    </row>
    <row r="4" spans="1:17" x14ac:dyDescent="0.3">
      <c r="A4">
        <v>2</v>
      </c>
      <c r="B4">
        <v>1164</v>
      </c>
      <c r="C4">
        <v>982</v>
      </c>
      <c r="D4">
        <f>ROUND(B4/16,0) - Baseline!$J$5</f>
        <v>44</v>
      </c>
      <c r="E4">
        <f>ROUND(C4/16,0) - Baseline!$J$5</f>
        <v>32</v>
      </c>
      <c r="H4" t="s">
        <v>34</v>
      </c>
      <c r="I4" t="s">
        <v>35</v>
      </c>
      <c r="J4" t="s">
        <v>41</v>
      </c>
      <c r="K4" t="s">
        <v>43</v>
      </c>
      <c r="N4" t="s">
        <v>34</v>
      </c>
      <c r="O4" t="s">
        <v>35</v>
      </c>
      <c r="P4" t="s">
        <v>42</v>
      </c>
      <c r="Q4" t="s">
        <v>43</v>
      </c>
    </row>
    <row r="5" spans="1:17" x14ac:dyDescent="0.3">
      <c r="A5">
        <v>3</v>
      </c>
      <c r="B5">
        <v>1120</v>
      </c>
      <c r="C5">
        <v>1032</v>
      </c>
      <c r="D5">
        <f>ROUND(B5/16,0) - Baseline!$J$5</f>
        <v>41</v>
      </c>
      <c r="E5">
        <f>ROUND(C5/16,0) - Baseline!$J$5</f>
        <v>36</v>
      </c>
      <c r="G5" t="s">
        <v>32</v>
      </c>
      <c r="H5">
        <f>AVERAGE(B3:B12)</f>
        <v>1128.5</v>
      </c>
      <c r="I5">
        <f>ROUNDUP(H5/H2,0)</f>
        <v>71</v>
      </c>
      <c r="J5">
        <f>I5-Baseline!$J$5</f>
        <v>42</v>
      </c>
      <c r="K5">
        <f>J5/'110ml øl'!$J$5</f>
        <v>1.75</v>
      </c>
      <c r="M5" t="s">
        <v>32</v>
      </c>
      <c r="N5">
        <f>AVERAGE(C3:C12)</f>
        <v>1052.0999999999999</v>
      </c>
      <c r="O5">
        <f>ROUNDUP(N5/H2,0)</f>
        <v>66</v>
      </c>
      <c r="P5">
        <f>O5-Baseline!$J$5</f>
        <v>37</v>
      </c>
      <c r="Q5">
        <f>P5/'110ml øl'!$J$5</f>
        <v>1.5416666666666667</v>
      </c>
    </row>
    <row r="6" spans="1:17" x14ac:dyDescent="0.3">
      <c r="A6">
        <v>4</v>
      </c>
      <c r="B6">
        <v>1189</v>
      </c>
      <c r="C6">
        <v>1082</v>
      </c>
      <c r="D6">
        <f>ROUND(B6/16,0) - Baseline!$J$5</f>
        <v>45</v>
      </c>
      <c r="E6">
        <f>ROUND(C6/16,0) - Baseline!$J$5</f>
        <v>39</v>
      </c>
      <c r="G6" t="s">
        <v>31</v>
      </c>
      <c r="H6">
        <f>_xlfn.VAR.S(B3:B12)</f>
        <v>7615.6111111111113</v>
      </c>
      <c r="I6">
        <f>ROUNDUP(H6/H2,0)</f>
        <v>476</v>
      </c>
      <c r="M6" t="s">
        <v>31</v>
      </c>
      <c r="N6">
        <f>_xlfn.VAR.S(C3:C12)</f>
        <v>3670.3222222222225</v>
      </c>
      <c r="O6">
        <f>ROUNDUP(N6/H2,0)</f>
        <v>230</v>
      </c>
    </row>
    <row r="7" spans="1:17" x14ac:dyDescent="0.3">
      <c r="A7">
        <v>5</v>
      </c>
      <c r="B7">
        <v>1045</v>
      </c>
      <c r="C7">
        <v>1038</v>
      </c>
      <c r="D7">
        <f>ROUND(B7/16,0) - Baseline!$J$5</f>
        <v>36</v>
      </c>
      <c r="E7">
        <f>ROUND(C7/16,0) - Baseline!$J$5</f>
        <v>36</v>
      </c>
      <c r="G7" t="s">
        <v>33</v>
      </c>
      <c r="H7">
        <f>SQRT(H6)</f>
        <v>87.267468802017575</v>
      </c>
      <c r="I7">
        <f>ROUNDUP(H7/SQRT(H2),0)</f>
        <v>22</v>
      </c>
      <c r="M7" t="s">
        <v>33</v>
      </c>
      <c r="N7">
        <f>SQRT(N6)</f>
        <v>60.583184318936411</v>
      </c>
      <c r="O7">
        <f>ROUNDUP(N7/SQRT(H2),0)</f>
        <v>16</v>
      </c>
    </row>
    <row r="8" spans="1:17" x14ac:dyDescent="0.3">
      <c r="A8">
        <v>6</v>
      </c>
      <c r="B8">
        <v>1051</v>
      </c>
      <c r="C8">
        <v>1051</v>
      </c>
      <c r="D8">
        <f>ROUND(B8/16,0) - Baseline!$J$5</f>
        <v>37</v>
      </c>
      <c r="E8">
        <f>ROUND(C8/16,0) - Baseline!$J$5</f>
        <v>37</v>
      </c>
      <c r="G8" t="s">
        <v>38</v>
      </c>
      <c r="H8">
        <f>MAX(B3:B12)</f>
        <v>1301</v>
      </c>
      <c r="I8">
        <f>ROUNDUP(H8/H2,0)</f>
        <v>82</v>
      </c>
      <c r="J8">
        <f>I8-Baseline!$J$5</f>
        <v>53</v>
      </c>
      <c r="K8">
        <f>J8/'110ml øl'!$J$5</f>
        <v>2.2083333333333335</v>
      </c>
      <c r="M8" t="s">
        <v>38</v>
      </c>
      <c r="N8">
        <f>MAX(C3:C12)</f>
        <v>1164</v>
      </c>
      <c r="O8">
        <f>ROUND(N8/H2,0)</f>
        <v>73</v>
      </c>
      <c r="P8">
        <f>O8-Baseline!$J$5</f>
        <v>44</v>
      </c>
      <c r="Q8">
        <f>P8/'110ml øl'!$J$5</f>
        <v>1.8333333333333333</v>
      </c>
    </row>
    <row r="9" spans="1:17" x14ac:dyDescent="0.3">
      <c r="A9">
        <v>7</v>
      </c>
      <c r="B9">
        <v>1301</v>
      </c>
      <c r="C9">
        <v>1063</v>
      </c>
      <c r="D9">
        <f>ROUND(B9/16,0) - Baseline!$J$5</f>
        <v>52</v>
      </c>
      <c r="E9">
        <f>ROUND(C9/16,0) - Baseline!$J$5</f>
        <v>37</v>
      </c>
      <c r="G9" t="s">
        <v>39</v>
      </c>
      <c r="H9">
        <f>MIN(B3:B12)</f>
        <v>1001</v>
      </c>
      <c r="I9">
        <f>ROUNDUP(H9/H2,0)</f>
        <v>63</v>
      </c>
      <c r="J9">
        <f>I9-Baseline!$J$5</f>
        <v>34</v>
      </c>
      <c r="K9">
        <f>J9/'110ml øl'!$J$5</f>
        <v>1.4166666666666667</v>
      </c>
      <c r="M9" t="s">
        <v>39</v>
      </c>
      <c r="N9">
        <f>MIN(C3:C12)</f>
        <v>945</v>
      </c>
      <c r="O9">
        <f>ROUNDUP(N9/H2,0)</f>
        <v>60</v>
      </c>
      <c r="P9">
        <f>O9-Baseline!$J$5</f>
        <v>31</v>
      </c>
      <c r="Q9">
        <f>P9/'110ml øl'!$J$5</f>
        <v>1.2916666666666667</v>
      </c>
    </row>
    <row r="10" spans="1:17" x14ac:dyDescent="0.3">
      <c r="A10">
        <v>8</v>
      </c>
      <c r="B10">
        <v>1095</v>
      </c>
      <c r="C10">
        <v>1164</v>
      </c>
      <c r="D10">
        <f>ROUND(B10/16,0) - Baseline!$J$5</f>
        <v>39</v>
      </c>
      <c r="E10">
        <f>ROUND(C10/16,0) - Baseline!$J$5</f>
        <v>44</v>
      </c>
    </row>
    <row r="11" spans="1:17" x14ac:dyDescent="0.3">
      <c r="A11">
        <v>9</v>
      </c>
      <c r="B11">
        <v>1132</v>
      </c>
      <c r="C11">
        <v>1101</v>
      </c>
      <c r="D11">
        <f>ROUND(B11/16,0) - Baseline!$J$5</f>
        <v>42</v>
      </c>
      <c r="E11">
        <f>ROUND(C11/16,0) - Baseline!$J$5</f>
        <v>40</v>
      </c>
      <c r="G11" t="s">
        <v>47</v>
      </c>
      <c r="H11">
        <f>H7*1.96</f>
        <v>171.04423885195445</v>
      </c>
      <c r="I11">
        <f>ROUNDUP(I7*1.96,0)</f>
        <v>44</v>
      </c>
    </row>
    <row r="12" spans="1:17" x14ac:dyDescent="0.3">
      <c r="A12">
        <v>10</v>
      </c>
      <c r="B12">
        <v>1187</v>
      </c>
      <c r="C12">
        <v>1063</v>
      </c>
      <c r="D12">
        <f>ROUND(B12/16,0) - Baseline!$J$5</f>
        <v>45</v>
      </c>
      <c r="E12">
        <f>ROUND(C12/16,0) - Baseline!$J$5</f>
        <v>37</v>
      </c>
      <c r="G12" t="s">
        <v>48</v>
      </c>
      <c r="H12">
        <f>H5-H11</f>
        <v>957.45576114804555</v>
      </c>
      <c r="I12">
        <f>I5-I11</f>
        <v>27</v>
      </c>
      <c r="J12">
        <f>I12-Baseline!$J$5</f>
        <v>-2</v>
      </c>
    </row>
    <row r="13" spans="1:17" x14ac:dyDescent="0.3">
      <c r="G13" t="s">
        <v>49</v>
      </c>
      <c r="H13">
        <f>H5+H11</f>
        <v>1299.5442388519546</v>
      </c>
      <c r="I13">
        <f>I5+I11</f>
        <v>115</v>
      </c>
      <c r="J13">
        <f>I13-Baseline!$J$5</f>
        <v>86</v>
      </c>
      <c r="M13" t="s">
        <v>50</v>
      </c>
    </row>
  </sheetData>
  <mergeCells count="2">
    <mergeCell ref="G3:K3"/>
    <mergeCell ref="M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Signal conditioning</vt:lpstr>
      <vt:lpstr>Baseline</vt:lpstr>
      <vt:lpstr>90ml øl</vt:lpstr>
      <vt:lpstr>90ml øl - placering og fjernels</vt:lpstr>
      <vt:lpstr>90ml øl fjernes</vt:lpstr>
      <vt:lpstr>90ml øl - bold drop</vt:lpstr>
      <vt:lpstr>90ml øl - ball drop 2</vt:lpstr>
      <vt:lpstr>110ml øl</vt:lpstr>
      <vt:lpstr>110ml øl - placering og fjernel</vt:lpstr>
      <vt:lpstr>110ml øl - drop</vt:lpstr>
      <vt:lpstr>110ml øl - kast (rammer kant)</vt:lpstr>
      <vt:lpstr>130ml øl</vt:lpstr>
      <vt:lpstr>130ml øl - placering og fjernel</vt:lpstr>
      <vt:lpstr>130ml øl - ball 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2018-12-16T00:24:11Z</dcterms:modified>
</cp:coreProperties>
</file>