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545" tabRatio="500" firstSheet="17" activeTab="19"/>
  </bookViews>
  <sheets>
    <sheet name="LogEffortAllLang" sheetId="1" r:id="rId1"/>
    <sheet name="testResults77orgDeshaDataLR" sheetId="2" r:id="rId2"/>
    <sheet name="testResults77orgDeshaDataNnet2C" sheetId="3" r:id="rId3"/>
    <sheet name="testResultsLang1onlyLRenet" sheetId="4" r:id="rId4"/>
    <sheet name="testResultsLangDummyVar" sheetId="5" r:id="rId5"/>
    <sheet name="testResultsLangDummyVarLRplsEne" sheetId="6" r:id="rId6"/>
    <sheet name="testResultsLogEffLang1onlyRfCub" sheetId="7" r:id="rId7"/>
    <sheet name="desharnaisLogEffort77kaggleLang" sheetId="8" r:id="rId8"/>
    <sheet name="Sheet1" sheetId="9" r:id="rId9"/>
    <sheet name="Sheet2" sheetId="10" r:id="rId10"/>
    <sheet name="desharnaisLogEffDummyKaggle (2)" sheetId="11" r:id="rId11"/>
    <sheet name="desharnaisLogLang1onlyKaggle " sheetId="12" r:id="rId12"/>
    <sheet name="desharnaisLogLang1only (1107)" sheetId="13" r:id="rId13"/>
    <sheet name="desharnaisLogEffort77all (1107)" sheetId="14" r:id="rId14"/>
    <sheet name="Sheet4" sheetId="16" r:id="rId15"/>
    <sheet name="Sheet3" sheetId="15" r:id="rId16"/>
    <sheet name="desharnaisLog123only (411)" sheetId="17" r:id="rId17"/>
    <sheet name="计算用表" sheetId="18" r:id="rId18"/>
    <sheet name="结果" sheetId="19" r:id="rId19"/>
    <sheet name="Sheet7" sheetId="20" r:id="rId20"/>
  </sheets>
  <externalReferences>
    <externalReference r:id="rId21"/>
  </externalReferences>
  <definedNames>
    <definedName name="avg" localSheetId="16">[1]desharnaisLogEffort77kaggleLang!$B$6</definedName>
    <definedName name="avg" localSheetId="10">[1]desharnaisLogEffort77kaggleLang!$B$6</definedName>
    <definedName name="avg" localSheetId="13">[1]desharnaisLogEffort77kaggleLang!$B$6</definedName>
    <definedName name="avg" localSheetId="7">[1]desharnaisLogEffort77kaggleLang!$B$6</definedName>
    <definedName name="avg" localSheetId="12">[1]desharnaisLogEffort77kaggleLang!$B$6</definedName>
    <definedName name="avg" localSheetId="11">[1]desharnaisLogEffort77kaggleLang!$B$6</definedName>
    <definedName name="avg" localSheetId="0">LogEffortAllLang!$B$6</definedName>
    <definedName name="avg" localSheetId="2">testResults77orgDeshaDataNnet2C!$B$8</definedName>
    <definedName name="avg" localSheetId="3">testResultsLang1onlyLRenet!$B$6</definedName>
    <definedName name="avg" localSheetId="4">testResultsLangDummyVar!$B$8</definedName>
    <definedName name="avg" localSheetId="5">testResultsLangDummyVarLRplsEne!$B$8</definedName>
    <definedName name="avg" localSheetId="6">testResultsLogEffLang1onlyRfCub!$B$6</definedName>
    <definedName name="avg">#REF!</definedName>
    <definedName name="avge" localSheetId="16">[1]desharnaisLogEffort77kaggleLang!$B$6</definedName>
    <definedName name="avge" localSheetId="10">[1]desharnaisLogEffort77kaggleLang!$B$6</definedName>
    <definedName name="avge" localSheetId="13">[1]desharnaisLogEffort77kaggleLang!$B$6</definedName>
    <definedName name="avge" localSheetId="7">[1]desharnaisLogEffort77kaggleLang!$B$6</definedName>
    <definedName name="avge" localSheetId="12">[1]desharnaisLogEffort77kaggleLang!$B$6</definedName>
    <definedName name="avge" localSheetId="11">[1]desharnaisLogEffort77kaggleLang!$B$6</definedName>
    <definedName name="avge" localSheetId="0">LogEffortAllLang!$B$6</definedName>
    <definedName name="avge" localSheetId="1">testResults77orgDeshaDataLR!$B$8</definedName>
    <definedName name="avge" localSheetId="2">testResults77orgDeshaDataNnet2C!$B$8</definedName>
    <definedName name="avge" localSheetId="3">testResultsLang1onlyLRenet!$B$6</definedName>
    <definedName name="avge" localSheetId="4">testResultsLangDummyVar!$B$8</definedName>
    <definedName name="avge" localSheetId="5">testResultsLangDummyVarLRplsEne!$B$8</definedName>
    <definedName name="avge" localSheetId="6">testResultsLogEffLang1onlyRfCub!$B$6</definedName>
    <definedName name="avge">testResults77orgDeshaDataLR!$B$8</definedName>
    <definedName name="avge01" localSheetId="1">testResults77orgDeshaDataLR!$B$8</definedName>
    <definedName name="avge01" localSheetId="2">testResults77orgDeshaDataNnet2C!$B$8</definedName>
    <definedName name="avge02" localSheetId="2">testResults77orgDeshaDataNnet2C!$B$8</definedName>
    <definedName name="avge02">testResults77orgDeshaDataNnet2C!$B$8</definedName>
    <definedName name="avge03" localSheetId="3">testResultsLang1onlyLRenet!$B$6</definedName>
    <definedName name="avge04" localSheetId="16">[1]desharnaisLogEffort77kaggleLang!$B$6</definedName>
    <definedName name="avge04" localSheetId="10">[1]desharnaisLogEffort77kaggleLang!$B$6</definedName>
    <definedName name="avge04" localSheetId="13">[1]desharnaisLogEffort77kaggleLang!$B$6</definedName>
    <definedName name="avge04" localSheetId="7">[1]desharnaisLogEffort77kaggleLang!$B$6</definedName>
    <definedName name="avge04" localSheetId="12">[1]desharnaisLogEffort77kaggleLang!$B$6</definedName>
    <definedName name="avge04" localSheetId="11">[1]desharnaisLogEffort77kaggleLang!$B$6</definedName>
    <definedName name="avge04" localSheetId="4">testResultsLangDummyVar!$B$8</definedName>
    <definedName name="avge04" localSheetId="5">testResultsLangDummyVarLRplsEne!$B$8</definedName>
    <definedName name="avge04" localSheetId="6">testResultsLogEffLang1onlyRfCub!$B$6</definedName>
    <definedName name="avge05" localSheetId="16">[1]desharnaisLogEffort77kaggleLang!$B$6</definedName>
    <definedName name="avge05" localSheetId="10">[1]desharnaisLogEffort77kaggleLang!$B$6</definedName>
    <definedName name="avge05" localSheetId="13">[1]desharnaisLogEffort77kaggleLang!$B$6</definedName>
    <definedName name="avge05" localSheetId="7">[1]desharnaisLogEffort77kaggleLang!$B$6</definedName>
    <definedName name="avge05" localSheetId="12">[1]desharnaisLogEffort77kaggleLang!$B$6</definedName>
    <definedName name="avge05" localSheetId="11">[1]desharnaisLogEffort77kaggleLang!$B$6</definedName>
    <definedName name="avge05" localSheetId="6">testResultsLogEffLang1onlyRfCub!$B$6</definedName>
    <definedName name="avge05">testResultsLangDummyVarLRplsEne!$B$8</definedName>
    <definedName name="avge06" localSheetId="16">[1]desharnaisLogEffort77kaggleLang!$B$6</definedName>
    <definedName name="avge06" localSheetId="10">[1]desharnaisLogEffort77kaggleLang!$B$6</definedName>
    <definedName name="avge06" localSheetId="13">[1]desharnaisLogEffort77kaggleLang!$B$6</definedName>
    <definedName name="avge06" localSheetId="7">[1]desharnaisLogEffort77kaggleLang!$B$6</definedName>
    <definedName name="avge06" localSheetId="12">[1]desharnaisLogEffort77kaggleLang!$B$6</definedName>
    <definedName name="avge06" localSheetId="11">[1]desharnaisLogEffort77kaggleLang!$B$6</definedName>
    <definedName name="avge06">testResultsLogEffLang1onlyRfCub!$B$6</definedName>
    <definedName name="avgLogEff" localSheetId="16">'desharnaisLog123only (411)'!$B$28</definedName>
    <definedName name="avgLogEff" localSheetId="10">'desharnaisLogEffDummyKaggle (2)'!$B$28</definedName>
    <definedName name="avgLogEff" localSheetId="13">'desharnaisLogEffort77all (1107)'!$B$28</definedName>
    <definedName name="avgLogEff" localSheetId="12">'desharnaisLogLang1only (1107)'!$B$28</definedName>
    <definedName name="avgLogEff" localSheetId="11">'desharnaisLogLang1onlyKaggle '!$B$28</definedName>
    <definedName name="avgLogEff">desharnaisLogEffort77kaggleLang!$B$28</definedName>
    <definedName name="Sum" localSheetId="16">[1]desharnaisLogEffort77kaggleLang!$B$6</definedName>
    <definedName name="Sum" localSheetId="10">[1]desharnaisLogEffort77kaggleLang!$B$6</definedName>
    <definedName name="Sum" localSheetId="13">[1]desharnaisLogEffort77kaggleLang!$B$6</definedName>
    <definedName name="Sum" localSheetId="7">[1]desharnaisLogEffort77kaggleLang!$B$6</definedName>
    <definedName name="Sum" localSheetId="12">[1]desharnaisLogEffort77kaggleLang!$B$6</definedName>
    <definedName name="Sum" localSheetId="11">[1]desharnaisLogEffort77kaggleLang!$B$6</definedName>
    <definedName name="Sum" localSheetId="1">testResults77orgDeshaDataLR!$B$8</definedName>
    <definedName name="Sum" localSheetId="2">testResults77orgDeshaDataNnet2C!$B$8</definedName>
    <definedName name="Sum" localSheetId="3">testResultsLang1onlyLRenet!$B$6</definedName>
    <definedName name="Sum" localSheetId="4">testResultsLangDummyVar!$B$8</definedName>
    <definedName name="Sum" localSheetId="5">testResultsLangDummyVarLRplsEne!$B$8</definedName>
    <definedName name="Sum" localSheetId="6">testResultsLogEffLang1onlyRfCub!$B$6</definedName>
    <definedName name="Sum">#REF!</definedName>
    <definedName name="Ybar_height" localSheetId="16">'desharnaisLog123only (411)'!$B$147</definedName>
    <definedName name="Ybar_height" localSheetId="10">'desharnaisLogEffDummyKaggle (2)'!$B$147</definedName>
    <definedName name="Ybar_height" localSheetId="13">'desharnaisLogEffort77all (1107)'!$B$147</definedName>
    <definedName name="Ybar_height" localSheetId="12">'desharnaisLogLang1only (1107)'!$B$147</definedName>
    <definedName name="Ybar_height" localSheetId="11">'desharnaisLogLang1onlyKaggle '!$B$147</definedName>
    <definedName name="Ybar_height">desharnaisLogEffort77kaggleLang!$B$147</definedName>
    <definedName name="Ybar_prod" localSheetId="16">'desharnaisLog123only (411)'!$B$161</definedName>
    <definedName name="Ybar_prod" localSheetId="10">'desharnaisLogEffDummyKaggle (2)'!$B$161</definedName>
    <definedName name="Ybar_prod" localSheetId="13">'desharnaisLogEffort77all (1107)'!$B$161</definedName>
    <definedName name="Ybar_prod" localSheetId="12">'desharnaisLogLang1only (1107)'!$B$161</definedName>
    <definedName name="Ybar_prod" localSheetId="11">'desharnaisLogLang1onlyKaggle '!$B$161</definedName>
    <definedName name="Ybar_prod">desharnaisLogEffort77kaggleLang!$B$161</definedName>
    <definedName name="Ybar_sales" localSheetId="16">'desharnaisLog123only (411)'!$B$186</definedName>
    <definedName name="Ybar_sales" localSheetId="10">'desharnaisLogEffDummyKaggle (2)'!$B$186</definedName>
    <definedName name="Ybar_sales" localSheetId="13">'desharnaisLogEffort77all (1107)'!$B$186</definedName>
    <definedName name="Ybar_sales" localSheetId="12">'desharnaisLogLang1only (1107)'!$B$186</definedName>
    <definedName name="Ybar_sales" localSheetId="11">'desharnaisLogLang1onlyKaggle '!$B$186</definedName>
    <definedName name="Ybar_sales">desharnaisLogEffort77kaggleLang!$B$186</definedName>
  </definedNames>
  <calcPr calcId="144525"/>
</workbook>
</file>

<file path=xl/sharedStrings.xml><?xml version="1.0" encoding="utf-8"?>
<sst xmlns="http://schemas.openxmlformats.org/spreadsheetml/2006/main" count="1382" uniqueCount="87">
  <si>
    <t>Obs</t>
  </si>
  <si>
    <t>LR</t>
  </si>
  <si>
    <t>Ssres</t>
  </si>
  <si>
    <t>Sstot</t>
  </si>
  <si>
    <t>Rsquare</t>
  </si>
  <si>
    <t>RMSE</t>
  </si>
  <si>
    <t>Enet</t>
  </si>
  <si>
    <t>Pls</t>
  </si>
  <si>
    <t>MARS</t>
  </si>
  <si>
    <t>Sum</t>
  </si>
  <si>
    <t>NNET</t>
  </si>
  <si>
    <t>SVMR</t>
  </si>
  <si>
    <t>SVMP</t>
  </si>
  <si>
    <t>RF</t>
  </si>
  <si>
    <t>CUBIST</t>
  </si>
  <si>
    <t>PLS</t>
  </si>
  <si>
    <t>ENET</t>
  </si>
  <si>
    <t>Linear_Regression</t>
  </si>
  <si>
    <t>lmTune0</t>
  </si>
  <si>
    <t>PCR</t>
  </si>
  <si>
    <t>month</t>
  </si>
  <si>
    <t>height</t>
  </si>
  <si>
    <t>Reg predict</t>
  </si>
  <si>
    <t>Ybar_height:</t>
  </si>
  <si>
    <t>Temp</t>
  </si>
  <si>
    <t>Prod</t>
  </si>
  <si>
    <t>Ybar_prod:</t>
  </si>
  <si>
    <t>Ybar_sales:</t>
  </si>
  <si>
    <t>desharnaisLogEffort77kaggle</t>
  </si>
  <si>
    <t>desharnais77kaggle</t>
  </si>
  <si>
    <t>Rsquared</t>
  </si>
  <si>
    <t>lmTune</t>
  </si>
  <si>
    <t>ridgeTune</t>
  </si>
  <si>
    <t>enetTune</t>
  </si>
  <si>
    <t>plsTune</t>
  </si>
  <si>
    <t>pcrTune</t>
  </si>
  <si>
    <t>nnetTune</t>
  </si>
  <si>
    <t>svmRTune</t>
  </si>
  <si>
    <t>svmPTune</t>
  </si>
  <si>
    <t>marsTune</t>
  </si>
  <si>
    <t>rfTune</t>
  </si>
  <si>
    <t>cubistTune</t>
  </si>
  <si>
    <t>LogEffortAllLang</t>
  </si>
  <si>
    <t>testResults77orgDeshaDataLR</t>
  </si>
  <si>
    <t>testResultsLang1onlyLRenet</t>
  </si>
  <si>
    <t>testResultsLangDummyVar</t>
  </si>
  <si>
    <t>testResultsLangDummyVarLRplsEne</t>
  </si>
  <si>
    <t>testResultsLogEffLang1onlyRfCub</t>
  </si>
  <si>
    <t>desharnaisLogEffort77kaggleLang3only3</t>
  </si>
  <si>
    <t>desharnaisLogEffort77kaggleLang3only2</t>
  </si>
  <si>
    <t xml:space="preserve"> 0.222</t>
  </si>
  <si>
    <t xml:space="preserve">Enet </t>
  </si>
  <si>
    <t xml:space="preserve"> 0.3144</t>
  </si>
  <si>
    <t xml:space="preserve">pcrTune </t>
  </si>
  <si>
    <t xml:space="preserve">TeamExp 与 PointsAjust </t>
  </si>
  <si>
    <t>TeamExp = 1.64 + 0.00217 PointsAjust</t>
  </si>
  <si>
    <t>ManagerExp = 2.22 + 0.00171 PointsAjust</t>
  </si>
  <si>
    <t>YearEnd = 85.7 + 0.000148 PointsAjust</t>
  </si>
  <si>
    <t>Length = 3.53 + 0.0272 PointsAjust</t>
  </si>
  <si>
    <t>PointsAjust</t>
  </si>
  <si>
    <t>TeamExp</t>
  </si>
  <si>
    <t xml:space="preserve">ManagerExp </t>
  </si>
  <si>
    <t xml:space="preserve">YearEnd </t>
  </si>
  <si>
    <t>Length</t>
  </si>
  <si>
    <t>Effort = 3.18 + 0.00127 PointsAjust</t>
  </si>
  <si>
    <t>Transactions = - 19.4 + 0.703 PointsAjust</t>
  </si>
  <si>
    <t>Entities = 46.6 + 0.261 PointsAjust</t>
  </si>
  <si>
    <t>Adjustment = 18.6 + 0.0291 PointsAjust</t>
  </si>
  <si>
    <t>Effort</t>
  </si>
  <si>
    <t>Transactions</t>
  </si>
  <si>
    <t>Entities</t>
  </si>
  <si>
    <t>Adjustment</t>
  </si>
  <si>
    <t>LogEffort = 3.18 + 0.00127 PointsAjust</t>
  </si>
  <si>
    <t>LogPtsAjust = 1.99 + 0.00133 PointsAjust</t>
  </si>
  <si>
    <t>LogTransac = 1.78 + 0.00126 PointsAjust</t>
  </si>
  <si>
    <t>Language1 = 0.567 - 0.000087 PointsAjust</t>
  </si>
  <si>
    <t>LogEffort</t>
  </si>
  <si>
    <t>LogPtsAjust</t>
  </si>
  <si>
    <t>LogTransac</t>
  </si>
  <si>
    <t>Language1</t>
  </si>
  <si>
    <t>Linear-Regression</t>
  </si>
  <si>
    <t>enet</t>
  </si>
  <si>
    <t>SVMr</t>
  </si>
  <si>
    <t>SVMp</t>
  </si>
  <si>
    <t>cubist</t>
  </si>
  <si>
    <t>MINITAB</t>
  </si>
  <si>
    <t>fangshi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</si>
</sst>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"/>
    <numFmt numFmtId="177" formatCode="0.000_ "/>
    <numFmt numFmtId="178" formatCode="0.00_ "/>
    <numFmt numFmtId="179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0.0000_ "/>
    <numFmt numFmtId="181" formatCode="0.000000"/>
    <numFmt numFmtId="182" formatCode="0.0000000_ "/>
    <numFmt numFmtId="183" formatCode="0.000000_ "/>
    <numFmt numFmtId="184" formatCode="0.0_ "/>
    <numFmt numFmtId="185" formatCode="0.0000E+00"/>
  </numFmts>
  <fonts count="33">
    <font>
      <sz val="11"/>
      <color rgb="FF000000"/>
      <name val="Arial"/>
      <charset val="134"/>
    </font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sz val="11"/>
      <color theme="1"/>
      <name val="等线"/>
      <charset val="134"/>
      <scheme val="minor"/>
    </font>
    <font>
      <b/>
      <sz val="11"/>
      <color rgb="FFCE181E"/>
      <name val="Arial"/>
      <charset val="134"/>
    </font>
    <font>
      <sz val="11"/>
      <color rgb="FF0000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0"/>
      <color rgb="FF0000EE"/>
      <name val="Arial"/>
      <charset val="134"/>
    </font>
    <font>
      <b/>
      <sz val="10"/>
      <color rgb="FF000000"/>
      <name val="Arial"/>
      <charset val="134"/>
    </font>
    <font>
      <b/>
      <sz val="18"/>
      <color theme="3"/>
      <name val="等线"/>
      <charset val="134"/>
      <scheme val="minor"/>
    </font>
    <font>
      <sz val="10"/>
      <color rgb="FFCC0000"/>
      <name val="Arial"/>
      <charset val="134"/>
    </font>
    <font>
      <i/>
      <sz val="10"/>
      <color rgb="FF808080"/>
      <name val="Arial"/>
      <charset val="134"/>
    </font>
    <font>
      <sz val="11"/>
      <color rgb="FFFA7D00"/>
      <name val="等线"/>
      <charset val="0"/>
      <scheme val="minor"/>
    </font>
    <font>
      <b/>
      <sz val="24"/>
      <color rgb="FF000000"/>
      <name val="Arial"/>
      <charset val="134"/>
    </font>
    <font>
      <sz val="10"/>
      <color rgb="FFFFFFFF"/>
      <name val="Arial"/>
      <charset val="134"/>
    </font>
    <font>
      <b/>
      <sz val="10"/>
      <color rgb="FFFFFFFF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BB6"/>
        <bgColor rgb="FFDDDDDD"/>
      </patternFill>
    </fill>
    <fill>
      <patternFill patternType="solid">
        <fgColor rgb="FFE8F2A1"/>
        <bgColor rgb="FFFFFFCC"/>
      </patternFill>
    </fill>
    <fill>
      <patternFill patternType="solid">
        <fgColor rgb="FFDEE6EF"/>
        <bgColor rgb="FFDDDDDD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C0000"/>
        <bgColor rgb="FFCE181E"/>
      </patternFill>
    </fill>
    <fill>
      <patternFill patternType="solid">
        <fgColor rgb="FF808080"/>
        <bgColor rgb="FF969696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3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37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1" fillId="36" borderId="0">
      <alignment vertical="center"/>
    </xf>
    <xf numFmtId="0" fontId="31" fillId="40" borderId="0">
      <alignment vertical="center"/>
    </xf>
    <xf numFmtId="0" fontId="32" fillId="39" borderId="0">
      <alignment vertical="center"/>
    </xf>
    <xf numFmtId="0" fontId="3" fillId="0" borderId="0">
      <alignment vertical="center"/>
    </xf>
    <xf numFmtId="0" fontId="27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0" fillId="3" borderId="0" xfId="0" applyFont="1" applyFill="1">
      <alignment vertical="center"/>
    </xf>
    <xf numFmtId="180" fontId="0" fillId="3" borderId="0" xfId="0" applyNumberFormat="1" applyFill="1">
      <alignment vertical="center"/>
    </xf>
    <xf numFmtId="180" fontId="0" fillId="4" borderId="0" xfId="0" applyNumberFormat="1" applyFill="1">
      <alignment vertical="center"/>
    </xf>
    <xf numFmtId="18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81" fontId="0" fillId="0" borderId="0" xfId="0" applyNumberFormat="1">
      <alignment vertical="center"/>
    </xf>
    <xf numFmtId="0" fontId="6" fillId="0" borderId="0" xfId="0" applyFont="1">
      <alignment vertical="center"/>
    </xf>
    <xf numFmtId="11" fontId="0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0" fillId="2" borderId="0" xfId="0" applyNumberFormat="1" applyFill="1">
      <alignment vertical="center"/>
    </xf>
    <xf numFmtId="179" fontId="2" fillId="0" borderId="0" xfId="0" applyNumberFormat="1" applyFont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80" fontId="0" fillId="5" borderId="0" xfId="0" applyNumberFormat="1" applyFill="1">
      <alignment vertical="center"/>
    </xf>
    <xf numFmtId="182" fontId="0" fillId="2" borderId="0" xfId="0" applyNumberFormat="1" applyFill="1">
      <alignment vertical="center"/>
    </xf>
    <xf numFmtId="183" fontId="0" fillId="2" borderId="0" xfId="0" applyNumberFormat="1" applyFill="1">
      <alignment vertical="center"/>
    </xf>
    <xf numFmtId="182" fontId="0" fillId="0" borderId="0" xfId="0" applyNumberFormat="1">
      <alignment vertical="center"/>
    </xf>
    <xf numFmtId="17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  <xf numFmtId="184" fontId="0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0" fillId="2" borderId="0" xfId="0" applyNumberFormat="1" applyFill="1">
      <alignment vertical="center"/>
    </xf>
    <xf numFmtId="184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8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81" fontId="0" fillId="2" borderId="0" xfId="0" applyNumberFormat="1" applyFont="1" applyFill="1">
      <alignment vertical="center"/>
    </xf>
    <xf numFmtId="185" fontId="0" fillId="3" borderId="0" xfId="0" applyNumberFormat="1" applyFont="1" applyFill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Accent 5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Footnote 12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Status 7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Heading 3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Hyperlink 4" xfId="47"/>
    <cellStyle name="强调文字颜色 5" xfId="48" builtinId="45"/>
    <cellStyle name="40% - 强调文字颜色 5" xfId="49" builtinId="47"/>
    <cellStyle name="Accent 3 10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Accent 1 6" xfId="55"/>
    <cellStyle name="Accent 2 9" xfId="56"/>
    <cellStyle name="Error 11" xfId="57"/>
    <cellStyle name="Text 13" xfId="58"/>
    <cellStyle name="Warning 8" xfId="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8F2A1"/>
      <rgbColor rgb="0099CCFF"/>
      <rgbColor rgb="00FF99CC"/>
      <rgbColor rgb="00CC99FF"/>
      <rgbColor rgb="00FFDBB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219075</xdr:colOff>
      <xdr:row>37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2714625"/>
          <a:ext cx="5705475" cy="405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161925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7058025"/>
          <a:ext cx="5648325" cy="405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9</xdr:col>
      <xdr:colOff>209550</xdr:colOff>
      <xdr:row>86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1582400"/>
          <a:ext cx="5695950" cy="404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190500</xdr:colOff>
      <xdr:row>110</xdr:row>
      <xdr:rowOff>57150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5925800"/>
          <a:ext cx="5676900" cy="403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sharnaisLogEffort77kaggleLang3only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harnaisLogEffort77kaggleLa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opLeftCell="P1" workbookViewId="0">
      <selection activeCell="U1" sqref="U1"/>
    </sheetView>
  </sheetViews>
  <sheetFormatPr defaultColWidth="9" defaultRowHeight="14.25" outlineLevelRow="5"/>
  <cols>
    <col min="1" max="25" width="12.125" customWidth="1"/>
    <col min="26" max="1025" width="9" customWidth="1"/>
  </cols>
  <sheetData>
    <row r="1" spans="2:25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6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</row>
    <row r="2" spans="2:25">
      <c r="B2">
        <v>3.71</v>
      </c>
      <c r="C2">
        <v>3.83</v>
      </c>
      <c r="D2" s="2">
        <f>(B2-C2)^2</f>
        <v>0.0144</v>
      </c>
      <c r="E2" s="40">
        <f>(B2-avg)^2</f>
        <v>0.0495062499999999</v>
      </c>
      <c r="F2" s="40"/>
      <c r="G2" s="40"/>
      <c r="H2">
        <v>3.71</v>
      </c>
      <c r="I2">
        <v>3.701</v>
      </c>
      <c r="J2" s="41">
        <f>(H2-I2)^2</f>
        <v>8.09999999999981e-5</v>
      </c>
      <c r="K2" s="11">
        <f>(H2-avg)^2</f>
        <v>0.0495062499999999</v>
      </c>
      <c r="L2" s="11"/>
      <c r="M2" s="11"/>
      <c r="N2">
        <v>3.71</v>
      </c>
      <c r="O2">
        <v>3.643</v>
      </c>
      <c r="P2" s="30">
        <f>(N2-O2)^2</f>
        <v>0.00448900000000002</v>
      </c>
      <c r="Q2" s="30">
        <f>(N2-avg)^2</f>
        <v>0.0495062499999999</v>
      </c>
      <c r="R2" s="30"/>
      <c r="S2" s="30"/>
      <c r="T2">
        <v>3.71</v>
      </c>
      <c r="U2">
        <v>3.674</v>
      </c>
      <c r="V2" s="31">
        <f>(T2-U2)^2</f>
        <v>0.001296</v>
      </c>
      <c r="W2" s="31">
        <f>(T2-avg)^2</f>
        <v>0.0495062499999999</v>
      </c>
      <c r="X2" s="31"/>
      <c r="Y2" s="31"/>
    </row>
    <row r="3" spans="2:25">
      <c r="B3">
        <v>3.75</v>
      </c>
      <c r="C3">
        <v>3.6</v>
      </c>
      <c r="D3" s="2">
        <f>(B3-C3)^2</f>
        <v>0.0225</v>
      </c>
      <c r="E3" s="40">
        <f>(B3-avg)^2</f>
        <v>0.0689062499999999</v>
      </c>
      <c r="F3" s="40"/>
      <c r="G3" s="40"/>
      <c r="H3">
        <v>3.75</v>
      </c>
      <c r="I3">
        <v>3.571</v>
      </c>
      <c r="J3" s="11">
        <f>(H3-I3)^2</f>
        <v>0.0320409999999999</v>
      </c>
      <c r="K3" s="11">
        <f>(H3-avg)^2</f>
        <v>0.0689062499999999</v>
      </c>
      <c r="L3" s="11"/>
      <c r="M3" s="11"/>
      <c r="N3">
        <v>3.75</v>
      </c>
      <c r="O3">
        <v>3.679</v>
      </c>
      <c r="P3" s="30">
        <f>(N3-O3)^2</f>
        <v>0.00504100000000002</v>
      </c>
      <c r="Q3" s="30">
        <f>(N3-avg)^2</f>
        <v>0.0689062499999999</v>
      </c>
      <c r="R3" s="30"/>
      <c r="S3" s="30"/>
      <c r="T3">
        <v>3.75</v>
      </c>
      <c r="U3">
        <v>3.655</v>
      </c>
      <c r="V3" s="31">
        <f>(T3-U3)^2</f>
        <v>0.00902500000000004</v>
      </c>
      <c r="W3" s="31">
        <f>(T3-avg)^2</f>
        <v>0.0689062499999999</v>
      </c>
      <c r="X3" s="31"/>
      <c r="Y3" s="31"/>
    </row>
    <row r="4" spans="2:25">
      <c r="B4">
        <v>2.91</v>
      </c>
      <c r="C4">
        <v>3.17</v>
      </c>
      <c r="D4" s="2">
        <f>(B4-C4)^2</f>
        <v>0.0675999999999999</v>
      </c>
      <c r="E4" s="40">
        <f>(B4-avg)^2</f>
        <v>0.33350625</v>
      </c>
      <c r="F4" s="40"/>
      <c r="G4" s="40"/>
      <c r="H4">
        <v>2.91</v>
      </c>
      <c r="I4">
        <v>3.281</v>
      </c>
      <c r="J4" s="11">
        <f>(H4-I4)^2</f>
        <v>0.137641</v>
      </c>
      <c r="K4" s="11">
        <f>(H4-avg)^2</f>
        <v>0.33350625</v>
      </c>
      <c r="L4" s="11"/>
      <c r="M4" s="11"/>
      <c r="N4">
        <v>2.91</v>
      </c>
      <c r="O4">
        <v>3.4196</v>
      </c>
      <c r="P4" s="30">
        <f>(N4-O4)^2</f>
        <v>0.25969216</v>
      </c>
      <c r="Q4" s="30">
        <f>(N4-avg)^2</f>
        <v>0.33350625</v>
      </c>
      <c r="R4" s="30"/>
      <c r="S4" s="30"/>
      <c r="T4">
        <v>2.91</v>
      </c>
      <c r="U4">
        <v>3.2466</v>
      </c>
      <c r="V4" s="31">
        <f>(T4-U4)^2</f>
        <v>0.11329956</v>
      </c>
      <c r="W4" s="31">
        <f>(T4-avg)^2</f>
        <v>0.33350625</v>
      </c>
      <c r="X4" s="31"/>
      <c r="Y4" s="31"/>
    </row>
    <row r="5" spans="2:25">
      <c r="B5">
        <v>3.58</v>
      </c>
      <c r="C5">
        <v>3.58</v>
      </c>
      <c r="D5" s="2">
        <f>(B5-C5)^2</f>
        <v>0</v>
      </c>
      <c r="E5" s="40">
        <f>(B5-avg)^2</f>
        <v>0.00855624999999996</v>
      </c>
      <c r="F5" s="40"/>
      <c r="G5" s="40"/>
      <c r="H5">
        <v>3.58</v>
      </c>
      <c r="I5">
        <v>3.561</v>
      </c>
      <c r="J5" s="11">
        <f>(H5-I5)^2</f>
        <v>0.000361000000000005</v>
      </c>
      <c r="K5" s="11">
        <f>(H5-avg)^2</f>
        <v>0.00855624999999996</v>
      </c>
      <c r="L5" s="11"/>
      <c r="M5" s="11"/>
      <c r="N5">
        <v>3.58</v>
      </c>
      <c r="O5">
        <v>3.667</v>
      </c>
      <c r="P5" s="30">
        <f>(N5-O5)^2</f>
        <v>0.00756899999999996</v>
      </c>
      <c r="Q5" s="30">
        <f>(N5-avg)^2</f>
        <v>0.00855624999999996</v>
      </c>
      <c r="R5" s="30"/>
      <c r="S5" s="30"/>
      <c r="T5">
        <v>3.58</v>
      </c>
      <c r="U5">
        <v>3.655</v>
      </c>
      <c r="V5" s="31">
        <f>(T5-U5)^2</f>
        <v>0.00562499999999996</v>
      </c>
      <c r="W5" s="31">
        <f>(T5-avg)^2</f>
        <v>0.00855624999999996</v>
      </c>
      <c r="X5" s="31"/>
      <c r="Y5" s="31"/>
    </row>
    <row r="6" spans="1:25">
      <c r="A6" t="s">
        <v>9</v>
      </c>
      <c r="B6">
        <f>AVERAGE(B2:B5)</f>
        <v>3.4875</v>
      </c>
      <c r="C6">
        <f>AVERAGE(C2:D5)</f>
        <v>1.7855625</v>
      </c>
      <c r="D6">
        <f>SUM(D2:D5)</f>
        <v>0.1045</v>
      </c>
      <c r="E6" s="17">
        <f>SUM(E2:E5)</f>
        <v>0.460475</v>
      </c>
      <c r="F6" s="17">
        <f>1-D6/E6</f>
        <v>0.773060426733265</v>
      </c>
      <c r="G6" s="17">
        <f>SQRT(D6/4)</f>
        <v>0.161632298752446</v>
      </c>
      <c r="H6">
        <f>AVERAGE(H2:H5)</f>
        <v>3.4875</v>
      </c>
      <c r="J6">
        <f>SUM(J2:J5)</f>
        <v>0.170124</v>
      </c>
      <c r="K6">
        <f>SUM(K2:K5)</f>
        <v>0.460475</v>
      </c>
      <c r="L6">
        <f>1-J6/K6</f>
        <v>0.63054671806287</v>
      </c>
      <c r="M6">
        <f>SQRT(J6/4)</f>
        <v>0.206230453619246</v>
      </c>
      <c r="N6">
        <f>AVERAGE(N2:N5)</f>
        <v>3.4875</v>
      </c>
      <c r="P6">
        <f>SUM(P2:P5)</f>
        <v>0.27679116</v>
      </c>
      <c r="Q6">
        <f>SUM(Q2:Q5)</f>
        <v>0.460475</v>
      </c>
      <c r="R6">
        <f>1-P6/Q6</f>
        <v>0.398900787230577</v>
      </c>
      <c r="S6">
        <f>SQRT(P6/4)</f>
        <v>0.263054728146065</v>
      </c>
      <c r="T6">
        <f>AVERAGE(T2:T5)</f>
        <v>3.4875</v>
      </c>
      <c r="V6">
        <f>SUM(V2:V5)</f>
        <v>0.12924556</v>
      </c>
      <c r="W6">
        <f>SUM(W2:W5)</f>
        <v>0.460475</v>
      </c>
      <c r="X6">
        <f>1-V6/W6</f>
        <v>0.719321222650524</v>
      </c>
      <c r="Y6">
        <f>SQRT(V6/4)</f>
        <v>0.179753692590722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7"/>
  <sheetViews>
    <sheetView topLeftCell="AH1" workbookViewId="0">
      <selection activeCell="AO11" sqref="AO11"/>
    </sheetView>
  </sheetViews>
  <sheetFormatPr defaultColWidth="9" defaultRowHeight="14.25"/>
  <cols>
    <col min="1" max="1022" width="9" customWidth="1"/>
    <col min="1023" max="1025" width="10.5" customWidth="1"/>
  </cols>
  <sheetData>
    <row r="1" ht="15" spans="1:47">
      <c r="A1" s="15" t="s">
        <v>28</v>
      </c>
      <c r="G1" s="15" t="s">
        <v>29</v>
      </c>
      <c r="L1" t="s">
        <v>42</v>
      </c>
      <c r="Q1" t="s">
        <v>43</v>
      </c>
      <c r="V1" s="16" t="s">
        <v>44</v>
      </c>
      <c r="AA1" s="16" t="s">
        <v>45</v>
      </c>
      <c r="AF1" s="16" t="s">
        <v>46</v>
      </c>
      <c r="AK1" t="s">
        <v>47</v>
      </c>
      <c r="AP1" t="s">
        <v>48</v>
      </c>
      <c r="AU1" t="s">
        <v>49</v>
      </c>
    </row>
    <row r="3" spans="2:47">
      <c r="B3" t="s">
        <v>18</v>
      </c>
      <c r="G3" t="s">
        <v>18</v>
      </c>
      <c r="L3" t="s">
        <v>1</v>
      </c>
      <c r="Q3" t="s">
        <v>1</v>
      </c>
      <c r="V3" t="s">
        <v>1</v>
      </c>
      <c r="AA3" s="16" t="s">
        <v>8</v>
      </c>
      <c r="AF3" t="s">
        <v>1</v>
      </c>
      <c r="AK3" s="16" t="s">
        <v>8</v>
      </c>
      <c r="AP3" s="16" t="s">
        <v>31</v>
      </c>
      <c r="AU3" s="16" t="s">
        <v>39</v>
      </c>
    </row>
    <row r="4" spans="3:50">
      <c r="C4" t="s">
        <v>5</v>
      </c>
      <c r="E4" t="s">
        <v>30</v>
      </c>
      <c r="H4" t="s">
        <v>5</v>
      </c>
      <c r="J4" t="s">
        <v>30</v>
      </c>
      <c r="M4" t="s">
        <v>5</v>
      </c>
      <c r="O4" t="s">
        <v>30</v>
      </c>
      <c r="R4" t="s">
        <v>5</v>
      </c>
      <c r="T4" t="s">
        <v>30</v>
      </c>
      <c r="W4" t="s">
        <v>5</v>
      </c>
      <c r="Y4" t="s">
        <v>30</v>
      </c>
      <c r="AB4" t="s">
        <v>5</v>
      </c>
      <c r="AD4" t="s">
        <v>30</v>
      </c>
      <c r="AG4" t="s">
        <v>5</v>
      </c>
      <c r="AI4" t="s">
        <v>30</v>
      </c>
      <c r="AL4" t="s">
        <v>5</v>
      </c>
      <c r="AN4" t="s">
        <v>30</v>
      </c>
      <c r="AQ4" t="s">
        <v>5</v>
      </c>
      <c r="AS4" t="s">
        <v>30</v>
      </c>
      <c r="AV4" t="s">
        <v>5</v>
      </c>
      <c r="AX4" t="s">
        <v>30</v>
      </c>
    </row>
    <row r="5" spans="3:50">
      <c r="C5">
        <v>0.2023</v>
      </c>
      <c r="E5">
        <v>0.6826</v>
      </c>
      <c r="H5" s="16">
        <v>2925.931</v>
      </c>
      <c r="J5" s="16">
        <v>0.5612575</v>
      </c>
      <c r="M5" s="17">
        <v>0.773</v>
      </c>
      <c r="O5">
        <v>0.1616</v>
      </c>
      <c r="R5" s="16">
        <v>-5380551</v>
      </c>
      <c r="T5" s="16">
        <v>4851</v>
      </c>
      <c r="W5" s="16">
        <v>0.7747</v>
      </c>
      <c r="Y5" s="16">
        <v>0.161</v>
      </c>
      <c r="AB5" s="16">
        <v>0.5073</v>
      </c>
      <c r="AD5" s="16">
        <v>0.2432</v>
      </c>
      <c r="AG5" s="16">
        <v>0.5896</v>
      </c>
      <c r="AI5" s="18" t="s">
        <v>50</v>
      </c>
      <c r="AL5" s="16">
        <v>0.7193</v>
      </c>
      <c r="AN5" s="16">
        <v>0.1797</v>
      </c>
      <c r="AQ5" s="19">
        <v>1.785365e-16</v>
      </c>
      <c r="AS5">
        <v>1</v>
      </c>
      <c r="AV5" s="16">
        <v>0.1857077</v>
      </c>
      <c r="AX5" s="16">
        <v>0.7194635</v>
      </c>
    </row>
    <row r="7" spans="2:47">
      <c r="B7" t="s">
        <v>31</v>
      </c>
      <c r="G7" t="s">
        <v>31</v>
      </c>
      <c r="AK7" s="16" t="s">
        <v>10</v>
      </c>
      <c r="AP7" s="16" t="s">
        <v>32</v>
      </c>
      <c r="AU7" s="16" t="s">
        <v>40</v>
      </c>
    </row>
    <row r="8" spans="3:50">
      <c r="C8" t="s">
        <v>5</v>
      </c>
      <c r="E8" t="s">
        <v>30</v>
      </c>
      <c r="H8" t="s">
        <v>5</v>
      </c>
      <c r="J8" t="s">
        <v>30</v>
      </c>
      <c r="L8" s="16" t="s">
        <v>51</v>
      </c>
      <c r="M8" t="s">
        <v>5</v>
      </c>
      <c r="O8" t="s">
        <v>30</v>
      </c>
      <c r="Q8" s="16" t="s">
        <v>51</v>
      </c>
      <c r="R8" t="s">
        <v>5</v>
      </c>
      <c r="T8" t="s">
        <v>30</v>
      </c>
      <c r="V8" s="16" t="s">
        <v>51</v>
      </c>
      <c r="W8" t="s">
        <v>5</v>
      </c>
      <c r="Y8" t="s">
        <v>30</v>
      </c>
      <c r="AA8" s="16" t="s">
        <v>10</v>
      </c>
      <c r="AB8" t="s">
        <v>5</v>
      </c>
      <c r="AD8" t="s">
        <v>30</v>
      </c>
      <c r="AF8" s="16" t="s">
        <v>51</v>
      </c>
      <c r="AG8" t="s">
        <v>5</v>
      </c>
      <c r="AI8" t="s">
        <v>30</v>
      </c>
      <c r="AK8" s="16"/>
      <c r="AL8" t="s">
        <v>5</v>
      </c>
      <c r="AN8" t="s">
        <v>30</v>
      </c>
      <c r="AQ8" t="s">
        <v>5</v>
      </c>
      <c r="AS8" t="s">
        <v>30</v>
      </c>
      <c r="AV8" t="s">
        <v>5</v>
      </c>
      <c r="AX8" t="s">
        <v>30</v>
      </c>
    </row>
    <row r="9" spans="3:50">
      <c r="C9">
        <v>0.2028</v>
      </c>
      <c r="E9">
        <v>0.6996</v>
      </c>
      <c r="H9" s="16">
        <v>2871.628</v>
      </c>
      <c r="J9" s="16">
        <v>0.5848923</v>
      </c>
      <c r="M9" s="16">
        <v>0.6035</v>
      </c>
      <c r="O9" s="16">
        <v>0.4604</v>
      </c>
      <c r="R9" s="16">
        <v>-7548935</v>
      </c>
      <c r="T9" s="16">
        <v>5746</v>
      </c>
      <c r="W9" s="16">
        <v>0.6297</v>
      </c>
      <c r="Y9" s="16">
        <v>0.2064</v>
      </c>
      <c r="AB9" s="16">
        <v>0.653</v>
      </c>
      <c r="AD9" s="16">
        <v>0.2041</v>
      </c>
      <c r="AG9" s="16">
        <v>0.5858</v>
      </c>
      <c r="AI9" s="16">
        <v>0.2323</v>
      </c>
      <c r="AL9" s="16">
        <v>0.779</v>
      </c>
      <c r="AN9" s="16">
        <v>0.16</v>
      </c>
      <c r="AQ9" s="19">
        <v>0.0105935</v>
      </c>
      <c r="AS9" s="16">
        <v>0.9992769</v>
      </c>
      <c r="AV9" s="16">
        <v>0.2587047</v>
      </c>
      <c r="AX9" s="16">
        <v>0.5832934</v>
      </c>
    </row>
    <row r="11" spans="2:47">
      <c r="B11" t="s">
        <v>32</v>
      </c>
      <c r="G11" t="s">
        <v>32</v>
      </c>
      <c r="L11" s="16" t="s">
        <v>7</v>
      </c>
      <c r="Q11" s="16" t="s">
        <v>7</v>
      </c>
      <c r="V11" s="16" t="s">
        <v>7</v>
      </c>
      <c r="AA11" s="16" t="s">
        <v>11</v>
      </c>
      <c r="AF11" s="16" t="s">
        <v>7</v>
      </c>
      <c r="AK11" s="16" t="s">
        <v>11</v>
      </c>
      <c r="AP11" s="16" t="s">
        <v>33</v>
      </c>
      <c r="AU11" s="16" t="s">
        <v>41</v>
      </c>
    </row>
    <row r="12" spans="3:50">
      <c r="C12" t="s">
        <v>5</v>
      </c>
      <c r="E12" t="s">
        <v>30</v>
      </c>
      <c r="H12" t="s">
        <v>5</v>
      </c>
      <c r="J12" t="s">
        <v>30</v>
      </c>
      <c r="M12" t="s">
        <v>5</v>
      </c>
      <c r="O12" t="s">
        <v>30</v>
      </c>
      <c r="R12" t="s">
        <v>5</v>
      </c>
      <c r="T12" t="s">
        <v>30</v>
      </c>
      <c r="W12" t="s">
        <v>5</v>
      </c>
      <c r="Y12" t="s">
        <v>30</v>
      </c>
      <c r="AB12" t="s">
        <v>5</v>
      </c>
      <c r="AD12" t="s">
        <v>30</v>
      </c>
      <c r="AG12" t="s">
        <v>5</v>
      </c>
      <c r="AI12" t="s">
        <v>30</v>
      </c>
      <c r="AL12" t="s">
        <v>5</v>
      </c>
      <c r="AN12" t="s">
        <v>30</v>
      </c>
      <c r="AQ12" t="s">
        <v>5</v>
      </c>
      <c r="AS12" t="s">
        <v>30</v>
      </c>
      <c r="AV12" t="s">
        <v>5</v>
      </c>
      <c r="AX12" t="s">
        <v>30</v>
      </c>
    </row>
    <row r="13" spans="3:50">
      <c r="C13">
        <v>0.2017</v>
      </c>
      <c r="E13">
        <v>0.6991</v>
      </c>
      <c r="H13" s="16">
        <v>2832.397</v>
      </c>
      <c r="J13" s="16">
        <v>0.5837196</v>
      </c>
      <c r="M13" s="16">
        <v>0.3989</v>
      </c>
      <c r="O13" s="16">
        <v>0.263</v>
      </c>
      <c r="R13" s="16">
        <v>-7169595</v>
      </c>
      <c r="T13" s="16">
        <v>5600</v>
      </c>
      <c r="W13" s="16">
        <v>0.3989</v>
      </c>
      <c r="Y13" s="16">
        <v>0.263</v>
      </c>
      <c r="AB13" s="16">
        <v>0.3975</v>
      </c>
      <c r="AD13" s="16">
        <v>0.269</v>
      </c>
      <c r="AG13" s="16">
        <v>0.539</v>
      </c>
      <c r="AI13" s="16">
        <v>0.2353</v>
      </c>
      <c r="AL13" s="16">
        <v>0.3202</v>
      </c>
      <c r="AN13" s="16">
        <v>0.2798</v>
      </c>
      <c r="AQ13" s="19">
        <v>0.1134293</v>
      </c>
      <c r="AS13">
        <v>1</v>
      </c>
      <c r="AV13" s="16">
        <v>0.1976198</v>
      </c>
      <c r="AX13" s="16">
        <v>0.7625443</v>
      </c>
    </row>
    <row r="15" spans="2:47">
      <c r="B15" t="s">
        <v>33</v>
      </c>
      <c r="G15" t="s">
        <v>33</v>
      </c>
      <c r="L15" s="16" t="s">
        <v>8</v>
      </c>
      <c r="Q15" s="16" t="s">
        <v>8</v>
      </c>
      <c r="AA15" s="16" t="s">
        <v>12</v>
      </c>
      <c r="AK15" s="16" t="s">
        <v>12</v>
      </c>
      <c r="AP15" s="16" t="s">
        <v>34</v>
      </c>
      <c r="AU15" s="16" t="s">
        <v>18</v>
      </c>
    </row>
    <row r="16" spans="3:50">
      <c r="C16" t="s">
        <v>5</v>
      </c>
      <c r="E16" t="s">
        <v>30</v>
      </c>
      <c r="H16" t="s">
        <v>5</v>
      </c>
      <c r="J16" t="s">
        <v>30</v>
      </c>
      <c r="M16" t="s">
        <v>5</v>
      </c>
      <c r="O16" t="s">
        <v>30</v>
      </c>
      <c r="R16" t="s">
        <v>5</v>
      </c>
      <c r="T16" t="s">
        <v>30</v>
      </c>
      <c r="AB16" t="s">
        <v>5</v>
      </c>
      <c r="AD16" t="s">
        <v>30</v>
      </c>
      <c r="AL16" t="s">
        <v>5</v>
      </c>
      <c r="AN16" t="s">
        <v>30</v>
      </c>
      <c r="AQ16" t="s">
        <v>5</v>
      </c>
      <c r="AS16" t="s">
        <v>30</v>
      </c>
      <c r="AV16" t="s">
        <v>5</v>
      </c>
      <c r="AX16" t="s">
        <v>30</v>
      </c>
    </row>
    <row r="17" spans="3:50">
      <c r="C17">
        <v>0.1859</v>
      </c>
      <c r="E17">
        <v>0.6896</v>
      </c>
      <c r="H17" s="16">
        <v>2769.474</v>
      </c>
      <c r="J17" s="16">
        <v>0.5471172</v>
      </c>
      <c r="M17" s="16">
        <v>0.7193</v>
      </c>
      <c r="O17" s="16">
        <v>0.1797</v>
      </c>
      <c r="R17" s="16">
        <v>-9329532</v>
      </c>
      <c r="T17" s="16">
        <v>6388</v>
      </c>
      <c r="AB17" s="16">
        <v>0.5419</v>
      </c>
      <c r="AD17" s="16">
        <v>0.2345</v>
      </c>
      <c r="AL17" s="18" t="s">
        <v>52</v>
      </c>
      <c r="AN17" s="16">
        <v>0.2809</v>
      </c>
      <c r="AQ17" s="16">
        <v>0.2623488</v>
      </c>
      <c r="AS17" s="16">
        <v>0.4936769</v>
      </c>
      <c r="AV17" s="16">
        <v>0.1863193</v>
      </c>
      <c r="AX17" s="16">
        <v>0.757383</v>
      </c>
    </row>
    <row r="19" spans="2:47">
      <c r="B19" t="s">
        <v>34</v>
      </c>
      <c r="G19" t="s">
        <v>34</v>
      </c>
      <c r="AP19" s="16" t="s">
        <v>53</v>
      </c>
      <c r="AQ19" t="s">
        <v>5</v>
      </c>
      <c r="AS19" t="s">
        <v>30</v>
      </c>
      <c r="AU19" s="16" t="s">
        <v>31</v>
      </c>
    </row>
    <row r="20" spans="3:50">
      <c r="C20" t="s">
        <v>5</v>
      </c>
      <c r="E20" t="s">
        <v>30</v>
      </c>
      <c r="H20" t="s">
        <v>5</v>
      </c>
      <c r="J20" t="s">
        <v>30</v>
      </c>
      <c r="AA20" s="16" t="s">
        <v>13</v>
      </c>
      <c r="AB20" t="s">
        <v>5</v>
      </c>
      <c r="AD20" t="s">
        <v>30</v>
      </c>
      <c r="AK20" s="16" t="s">
        <v>13</v>
      </c>
      <c r="AL20" t="s">
        <v>5</v>
      </c>
      <c r="AN20" t="s">
        <v>30</v>
      </c>
      <c r="AQ20" s="16">
        <v>0.2641629</v>
      </c>
      <c r="AS20" s="16">
        <v>0.4895954</v>
      </c>
      <c r="AV20" t="s">
        <v>5</v>
      </c>
      <c r="AX20" t="s">
        <v>30</v>
      </c>
    </row>
    <row r="21" spans="3:50">
      <c r="C21">
        <v>0.2208</v>
      </c>
      <c r="E21">
        <v>0.6922</v>
      </c>
      <c r="H21" s="16">
        <v>2954.2</v>
      </c>
      <c r="J21" s="16">
        <v>0.4892411</v>
      </c>
      <c r="AB21" s="16">
        <v>0.7497</v>
      </c>
      <c r="AD21" s="16">
        <v>0.1734</v>
      </c>
      <c r="AL21" s="16">
        <v>0.7605</v>
      </c>
      <c r="AN21" s="16">
        <v>0.166</v>
      </c>
      <c r="AV21" s="16">
        <v>0.185313</v>
      </c>
      <c r="AX21" s="16">
        <v>0.760167</v>
      </c>
    </row>
    <row r="23" spans="2:47">
      <c r="B23" t="s">
        <v>35</v>
      </c>
      <c r="G23" t="s">
        <v>35</v>
      </c>
      <c r="AA23" s="16" t="s">
        <v>14</v>
      </c>
      <c r="AK23" s="16" t="s">
        <v>14</v>
      </c>
      <c r="AP23" s="16" t="s">
        <v>37</v>
      </c>
      <c r="AU23" s="16" t="s">
        <v>32</v>
      </c>
    </row>
    <row r="24" spans="3:50">
      <c r="C24" t="s">
        <v>5</v>
      </c>
      <c r="E24" t="s">
        <v>30</v>
      </c>
      <c r="H24" t="s">
        <v>5</v>
      </c>
      <c r="J24" t="s">
        <v>30</v>
      </c>
      <c r="AB24" t="s">
        <v>5</v>
      </c>
      <c r="AD24" t="s">
        <v>30</v>
      </c>
      <c r="AL24" t="s">
        <v>5</v>
      </c>
      <c r="AN24" t="s">
        <v>30</v>
      </c>
      <c r="AQ24" t="s">
        <v>5</v>
      </c>
      <c r="AS24" t="s">
        <v>30</v>
      </c>
      <c r="AV24" t="s">
        <v>5</v>
      </c>
      <c r="AX24" t="s">
        <v>30</v>
      </c>
    </row>
    <row r="25" spans="3:50">
      <c r="C25">
        <v>0.2216</v>
      </c>
      <c r="E25">
        <v>0.6912</v>
      </c>
      <c r="H25" s="16">
        <v>2971.04</v>
      </c>
      <c r="J25" s="16">
        <v>0.4896663</v>
      </c>
      <c r="AB25" s="16">
        <v>0.5097</v>
      </c>
      <c r="AD25" s="16">
        <v>0.2426</v>
      </c>
      <c r="AL25" s="16">
        <v>0.6453</v>
      </c>
      <c r="AN25" s="16">
        <v>0.2021</v>
      </c>
      <c r="AQ25" s="16">
        <v>0.1283032</v>
      </c>
      <c r="AS25" s="16">
        <v>0.8782875</v>
      </c>
      <c r="AV25" s="16">
        <v>0.1846614</v>
      </c>
      <c r="AX25" s="16">
        <v>0.761469</v>
      </c>
    </row>
    <row r="27" spans="2:47">
      <c r="B27" t="s">
        <v>36</v>
      </c>
      <c r="G27" t="s">
        <v>36</v>
      </c>
      <c r="AP27" s="16" t="s">
        <v>38</v>
      </c>
      <c r="AU27" s="16" t="s">
        <v>33</v>
      </c>
    </row>
    <row r="28" spans="3:50">
      <c r="C28" t="s">
        <v>5</v>
      </c>
      <c r="E28" t="s">
        <v>30</v>
      </c>
      <c r="H28" t="s">
        <v>5</v>
      </c>
      <c r="J28" t="s">
        <v>30</v>
      </c>
      <c r="AQ28" t="s">
        <v>5</v>
      </c>
      <c r="AS28" t="s">
        <v>30</v>
      </c>
      <c r="AV28" t="s">
        <v>5</v>
      </c>
      <c r="AX28" t="s">
        <v>30</v>
      </c>
    </row>
    <row r="29" spans="3:50">
      <c r="C29">
        <v>0.1987</v>
      </c>
      <c r="E29">
        <v>0.5975</v>
      </c>
      <c r="H29" s="16">
        <v>2924.327</v>
      </c>
      <c r="J29" s="16">
        <v>0.5371873</v>
      </c>
      <c r="AQ29" s="16">
        <v>0.0228506</v>
      </c>
      <c r="AS29" s="16">
        <v>0.9962605</v>
      </c>
      <c r="AV29" s="16">
        <v>0.1835295</v>
      </c>
      <c r="AX29" s="16">
        <v>0.7648021</v>
      </c>
    </row>
    <row r="31" spans="2:47">
      <c r="B31" s="16" t="s">
        <v>37</v>
      </c>
      <c r="G31" s="16" t="s">
        <v>37</v>
      </c>
      <c r="AP31" s="16" t="s">
        <v>39</v>
      </c>
      <c r="AU31" s="16" t="s">
        <v>34</v>
      </c>
    </row>
    <row r="32" spans="3:50">
      <c r="C32" t="s">
        <v>5</v>
      </c>
      <c r="E32" t="s">
        <v>30</v>
      </c>
      <c r="H32" t="s">
        <v>5</v>
      </c>
      <c r="J32" t="s">
        <v>30</v>
      </c>
      <c r="AQ32" t="s">
        <v>5</v>
      </c>
      <c r="AS32" t="s">
        <v>30</v>
      </c>
      <c r="AV32" t="s">
        <v>5</v>
      </c>
      <c r="AX32" t="s">
        <v>30</v>
      </c>
    </row>
    <row r="33" spans="3:50">
      <c r="C33" s="16">
        <v>0.21761</v>
      </c>
      <c r="E33" s="16">
        <v>0.6867</v>
      </c>
      <c r="AQ33" s="19">
        <v>1.684559e-16</v>
      </c>
      <c r="AS33">
        <v>1</v>
      </c>
      <c r="AV33" s="16">
        <v>0.2624342</v>
      </c>
      <c r="AX33" s="16">
        <v>0.4935063</v>
      </c>
    </row>
    <row r="35" spans="2:47">
      <c r="B35" s="16" t="s">
        <v>38</v>
      </c>
      <c r="G35" s="16" t="s">
        <v>38</v>
      </c>
      <c r="AP35" s="16" t="s">
        <v>40</v>
      </c>
      <c r="AU35" s="16" t="s">
        <v>35</v>
      </c>
    </row>
    <row r="36" spans="3:50">
      <c r="C36" t="s">
        <v>5</v>
      </c>
      <c r="E36" t="s">
        <v>30</v>
      </c>
      <c r="H36" t="s">
        <v>5</v>
      </c>
      <c r="J36" t="s">
        <v>30</v>
      </c>
      <c r="AQ36" t="s">
        <v>5</v>
      </c>
      <c r="AS36" t="s">
        <v>30</v>
      </c>
      <c r="AV36" t="s">
        <v>5</v>
      </c>
      <c r="AX36" t="s">
        <v>30</v>
      </c>
    </row>
    <row r="37" spans="3:50">
      <c r="C37" s="16">
        <v>0.1929</v>
      </c>
      <c r="E37" s="16">
        <v>0.7273</v>
      </c>
      <c r="H37" s="16">
        <v>2736.526</v>
      </c>
      <c r="J37" s="16">
        <v>0.5723</v>
      </c>
      <c r="AQ37" s="16">
        <v>0.03503306</v>
      </c>
      <c r="AS37" s="16">
        <v>0.9929109</v>
      </c>
      <c r="AV37" s="16">
        <v>0.2641634</v>
      </c>
      <c r="AX37" s="16">
        <v>0.4895948</v>
      </c>
    </row>
    <row r="39" spans="2:47">
      <c r="B39" s="16" t="s">
        <v>39</v>
      </c>
      <c r="G39" s="16" t="s">
        <v>39</v>
      </c>
      <c r="AP39" s="16" t="s">
        <v>41</v>
      </c>
      <c r="AU39" s="16" t="s">
        <v>37</v>
      </c>
    </row>
    <row r="40" spans="3:50">
      <c r="C40" t="s">
        <v>5</v>
      </c>
      <c r="E40" t="s">
        <v>30</v>
      </c>
      <c r="H40" t="s">
        <v>5</v>
      </c>
      <c r="J40" t="s">
        <v>30</v>
      </c>
      <c r="AQ40" t="s">
        <v>5</v>
      </c>
      <c r="AS40" t="s">
        <v>30</v>
      </c>
      <c r="AV40" t="s">
        <v>5</v>
      </c>
      <c r="AX40" t="s">
        <v>30</v>
      </c>
    </row>
    <row r="41" spans="3:50">
      <c r="C41" s="16">
        <v>0.1922</v>
      </c>
      <c r="E41" s="16">
        <v>0.6214</v>
      </c>
      <c r="H41" s="16">
        <v>3150.155</v>
      </c>
      <c r="J41" s="16">
        <v>0.4919</v>
      </c>
      <c r="AQ41" s="19">
        <v>8.024414e-8</v>
      </c>
      <c r="AS41">
        <v>1</v>
      </c>
      <c r="AV41" s="16">
        <v>0.2257234</v>
      </c>
      <c r="AX41" s="16">
        <v>0.6557155</v>
      </c>
    </row>
    <row r="43" spans="2:47">
      <c r="B43" s="16" t="s">
        <v>37</v>
      </c>
      <c r="G43" s="16" t="s">
        <v>37</v>
      </c>
      <c r="AU43" s="16" t="s">
        <v>38</v>
      </c>
    </row>
    <row r="44" spans="3:50">
      <c r="C44" t="s">
        <v>5</v>
      </c>
      <c r="E44" t="s">
        <v>30</v>
      </c>
      <c r="H44" t="s">
        <v>5</v>
      </c>
      <c r="J44" t="s">
        <v>30</v>
      </c>
      <c r="AV44" t="s">
        <v>5</v>
      </c>
      <c r="AX44" t="s">
        <v>30</v>
      </c>
    </row>
    <row r="45" spans="3:50">
      <c r="C45" s="16">
        <v>0.2176</v>
      </c>
      <c r="E45" s="16">
        <v>0.6867</v>
      </c>
      <c r="H45" s="16">
        <v>3009.949</v>
      </c>
      <c r="J45" s="16">
        <v>0.5239201</v>
      </c>
      <c r="AV45" s="16">
        <v>0.2189888</v>
      </c>
      <c r="AX45" s="16">
        <v>0.6806553</v>
      </c>
    </row>
    <row r="47" spans="2:47">
      <c r="B47" s="16" t="s">
        <v>38</v>
      </c>
      <c r="G47" s="16" t="s">
        <v>38</v>
      </c>
      <c r="AU47" s="16" t="s">
        <v>39</v>
      </c>
    </row>
    <row r="48" spans="3:50">
      <c r="C48" t="s">
        <v>5</v>
      </c>
      <c r="E48" t="s">
        <v>30</v>
      </c>
      <c r="H48" t="s">
        <v>5</v>
      </c>
      <c r="J48" t="s">
        <v>30</v>
      </c>
      <c r="AV48" t="s">
        <v>5</v>
      </c>
      <c r="AX48" t="s">
        <v>30</v>
      </c>
    </row>
    <row r="49" spans="3:50">
      <c r="C49" s="16">
        <v>0.1931</v>
      </c>
      <c r="E49" s="16">
        <v>0.7204</v>
      </c>
      <c r="H49" s="16">
        <v>2742.722</v>
      </c>
      <c r="J49" s="16">
        <v>0.5665471</v>
      </c>
      <c r="AV49" s="16">
        <v>0.1857077</v>
      </c>
      <c r="AX49" s="16">
        <v>0.7194635</v>
      </c>
    </row>
    <row r="51" spans="2:47">
      <c r="B51" s="16" t="s">
        <v>40</v>
      </c>
      <c r="G51" s="16" t="s">
        <v>40</v>
      </c>
      <c r="AU51" s="16" t="s">
        <v>40</v>
      </c>
    </row>
    <row r="52" spans="3:50">
      <c r="C52" t="s">
        <v>5</v>
      </c>
      <c r="E52" t="s">
        <v>30</v>
      </c>
      <c r="H52" t="s">
        <v>5</v>
      </c>
      <c r="J52" t="s">
        <v>30</v>
      </c>
      <c r="AV52" t="s">
        <v>5</v>
      </c>
      <c r="AX52" t="s">
        <v>30</v>
      </c>
    </row>
    <row r="53" spans="3:50">
      <c r="C53" s="16">
        <v>0.1863</v>
      </c>
      <c r="E53" s="16">
        <v>0.6491</v>
      </c>
      <c r="H53" s="16">
        <v>3063.725</v>
      </c>
      <c r="J53" s="16">
        <v>0.5764093</v>
      </c>
      <c r="AV53" s="16">
        <v>0.2587047</v>
      </c>
      <c r="AX53" s="16">
        <v>0.5832934</v>
      </c>
    </row>
    <row r="55" spans="2:47">
      <c r="B55" s="16" t="s">
        <v>41</v>
      </c>
      <c r="G55" s="16" t="s">
        <v>41</v>
      </c>
      <c r="AU55" s="16" t="s">
        <v>41</v>
      </c>
    </row>
    <row r="56" spans="3:50">
      <c r="C56" t="s">
        <v>5</v>
      </c>
      <c r="E56" t="s">
        <v>30</v>
      </c>
      <c r="H56" t="s">
        <v>5</v>
      </c>
      <c r="J56" t="s">
        <v>30</v>
      </c>
      <c r="AV56" t="s">
        <v>5</v>
      </c>
      <c r="AX56" t="s">
        <v>30</v>
      </c>
    </row>
    <row r="57" spans="3:50">
      <c r="C57" s="16">
        <v>0.2073</v>
      </c>
      <c r="E57" s="16">
        <v>0.6432</v>
      </c>
      <c r="H57" s="16">
        <v>2497.462</v>
      </c>
      <c r="J57" s="16">
        <v>0.6631501</v>
      </c>
      <c r="AV57" s="16">
        <v>0.1980487</v>
      </c>
      <c r="AX57" s="16">
        <v>0.7601391</v>
      </c>
    </row>
  </sheetData>
  <pageMargins left="0.75" right="0.75" top="1" bottom="1" header="0.511805555555555" footer="0.511805555555555"/>
  <pageSetup paperSize="9" scale="85" firstPageNumber="0" orientation="portrait" useFirstPageNumber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R12" workbookViewId="0">
      <selection activeCell="X38" sqref="X38"/>
    </sheetView>
  </sheetViews>
  <sheetFormatPr defaultColWidth="9" defaultRowHeight="14.2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>
        <v>3.71</v>
      </c>
      <c r="C22">
        <v>3.64295399321432</v>
      </c>
      <c r="D22" s="5">
        <f>(B22-C22)^2</f>
        <v>0.00449516702590544</v>
      </c>
      <c r="E22" s="5">
        <f t="shared" ref="E22:E27" si="0">(B22-avgLogEff)^2</f>
        <v>0.0650249999999999</v>
      </c>
      <c r="F22" s="5"/>
      <c r="G22" s="5"/>
      <c r="H22">
        <v>3.71</v>
      </c>
      <c r="I22">
        <v>3.604467464708</v>
      </c>
      <c r="J22" s="5">
        <f t="shared" ref="J22:J27" si="1">(H22-I22)^2</f>
        <v>0.0111371160051572</v>
      </c>
      <c r="K22" s="5">
        <f t="shared" ref="K22:K27" si="2">(H22-avgLogEff)^2</f>
        <v>0.0650249999999999</v>
      </c>
      <c r="L22" s="12"/>
      <c r="M22" s="12"/>
      <c r="N22">
        <v>3.71</v>
      </c>
      <c r="O22">
        <v>3.67358028323021</v>
      </c>
      <c r="P22" s="5">
        <f t="shared" ref="P22:P27" si="3">(N22-O22)^2</f>
        <v>0.00132639576959174</v>
      </c>
      <c r="Q22" s="5">
        <f t="shared" ref="Q22:Q27" si="4">(N22-avgLogEff)^2</f>
        <v>0.0650249999999999</v>
      </c>
      <c r="R22" s="13"/>
      <c r="S22" s="13"/>
      <c r="T22">
        <v>3.71</v>
      </c>
      <c r="U22">
        <v>3.77126053834219</v>
      </c>
      <c r="V22" s="5">
        <f t="shared" ref="V22:V27" si="5">(T22-U22)^2</f>
        <v>0.00375285355797496</v>
      </c>
      <c r="W22" s="5">
        <f t="shared" ref="W22:W27" si="6">(T22-avgLogEff)^2</f>
        <v>0.0650249999999999</v>
      </c>
      <c r="X22" s="13"/>
      <c r="Y22" s="13"/>
      <c r="Z22">
        <v>3.71</v>
      </c>
      <c r="AA22">
        <v>3.54232033333333</v>
      </c>
      <c r="AB22" s="5">
        <f t="shared" ref="AB22:AB27" si="7">(Z22-AA22)^2</f>
        <v>0.0281164706134456</v>
      </c>
      <c r="AC22" s="5">
        <f t="shared" ref="AC22:AC27" si="8">(Z22-avgLogEff)^2</f>
        <v>0.0650249999999999</v>
      </c>
      <c r="AD22" s="13"/>
      <c r="AE22" s="13"/>
      <c r="AF22">
        <v>3.71</v>
      </c>
      <c r="AG22">
        <v>3.70100617408752</v>
      </c>
      <c r="AH22" s="5">
        <f t="shared" ref="AH22:AH27" si="9">(AF22-AG22)^2</f>
        <v>8.08889045439966e-5</v>
      </c>
      <c r="AI22" s="5">
        <f t="shared" ref="AI22:AI27" si="10">(AF22-avgLogEff)^2</f>
        <v>0.0650249999999999</v>
      </c>
      <c r="AJ22" s="13"/>
      <c r="AK22" s="13"/>
    </row>
    <row r="23" spans="2:37">
      <c r="B23">
        <v>3.75</v>
      </c>
      <c r="C23">
        <v>3.65438476822973</v>
      </c>
      <c r="D23" s="5">
        <f t="shared" ref="D23:D27" si="11">(B23-C23)^2</f>
        <v>0.00914227254648247</v>
      </c>
      <c r="E23" s="5">
        <f t="shared" si="0"/>
        <v>0.087025</v>
      </c>
      <c r="F23" s="5"/>
      <c r="G23" s="5"/>
      <c r="H23">
        <v>3.75</v>
      </c>
      <c r="I23">
        <v>3.54226878667825</v>
      </c>
      <c r="J23" s="5">
        <f t="shared" si="1"/>
        <v>0.0431522569881264</v>
      </c>
      <c r="K23" s="5">
        <f t="shared" si="2"/>
        <v>0.087025</v>
      </c>
      <c r="L23" s="12"/>
      <c r="M23" s="12"/>
      <c r="N23">
        <v>3.75</v>
      </c>
      <c r="O23">
        <v>3.56213963946522</v>
      </c>
      <c r="P23" s="5">
        <f t="shared" si="3"/>
        <v>0.0352915150602575</v>
      </c>
      <c r="Q23" s="5">
        <f t="shared" si="4"/>
        <v>0.087025</v>
      </c>
      <c r="R23" s="13"/>
      <c r="S23" s="13"/>
      <c r="T23">
        <v>3.75</v>
      </c>
      <c r="U23">
        <v>3.78194461320254</v>
      </c>
      <c r="V23" s="5">
        <f t="shared" si="5"/>
        <v>0.0010204583126599</v>
      </c>
      <c r="W23" s="5">
        <f t="shared" si="6"/>
        <v>0.087025</v>
      </c>
      <c r="X23" s="13"/>
      <c r="Y23" s="13"/>
      <c r="Z23">
        <v>3.75</v>
      </c>
      <c r="AA23">
        <v>3.68363283333332</v>
      </c>
      <c r="AB23" s="5">
        <f t="shared" si="7"/>
        <v>0.00440460081136289</v>
      </c>
      <c r="AC23" s="5">
        <f t="shared" si="8"/>
        <v>0.087025</v>
      </c>
      <c r="AD23" s="13"/>
      <c r="AE23" s="13"/>
      <c r="AF23">
        <v>3.75</v>
      </c>
      <c r="AG23">
        <v>3.7085292339325</v>
      </c>
      <c r="AH23" s="5">
        <f t="shared" si="9"/>
        <v>0.00171982443822531</v>
      </c>
      <c r="AI23" s="5">
        <f t="shared" si="10"/>
        <v>0.087025</v>
      </c>
      <c r="AJ23" s="13"/>
      <c r="AK23" s="13"/>
    </row>
    <row r="24" spans="2:37">
      <c r="B24">
        <v>2.91</v>
      </c>
      <c r="C24">
        <v>3.28078455298355</v>
      </c>
      <c r="D24" s="5">
        <f t="shared" si="11"/>
        <v>0.137481184731211</v>
      </c>
      <c r="E24" s="5">
        <f t="shared" si="0"/>
        <v>0.297025</v>
      </c>
      <c r="F24" s="5"/>
      <c r="G24" s="5"/>
      <c r="H24">
        <v>2.91</v>
      </c>
      <c r="I24">
        <v>3.44354953610314</v>
      </c>
      <c r="J24" s="5">
        <f t="shared" si="1"/>
        <v>0.284675107475876</v>
      </c>
      <c r="K24" s="5">
        <f t="shared" si="2"/>
        <v>0.297025</v>
      </c>
      <c r="L24" s="12"/>
      <c r="M24" s="12"/>
      <c r="N24">
        <v>2.91</v>
      </c>
      <c r="O24">
        <v>3.37880620305353</v>
      </c>
      <c r="P24" s="5">
        <f t="shared" si="3"/>
        <v>0.219779256021467</v>
      </c>
      <c r="Q24" s="5">
        <f t="shared" si="4"/>
        <v>0.297025</v>
      </c>
      <c r="R24" s="13"/>
      <c r="S24" s="13"/>
      <c r="T24">
        <v>2.91</v>
      </c>
      <c r="U24">
        <v>3.26888866592224</v>
      </c>
      <c r="V24" s="5">
        <f t="shared" si="5"/>
        <v>0.128801074527445</v>
      </c>
      <c r="W24" s="5">
        <f t="shared" si="6"/>
        <v>0.297025</v>
      </c>
      <c r="X24" s="13"/>
      <c r="Y24" s="13"/>
      <c r="Z24">
        <v>2.91</v>
      </c>
      <c r="AA24">
        <v>3.16456766666667</v>
      </c>
      <c r="AB24" s="5">
        <f t="shared" si="7"/>
        <v>0.0648046969121129</v>
      </c>
      <c r="AC24" s="5">
        <f t="shared" si="8"/>
        <v>0.297025</v>
      </c>
      <c r="AD24" s="13"/>
      <c r="AE24" s="13"/>
      <c r="AF24">
        <v>2.91</v>
      </c>
      <c r="AG24">
        <v>3.37234830856323</v>
      </c>
      <c r="AH24" s="5">
        <f t="shared" si="9"/>
        <v>0.21376595843128</v>
      </c>
      <c r="AI24" s="5">
        <f t="shared" si="10"/>
        <v>0.297025</v>
      </c>
      <c r="AJ24" s="13"/>
      <c r="AK24" s="13"/>
    </row>
    <row r="25" spans="2:37">
      <c r="B25">
        <v>3.58</v>
      </c>
      <c r="C25">
        <v>3.64754179251879</v>
      </c>
      <c r="D25" s="5">
        <f t="shared" si="11"/>
        <v>0.00456189373665128</v>
      </c>
      <c r="E25" s="5">
        <f t="shared" si="0"/>
        <v>0.015625</v>
      </c>
      <c r="F25" s="5"/>
      <c r="G25" s="5"/>
      <c r="H25">
        <v>3.58</v>
      </c>
      <c r="I25">
        <v>3.53963070222757</v>
      </c>
      <c r="J25" s="5">
        <f t="shared" si="1"/>
        <v>0.00162968020263912</v>
      </c>
      <c r="K25" s="5">
        <f t="shared" si="2"/>
        <v>0.015625</v>
      </c>
      <c r="L25" s="12"/>
      <c r="M25" s="12"/>
      <c r="N25">
        <v>3.58</v>
      </c>
      <c r="O25">
        <v>3.55512850292125</v>
      </c>
      <c r="P25" s="5">
        <f t="shared" si="3"/>
        <v>0.000618591366938282</v>
      </c>
      <c r="Q25" s="5">
        <f t="shared" si="4"/>
        <v>0.015625</v>
      </c>
      <c r="R25" s="13"/>
      <c r="S25" s="13"/>
      <c r="T25">
        <v>3.58</v>
      </c>
      <c r="U25">
        <v>3.77208239025452</v>
      </c>
      <c r="V25" s="5">
        <f t="shared" si="5"/>
        <v>0.0368956446458897</v>
      </c>
      <c r="W25" s="5">
        <f t="shared" si="6"/>
        <v>0.015625</v>
      </c>
      <c r="X25" s="13"/>
      <c r="Y25" s="13"/>
      <c r="Z25">
        <v>3.58</v>
      </c>
      <c r="AA25">
        <v>3.69057983333332</v>
      </c>
      <c r="AB25" s="5">
        <f t="shared" si="7"/>
        <v>0.0122278995400249</v>
      </c>
      <c r="AC25" s="5">
        <f t="shared" si="8"/>
        <v>0.015625</v>
      </c>
      <c r="AD25" s="13"/>
      <c r="AE25" s="13"/>
      <c r="AF25">
        <v>3.58</v>
      </c>
      <c r="AG25">
        <v>3.70419549942017</v>
      </c>
      <c r="AH25" s="5">
        <f t="shared" si="9"/>
        <v>0.0154245220762254</v>
      </c>
      <c r="AI25" s="5">
        <f t="shared" si="10"/>
        <v>0.015625</v>
      </c>
      <c r="AJ25" s="13"/>
      <c r="AK25" s="13"/>
    </row>
    <row r="26" spans="2:37">
      <c r="B26">
        <v>3.33</v>
      </c>
      <c r="C26">
        <v>3.53447132270195</v>
      </c>
      <c r="D26" s="5">
        <f t="shared" si="11"/>
        <v>0.0418085218074849</v>
      </c>
      <c r="E26" s="5">
        <f t="shared" si="0"/>
        <v>0.015625</v>
      </c>
      <c r="F26" s="5"/>
      <c r="G26" s="5"/>
      <c r="H26">
        <v>3.33</v>
      </c>
      <c r="I26">
        <v>3.44650557797719</v>
      </c>
      <c r="J26" s="5">
        <f t="shared" si="1"/>
        <v>0.013573549699799</v>
      </c>
      <c r="K26" s="5">
        <f t="shared" si="2"/>
        <v>0.015625</v>
      </c>
      <c r="L26" s="12"/>
      <c r="M26" s="12"/>
      <c r="N26">
        <v>3.33</v>
      </c>
      <c r="O26">
        <v>3.44669309275969</v>
      </c>
      <c r="P26" s="5">
        <f t="shared" si="3"/>
        <v>0.0136172778978216</v>
      </c>
      <c r="Q26" s="5">
        <f t="shared" si="4"/>
        <v>0.015625</v>
      </c>
      <c r="R26" s="13"/>
      <c r="S26" s="13"/>
      <c r="T26">
        <v>3.33</v>
      </c>
      <c r="U26">
        <v>3.57311159472573</v>
      </c>
      <c r="V26" s="5">
        <f t="shared" si="5"/>
        <v>0.0591032474900875</v>
      </c>
      <c r="W26" s="5">
        <f t="shared" si="6"/>
        <v>0.015625</v>
      </c>
      <c r="X26" s="13"/>
      <c r="Y26" s="13"/>
      <c r="Z26">
        <v>3.33</v>
      </c>
      <c r="AA26">
        <v>3.39510233333333</v>
      </c>
      <c r="AB26" s="5">
        <f t="shared" si="7"/>
        <v>0.00423831380544399</v>
      </c>
      <c r="AC26" s="5">
        <f t="shared" si="8"/>
        <v>0.015625</v>
      </c>
      <c r="AD26" s="13"/>
      <c r="AE26" s="13"/>
      <c r="AF26">
        <v>3.33</v>
      </c>
      <c r="AG26">
        <v>3.53998827934265</v>
      </c>
      <c r="AH26" s="5">
        <f t="shared" si="9"/>
        <v>0.0440950774612868</v>
      </c>
      <c r="AI26" s="5">
        <f t="shared" si="10"/>
        <v>0.015625</v>
      </c>
      <c r="AJ26" s="13"/>
      <c r="AK26" s="13"/>
    </row>
    <row r="27" spans="2:37">
      <c r="B27">
        <v>3.45</v>
      </c>
      <c r="C27">
        <v>3.52677208311391</v>
      </c>
      <c r="D27" s="5">
        <f t="shared" si="11"/>
        <v>0.00589395274564911</v>
      </c>
      <c r="E27" s="5">
        <f t="shared" si="0"/>
        <v>2.49999999999989e-5</v>
      </c>
      <c r="F27" s="5"/>
      <c r="G27" s="5"/>
      <c r="H27">
        <v>3.45</v>
      </c>
      <c r="I27">
        <v>3.42034099707504</v>
      </c>
      <c r="J27" s="5">
        <f t="shared" si="1"/>
        <v>0.000879656454502808</v>
      </c>
      <c r="K27" s="5">
        <f t="shared" si="2"/>
        <v>2.49999999999989e-5</v>
      </c>
      <c r="L27" s="12"/>
      <c r="M27" s="12"/>
      <c r="N27">
        <v>3.45</v>
      </c>
      <c r="O27">
        <v>3.43514437462685</v>
      </c>
      <c r="P27" s="5">
        <f t="shared" si="3"/>
        <v>0.000220689605227378</v>
      </c>
      <c r="Q27" s="5">
        <f t="shared" si="4"/>
        <v>2.49999999999989e-5</v>
      </c>
      <c r="R27" s="13"/>
      <c r="S27" s="13"/>
      <c r="T27">
        <v>3.45</v>
      </c>
      <c r="U27">
        <v>3.53417105983889</v>
      </c>
      <c r="V27" s="5">
        <f t="shared" si="5"/>
        <v>0.00708476731440197</v>
      </c>
      <c r="W27" s="5">
        <f t="shared" si="6"/>
        <v>2.49999999999989e-5</v>
      </c>
      <c r="X27" s="13"/>
      <c r="Y27" s="13"/>
      <c r="Z27">
        <v>3.45</v>
      </c>
      <c r="AA27">
        <v>3.41793883333334</v>
      </c>
      <c r="AB27" s="5">
        <f t="shared" si="7"/>
        <v>0.00102791840802736</v>
      </c>
      <c r="AC27" s="5">
        <f t="shared" si="8"/>
        <v>2.49999999999989e-5</v>
      </c>
      <c r="AD27" s="13"/>
      <c r="AE27" s="13"/>
      <c r="AF27">
        <v>3.45</v>
      </c>
      <c r="AG27">
        <v>3.49801754951477</v>
      </c>
      <c r="AH27" s="5">
        <f t="shared" si="9"/>
        <v>0.00230568506140338</v>
      </c>
      <c r="AI27" s="5">
        <f t="shared" si="10"/>
        <v>2.49999999999989e-5</v>
      </c>
      <c r="AJ27" s="13"/>
      <c r="AK27" s="13"/>
    </row>
    <row r="28" spans="1:37">
      <c r="A28" t="s">
        <v>9</v>
      </c>
      <c r="B28" s="8">
        <f>AVERAGE(B22:B27)</f>
        <v>3.455</v>
      </c>
      <c r="C28" s="6">
        <f>AVERAGE(C22:D27)</f>
        <v>1.7908576254463</v>
      </c>
      <c r="D28" s="6">
        <f>SUM(D22:D27)</f>
        <v>0.203382992593384</v>
      </c>
      <c r="E28" s="6">
        <f>SUM(E22:E27)</f>
        <v>0.48035</v>
      </c>
      <c r="F28" s="6">
        <f>(CORREL(B22:B27,C22:C27))^2</f>
        <v>0.944977023395133</v>
      </c>
      <c r="G28" s="6">
        <f>SQRT(D28/6)</f>
        <v>0.184111828604875</v>
      </c>
      <c r="H28">
        <f>AVERAGE(H22:H27)</f>
        <v>3.455</v>
      </c>
      <c r="I28" s="14"/>
      <c r="J28" s="14">
        <f>SUM(J22:J27)</f>
        <v>0.3550473668261</v>
      </c>
      <c r="K28" s="14">
        <f>SUM(K22:K27)</f>
        <v>0.48035</v>
      </c>
      <c r="L28" s="6">
        <f>(CORREL(H22:H27,I22:I27))^2</f>
        <v>0.523891326435243</v>
      </c>
      <c r="M28" s="6">
        <f>SQRT(J28/6)</f>
        <v>0.243258219054739</v>
      </c>
      <c r="N28">
        <f>AVERAGE(N22:N27)</f>
        <v>3.455</v>
      </c>
      <c r="O28" s="14"/>
      <c r="P28" s="14">
        <f>SUM(P22:P27)</f>
        <v>0.270853725721304</v>
      </c>
      <c r="Q28" s="14">
        <f>SUM(Q22:Q27)</f>
        <v>0.48035</v>
      </c>
      <c r="R28" s="6">
        <f>(CORREL(N22:N27,O22:O27))^2</f>
        <v>0.725043391539198</v>
      </c>
      <c r="S28" s="6">
        <f>SQRT(P28/6)</f>
        <v>0.212467144801772</v>
      </c>
      <c r="T28">
        <f>AVERAGE(T22:T27)</f>
        <v>3.455</v>
      </c>
      <c r="U28" s="14"/>
      <c r="V28" s="14">
        <f>SUM(V22:V27)</f>
        <v>0.236658045848459</v>
      </c>
      <c r="W28" s="14">
        <f>SUM(W22:W27)</f>
        <v>0.48035</v>
      </c>
      <c r="X28" s="6">
        <f>(CORREL(T22:T27,U22:U27))^2</f>
        <v>0.932246844919719</v>
      </c>
      <c r="Y28" s="6">
        <f>SQRT(V28/6)</f>
        <v>0.198602637548976</v>
      </c>
      <c r="Z28">
        <f>AVERAGE(Z22:Z27)</f>
        <v>3.455</v>
      </c>
      <c r="AA28" s="14"/>
      <c r="AB28" s="14">
        <f>SUM(AB22:AB27)</f>
        <v>0.114819900090418</v>
      </c>
      <c r="AC28" s="14">
        <f>SUM(AC22:AC27)</f>
        <v>0.48035</v>
      </c>
      <c r="AD28" s="6">
        <f>(CORREL(Z22:Z27,AA22:AA27))^2</f>
        <v>0.845264361161954</v>
      </c>
      <c r="AE28" s="6">
        <f>SQRT(AB28/6)</f>
        <v>0.138335281165253</v>
      </c>
      <c r="AF28">
        <f>AVERAGE(AF22:AF27)</f>
        <v>3.455</v>
      </c>
      <c r="AG28" s="14"/>
      <c r="AH28" s="14">
        <f>SUM(AH22:AH27)</f>
        <v>0.277391956372965</v>
      </c>
      <c r="AI28" s="14">
        <f>SUM(AI22:AI27)</f>
        <v>0.48035</v>
      </c>
      <c r="AJ28" s="6">
        <f>(CORREL(AF22:AF27,AG22:AG27))^2</f>
        <v>0.877004934182252</v>
      </c>
      <c r="AK28" s="6">
        <f>SQRT(AH28/6)</f>
        <v>0.215016261545092</v>
      </c>
    </row>
    <row r="31" spans="2:31">
      <c r="B31" t="s">
        <v>0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>
        <v>3.71</v>
      </c>
      <c r="C32">
        <v>3.64440882385575</v>
      </c>
      <c r="D32" s="5">
        <f>(B32-C32)^2</f>
        <v>0.00430220238798601</v>
      </c>
      <c r="E32" s="5">
        <f t="shared" ref="E32:E37" si="12">(B32-avgLogEff)^2</f>
        <v>0.0650249999999999</v>
      </c>
      <c r="F32" s="5"/>
      <c r="G32" s="5"/>
      <c r="H32">
        <v>3.71</v>
      </c>
      <c r="I32">
        <v>3.72584042038176</v>
      </c>
      <c r="J32" s="5">
        <f t="shared" ref="J32:J37" si="13">(H32-I32)^2</f>
        <v>0.000250918917870875</v>
      </c>
      <c r="K32" s="5">
        <f t="shared" ref="K32:K37" si="14">(H32-avgLogEff)^2</f>
        <v>0.0650249999999999</v>
      </c>
      <c r="L32" s="12"/>
      <c r="M32" s="12"/>
      <c r="N32">
        <v>3.71</v>
      </c>
      <c r="O32">
        <v>3.63419685055454</v>
      </c>
      <c r="P32" s="5">
        <f t="shared" ref="P32:P37" si="15">(N32-O32)^2</f>
        <v>0.00574611746585075</v>
      </c>
      <c r="Q32" s="5">
        <f t="shared" ref="Q32:Q37" si="16">(N32-avgLogEff)^2</f>
        <v>0.0650249999999999</v>
      </c>
      <c r="R32" s="13"/>
      <c r="S32" s="13"/>
      <c r="T32">
        <v>3.71</v>
      </c>
      <c r="U32">
        <v>3.51041829550418</v>
      </c>
      <c r="V32" s="5">
        <f t="shared" ref="V32:V37" si="17">(T32-U32)^2</f>
        <v>0.0398328567694569</v>
      </c>
      <c r="W32" s="5">
        <f t="shared" ref="W32:W37" si="18">(T32-avgLogEff)^2</f>
        <v>0.0650249999999999</v>
      </c>
      <c r="X32" s="12"/>
      <c r="Y32" s="12"/>
      <c r="Z32">
        <v>3.71</v>
      </c>
      <c r="AA32">
        <v>3.50746678594243</v>
      </c>
      <c r="AB32" s="5">
        <f t="shared" ref="AB32:AB37" si="19">(Z32-AA32)^2</f>
        <v>0.0410197027964894</v>
      </c>
      <c r="AC32" s="5">
        <f t="shared" ref="AC32:AC37" si="20">(Z32-avgLogEff)^2</f>
        <v>0.0650249999999999</v>
      </c>
      <c r="AD32" s="13"/>
      <c r="AE32" s="13"/>
    </row>
    <row r="33" spans="2:31">
      <c r="B33">
        <v>3.75</v>
      </c>
      <c r="C33">
        <v>3.64293772372372</v>
      </c>
      <c r="D33" s="5">
        <f t="shared" ref="D33:D37" si="21">(B33-C33)^2</f>
        <v>0.0114623310014585</v>
      </c>
      <c r="E33" s="5">
        <f t="shared" si="12"/>
        <v>0.087025</v>
      </c>
      <c r="F33" s="5"/>
      <c r="G33" s="5"/>
      <c r="H33">
        <v>3.75</v>
      </c>
      <c r="I33">
        <v>3.63824087562998</v>
      </c>
      <c r="J33" s="5">
        <f t="shared" si="13"/>
        <v>0.0124901018799535</v>
      </c>
      <c r="K33" s="5">
        <f t="shared" si="14"/>
        <v>0.087025</v>
      </c>
      <c r="L33" s="12"/>
      <c r="M33" s="12"/>
      <c r="N33">
        <v>3.75</v>
      </c>
      <c r="O33">
        <v>3.63678110606229</v>
      </c>
      <c r="P33" s="5">
        <f t="shared" si="15"/>
        <v>0.0128185179444784</v>
      </c>
      <c r="Q33" s="5">
        <f t="shared" si="16"/>
        <v>0.087025</v>
      </c>
      <c r="R33" s="13"/>
      <c r="S33" s="13"/>
      <c r="T33">
        <v>3.75</v>
      </c>
      <c r="U33">
        <v>3.59264503379235</v>
      </c>
      <c r="V33" s="5">
        <f t="shared" si="17"/>
        <v>0.0247605853902107</v>
      </c>
      <c r="W33" s="5">
        <f t="shared" si="18"/>
        <v>0.087025</v>
      </c>
      <c r="X33" s="12"/>
      <c r="Y33" s="12"/>
      <c r="Z33">
        <v>3.75</v>
      </c>
      <c r="AA33">
        <v>3.60057334678355</v>
      </c>
      <c r="AB33" s="5">
        <f t="shared" si="19"/>
        <v>0.0223283246914692</v>
      </c>
      <c r="AC33" s="5">
        <f t="shared" si="20"/>
        <v>0.087025</v>
      </c>
      <c r="AD33" s="13"/>
      <c r="AE33" s="13"/>
    </row>
    <row r="34" spans="2:31">
      <c r="B34">
        <v>2.91</v>
      </c>
      <c r="C34">
        <v>3.38653387930521</v>
      </c>
      <c r="D34" s="5">
        <f t="shared" si="21"/>
        <v>0.227084538125672</v>
      </c>
      <c r="E34" s="5">
        <f t="shared" si="12"/>
        <v>0.297025</v>
      </c>
      <c r="F34" s="5"/>
      <c r="G34" s="5"/>
      <c r="H34">
        <v>2.91</v>
      </c>
      <c r="I34">
        <v>3.32641980895156</v>
      </c>
      <c r="J34" s="5">
        <f t="shared" si="13"/>
        <v>0.173405457287254</v>
      </c>
      <c r="K34" s="5">
        <f t="shared" si="14"/>
        <v>0.297025</v>
      </c>
      <c r="L34" s="12"/>
      <c r="M34" s="12"/>
      <c r="N34">
        <v>2.91</v>
      </c>
      <c r="O34">
        <v>3.37151800053814</v>
      </c>
      <c r="P34" s="5">
        <f t="shared" si="15"/>
        <v>0.212998864820723</v>
      </c>
      <c r="Q34" s="5">
        <f t="shared" si="16"/>
        <v>0.297025</v>
      </c>
      <c r="R34" s="13"/>
      <c r="S34" s="13"/>
      <c r="T34">
        <v>2.91</v>
      </c>
      <c r="U34">
        <v>3.30647261823855</v>
      </c>
      <c r="V34" s="5">
        <f t="shared" si="17"/>
        <v>0.157190537012931</v>
      </c>
      <c r="W34" s="5">
        <f t="shared" si="18"/>
        <v>0.297025</v>
      </c>
      <c r="X34" s="12"/>
      <c r="Y34" s="12"/>
      <c r="Z34">
        <v>2.91</v>
      </c>
      <c r="AA34">
        <v>3.31181907971762</v>
      </c>
      <c r="AB34" s="5">
        <f t="shared" si="19"/>
        <v>0.161458572825115</v>
      </c>
      <c r="AC34" s="5">
        <f t="shared" si="20"/>
        <v>0.297025</v>
      </c>
      <c r="AD34" s="13"/>
      <c r="AE34" s="13"/>
    </row>
    <row r="35" spans="2:31">
      <c r="B35">
        <v>3.58</v>
      </c>
      <c r="C35">
        <v>3.64339958472196</v>
      </c>
      <c r="D35" s="5">
        <f t="shared" si="21"/>
        <v>0.00401950734291695</v>
      </c>
      <c r="E35" s="5">
        <f t="shared" si="12"/>
        <v>0.015625</v>
      </c>
      <c r="F35" s="5"/>
      <c r="G35" s="5"/>
      <c r="H35">
        <v>3.58</v>
      </c>
      <c r="I35">
        <v>3.61312338285448</v>
      </c>
      <c r="J35" s="5">
        <f t="shared" si="13"/>
        <v>0.00109715849172445</v>
      </c>
      <c r="K35" s="5">
        <f t="shared" si="14"/>
        <v>0.015625</v>
      </c>
      <c r="L35" s="12"/>
      <c r="M35" s="12"/>
      <c r="N35">
        <v>3.58</v>
      </c>
      <c r="O35">
        <v>3.62788576927809</v>
      </c>
      <c r="P35" s="5">
        <f t="shared" si="15"/>
        <v>0.00229304689935447</v>
      </c>
      <c r="Q35" s="5">
        <f t="shared" si="16"/>
        <v>0.015625</v>
      </c>
      <c r="R35" s="13"/>
      <c r="S35" s="13"/>
      <c r="T35">
        <v>3.58</v>
      </c>
      <c r="U35">
        <v>3.5535942537215</v>
      </c>
      <c r="V35" s="5">
        <f t="shared" si="17"/>
        <v>0.000697263436524511</v>
      </c>
      <c r="W35" s="5">
        <f t="shared" si="18"/>
        <v>0.015625</v>
      </c>
      <c r="X35" s="12"/>
      <c r="Y35" s="12"/>
      <c r="Z35">
        <v>3.58</v>
      </c>
      <c r="AA35">
        <v>3.5626078315009</v>
      </c>
      <c r="AB35" s="5">
        <f t="shared" si="19"/>
        <v>0.000302487525101089</v>
      </c>
      <c r="AC35" s="5">
        <f t="shared" si="20"/>
        <v>0.015625</v>
      </c>
      <c r="AD35" s="13"/>
      <c r="AE35" s="13"/>
    </row>
    <row r="36" spans="2:31">
      <c r="B36">
        <v>3.33</v>
      </c>
      <c r="C36">
        <v>3.5406086522094</v>
      </c>
      <c r="D36" s="5">
        <f t="shared" si="21"/>
        <v>0.04435600438546</v>
      </c>
      <c r="E36" s="5">
        <f t="shared" si="12"/>
        <v>0.015625</v>
      </c>
      <c r="F36" s="5"/>
      <c r="G36" s="5"/>
      <c r="H36">
        <v>3.33</v>
      </c>
      <c r="I36">
        <v>3.48844891814775</v>
      </c>
      <c r="J36" s="5">
        <f t="shared" si="13"/>
        <v>0.0251060596621923</v>
      </c>
      <c r="K36" s="5">
        <f t="shared" si="14"/>
        <v>0.015625</v>
      </c>
      <c r="L36" s="12"/>
      <c r="M36" s="12"/>
      <c r="N36">
        <v>3.33</v>
      </c>
      <c r="O36">
        <v>3.52081533810449</v>
      </c>
      <c r="P36" s="5">
        <f t="shared" si="15"/>
        <v>0.0364104932559308</v>
      </c>
      <c r="Q36" s="5">
        <f t="shared" si="16"/>
        <v>0.015625</v>
      </c>
      <c r="R36" s="13"/>
      <c r="S36" s="13"/>
      <c r="T36">
        <v>3.33</v>
      </c>
      <c r="U36">
        <v>3.4245473962016</v>
      </c>
      <c r="V36" s="5">
        <f t="shared" si="17"/>
        <v>0.00893921012850231</v>
      </c>
      <c r="W36" s="5">
        <f t="shared" si="18"/>
        <v>0.015625</v>
      </c>
      <c r="X36" s="12"/>
      <c r="Y36" s="12"/>
      <c r="Z36">
        <v>3.33</v>
      </c>
      <c r="AA36">
        <v>3.43371280783873</v>
      </c>
      <c r="AB36" s="5">
        <f t="shared" si="19"/>
        <v>0.0107563465097933</v>
      </c>
      <c r="AC36" s="5">
        <f t="shared" si="20"/>
        <v>0.015625</v>
      </c>
      <c r="AD36" s="13"/>
      <c r="AE36" s="13"/>
    </row>
    <row r="37" spans="2:31">
      <c r="B37">
        <v>3.45</v>
      </c>
      <c r="C37">
        <v>3.48817409165949</v>
      </c>
      <c r="D37" s="5">
        <f t="shared" si="21"/>
        <v>0.00145726127402714</v>
      </c>
      <c r="E37" s="5">
        <f t="shared" si="12"/>
        <v>2.49999999999989e-5</v>
      </c>
      <c r="F37" s="5"/>
      <c r="G37" s="5"/>
      <c r="H37">
        <v>3.45</v>
      </c>
      <c r="I37">
        <v>3.54258201911242</v>
      </c>
      <c r="J37" s="5">
        <f t="shared" si="13"/>
        <v>0.00857143026293247</v>
      </c>
      <c r="K37" s="5">
        <f t="shared" si="14"/>
        <v>2.49999999999989e-5</v>
      </c>
      <c r="L37" s="12"/>
      <c r="M37" s="12"/>
      <c r="N37">
        <v>3.45</v>
      </c>
      <c r="O37">
        <v>3.50327586350781</v>
      </c>
      <c r="P37" s="5">
        <f t="shared" si="15"/>
        <v>0.00283831763250279</v>
      </c>
      <c r="Q37" s="5">
        <f t="shared" si="16"/>
        <v>2.49999999999989e-5</v>
      </c>
      <c r="R37" s="13"/>
      <c r="S37" s="13"/>
      <c r="T37">
        <v>3.45</v>
      </c>
      <c r="U37">
        <v>3.4854788204643</v>
      </c>
      <c r="V37" s="5">
        <f t="shared" si="17"/>
        <v>0.00125874670153803</v>
      </c>
      <c r="W37" s="5">
        <f t="shared" si="18"/>
        <v>2.49999999999989e-5</v>
      </c>
      <c r="X37" s="12"/>
      <c r="Y37" s="12"/>
      <c r="Z37">
        <v>3.45</v>
      </c>
      <c r="AA37">
        <v>3.48488748561551</v>
      </c>
      <c r="AB37" s="5">
        <f t="shared" si="19"/>
        <v>0.00121713665257241</v>
      </c>
      <c r="AC37" s="5">
        <f t="shared" si="20"/>
        <v>2.49999999999989e-5</v>
      </c>
      <c r="AD37" s="13"/>
      <c r="AE37" s="13"/>
    </row>
    <row r="38" spans="3:31">
      <c r="C38" s="6">
        <f>AVERAGE(C32:D37)</f>
        <v>1.80322871666609</v>
      </c>
      <c r="D38" s="6">
        <f>SUM(D32:D37)</f>
        <v>0.292681844517521</v>
      </c>
      <c r="E38" s="6">
        <f>SUM(E32:E37)</f>
        <v>0.48035</v>
      </c>
      <c r="F38" s="6">
        <f>(CORREL(B32:B37,C32:C37))^2</f>
        <v>0.870072258376439</v>
      </c>
      <c r="G38" s="6">
        <f>SQRT(D38/6)</f>
        <v>0.220862643784744</v>
      </c>
      <c r="H38">
        <f>AVERAGE(H32:H37)</f>
        <v>3.455</v>
      </c>
      <c r="I38" s="14"/>
      <c r="J38" s="14">
        <f>SUM(J32:J37)</f>
        <v>0.220921126501927</v>
      </c>
      <c r="K38" s="14">
        <f>SUM(K32:K37)</f>
        <v>0.48035</v>
      </c>
      <c r="L38" s="6">
        <f>(CORREL(H32:H37,I32:I37))^2</f>
        <v>0.938151033867679</v>
      </c>
      <c r="M38" s="6">
        <f>SQRT(J38/6)</f>
        <v>0.191885871679812</v>
      </c>
      <c r="N38">
        <f>AVERAGE(N32:N37)</f>
        <v>3.455</v>
      </c>
      <c r="O38" s="14"/>
      <c r="P38" s="14">
        <f>SUM(P32:P37)</f>
        <v>0.27310535801884</v>
      </c>
      <c r="Q38" s="14">
        <f>SUM(Q32:Q37)</f>
        <v>0.48035</v>
      </c>
      <c r="R38" s="6">
        <f>(CORREL(N32:N37,O32:O37))^2</f>
        <v>0.934728275677261</v>
      </c>
      <c r="S38" s="6">
        <f>SQRT(P38/6)</f>
        <v>0.213348446607438</v>
      </c>
      <c r="T38">
        <f>AVERAGE(T32:T37)</f>
        <v>3.455</v>
      </c>
      <c r="U38" s="14"/>
      <c r="V38" s="14">
        <f>SUM(V32:V37)</f>
        <v>0.232679199439163</v>
      </c>
      <c r="W38" s="14">
        <f>SUM(W32:W37)</f>
        <v>0.48035</v>
      </c>
      <c r="X38" s="6">
        <f>(CORREL(T32:T37,U32:U37))^2</f>
        <v>0.916650238290448</v>
      </c>
      <c r="Y38" s="6">
        <f>SQRT(V38/6)</f>
        <v>0.196926043410195</v>
      </c>
      <c r="Z38">
        <f>AVERAGE(Z32:Z37)</f>
        <v>3.455</v>
      </c>
      <c r="AA38" s="14"/>
      <c r="AB38" s="14">
        <f>SUM(AB32:AB37)</f>
        <v>0.23708257100054</v>
      </c>
      <c r="AC38" s="14">
        <f>SUM(AC32:AC37)</f>
        <v>0.48035</v>
      </c>
      <c r="AD38" s="6">
        <f>(CORREL(Z32:Z37,AA32:AA37))^2</f>
        <v>0.896116323699797</v>
      </c>
      <c r="AE38" s="6">
        <f>SQRT(AB38/6)</f>
        <v>0.198780687777821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82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ref="C83:C114" si="25">66.8+0.644*A83</f>
        <v>104.796</v>
      </c>
      <c r="D83" s="5">
        <f t="shared" si="24"/>
        <v>25.9692159999999</v>
      </c>
      <c r="E83" s="5">
        <f t="shared" ref="E83:E114" si="26">(B83-Ybar_height)^2</f>
        <v>103.848837890625</v>
      </c>
    </row>
    <row r="84" spans="1:5">
      <c r="A84" s="10">
        <v>61</v>
      </c>
      <c r="B84" s="10">
        <v>107.5</v>
      </c>
      <c r="C84">
        <f t="shared" si="25"/>
        <v>106.084</v>
      </c>
      <c r="D84" s="5">
        <f t="shared" si="24"/>
        <v>2.00505599999999</v>
      </c>
      <c r="E84" s="5">
        <f t="shared" si="26"/>
        <v>5.715087890625</v>
      </c>
    </row>
    <row r="85" spans="1:5">
      <c r="A85" s="10">
        <v>59</v>
      </c>
      <c r="B85" s="10">
        <v>99.3</v>
      </c>
      <c r="C85">
        <f t="shared" si="25"/>
        <v>104.796</v>
      </c>
      <c r="D85" s="5">
        <f t="shared" si="24"/>
        <v>30.2060159999999</v>
      </c>
      <c r="E85" s="5">
        <f t="shared" si="26"/>
        <v>112.161337890625</v>
      </c>
    </row>
    <row r="86" spans="1:5">
      <c r="A86" s="10">
        <v>57</v>
      </c>
      <c r="B86" s="10">
        <v>105.7</v>
      </c>
      <c r="C86">
        <f t="shared" si="25"/>
        <v>103.508</v>
      </c>
      <c r="D86" s="5">
        <f t="shared" si="24"/>
        <v>4.80486400000003</v>
      </c>
      <c r="E86" s="5">
        <f t="shared" si="26"/>
        <v>17.561337890625</v>
      </c>
    </row>
    <row r="87" spans="1:5">
      <c r="A87" s="10">
        <v>57</v>
      </c>
      <c r="B87" s="10">
        <v>100.5</v>
      </c>
      <c r="C87">
        <f t="shared" si="25"/>
        <v>103.508</v>
      </c>
      <c r="D87" s="5">
        <f t="shared" si="24"/>
        <v>9.04806399999997</v>
      </c>
      <c r="E87" s="5">
        <f t="shared" si="26"/>
        <v>88.183837890625</v>
      </c>
    </row>
    <row r="88" spans="1:5">
      <c r="A88" s="10">
        <v>61</v>
      </c>
      <c r="B88" s="10">
        <v>102.5</v>
      </c>
      <c r="C88">
        <f t="shared" si="25"/>
        <v>106.084</v>
      </c>
      <c r="D88" s="5">
        <f t="shared" si="24"/>
        <v>12.845056</v>
      </c>
      <c r="E88" s="5">
        <f t="shared" si="26"/>
        <v>54.621337890625</v>
      </c>
    </row>
    <row r="89" spans="1:5">
      <c r="A89" s="10">
        <v>65</v>
      </c>
      <c r="B89" s="10">
        <v>110.5</v>
      </c>
      <c r="C89">
        <f t="shared" si="25"/>
        <v>108.66</v>
      </c>
      <c r="D89" s="5">
        <f t="shared" si="24"/>
        <v>3.38560000000001</v>
      </c>
      <c r="E89" s="5">
        <f t="shared" si="26"/>
        <v>0.371337890625</v>
      </c>
    </row>
    <row r="90" spans="1:5">
      <c r="A90" s="10">
        <v>65</v>
      </c>
      <c r="B90" s="10">
        <v>116.2</v>
      </c>
      <c r="C90">
        <f t="shared" si="25"/>
        <v>108.66</v>
      </c>
      <c r="D90" s="5">
        <f t="shared" si="24"/>
        <v>56.8516000000001</v>
      </c>
      <c r="E90" s="5">
        <f t="shared" si="26"/>
        <v>39.808212890625</v>
      </c>
    </row>
    <row r="91" spans="1:5">
      <c r="A91" s="10">
        <v>65</v>
      </c>
      <c r="B91" s="10">
        <v>106.8</v>
      </c>
      <c r="C91">
        <f t="shared" si="25"/>
        <v>108.66</v>
      </c>
      <c r="D91" s="5">
        <f t="shared" si="24"/>
        <v>3.4596</v>
      </c>
      <c r="E91" s="5">
        <f t="shared" si="26"/>
        <v>9.55196289062502</v>
      </c>
    </row>
    <row r="92" spans="1:5">
      <c r="A92" s="10">
        <v>68</v>
      </c>
      <c r="B92" s="10">
        <v>104.2</v>
      </c>
      <c r="C92">
        <f t="shared" si="25"/>
        <v>110.592</v>
      </c>
      <c r="D92" s="5">
        <f t="shared" si="24"/>
        <v>40.857664</v>
      </c>
      <c r="E92" s="5">
        <f t="shared" si="26"/>
        <v>32.383212890625</v>
      </c>
    </row>
    <row r="93" spans="1:5">
      <c r="A93" s="10">
        <v>64</v>
      </c>
      <c r="B93" s="10">
        <v>111.5</v>
      </c>
      <c r="C93">
        <f t="shared" si="25"/>
        <v>108.016</v>
      </c>
      <c r="D93" s="5">
        <f t="shared" si="24"/>
        <v>12.1382560000001</v>
      </c>
      <c r="E93" s="5">
        <f t="shared" si="26"/>
        <v>2.590087890625</v>
      </c>
    </row>
    <row r="94" spans="1:5">
      <c r="A94" s="10">
        <v>60</v>
      </c>
      <c r="B94" s="10">
        <v>109.3</v>
      </c>
      <c r="C94">
        <f t="shared" si="25"/>
        <v>105.44</v>
      </c>
      <c r="D94" s="5">
        <f t="shared" si="24"/>
        <v>14.8996</v>
      </c>
      <c r="E94" s="5">
        <f t="shared" si="26"/>
        <v>0.348837890625003</v>
      </c>
    </row>
    <row r="95" spans="1:5">
      <c r="A95" s="10">
        <v>65</v>
      </c>
      <c r="B95" s="10">
        <v>109.3</v>
      </c>
      <c r="C95">
        <f t="shared" si="25"/>
        <v>108.66</v>
      </c>
      <c r="D95" s="5">
        <f t="shared" si="24"/>
        <v>0.409600000000001</v>
      </c>
      <c r="E95" s="5">
        <f t="shared" si="26"/>
        <v>0.348837890625003</v>
      </c>
    </row>
    <row r="96" spans="1:5">
      <c r="A96" s="10">
        <v>66</v>
      </c>
      <c r="B96" s="10">
        <v>107.5</v>
      </c>
      <c r="C96">
        <f t="shared" si="25"/>
        <v>109.304</v>
      </c>
      <c r="D96" s="5">
        <f t="shared" si="24"/>
        <v>3.25441600000001</v>
      </c>
      <c r="E96" s="5">
        <f t="shared" si="26"/>
        <v>5.715087890625</v>
      </c>
    </row>
    <row r="97" spans="1:5">
      <c r="A97" s="10">
        <v>66</v>
      </c>
      <c r="B97" s="10">
        <v>109.2</v>
      </c>
      <c r="C97">
        <f t="shared" si="25"/>
        <v>109.304</v>
      </c>
      <c r="D97" s="5">
        <f t="shared" si="24"/>
        <v>0.0108159999999998</v>
      </c>
      <c r="E97" s="5">
        <f t="shared" si="26"/>
        <v>0.476962890624996</v>
      </c>
    </row>
    <row r="98" spans="1:5">
      <c r="A98" s="10">
        <v>66</v>
      </c>
      <c r="B98" s="10">
        <v>109.4</v>
      </c>
      <c r="C98">
        <f t="shared" si="25"/>
        <v>109.304</v>
      </c>
      <c r="D98" s="5">
        <f t="shared" si="24"/>
        <v>0.0092160000000007</v>
      </c>
      <c r="E98" s="5">
        <f t="shared" si="26"/>
        <v>0.240712890624994</v>
      </c>
    </row>
    <row r="99" spans="1:5">
      <c r="A99" s="10">
        <v>60</v>
      </c>
      <c r="B99" s="10">
        <v>101.7</v>
      </c>
      <c r="C99">
        <f t="shared" si="25"/>
        <v>105.44</v>
      </c>
      <c r="D99" s="5">
        <f t="shared" si="24"/>
        <v>13.9876</v>
      </c>
      <c r="E99" s="5">
        <f t="shared" si="26"/>
        <v>67.0863378906249</v>
      </c>
    </row>
    <row r="100" spans="1:5">
      <c r="A100" s="10">
        <v>50</v>
      </c>
      <c r="B100" s="10">
        <v>105.7</v>
      </c>
      <c r="C100">
        <f t="shared" si="25"/>
        <v>99</v>
      </c>
      <c r="D100" s="5">
        <f t="shared" si="24"/>
        <v>44.89</v>
      </c>
      <c r="E100" s="5">
        <f t="shared" si="26"/>
        <v>17.561337890625</v>
      </c>
    </row>
    <row r="101" spans="1:5">
      <c r="A101" s="10">
        <v>74</v>
      </c>
      <c r="B101" s="10">
        <v>112.1</v>
      </c>
      <c r="C101">
        <f t="shared" si="25"/>
        <v>114.456</v>
      </c>
      <c r="D101" s="5">
        <f t="shared" si="24"/>
        <v>5.55073599999997</v>
      </c>
      <c r="E101" s="5">
        <f t="shared" si="26"/>
        <v>4.88133789062497</v>
      </c>
    </row>
    <row r="102" spans="1:5">
      <c r="A102" s="10">
        <v>74</v>
      </c>
      <c r="B102" s="10">
        <v>118.6</v>
      </c>
      <c r="C102">
        <f t="shared" si="25"/>
        <v>114.456</v>
      </c>
      <c r="D102" s="5">
        <f t="shared" si="24"/>
        <v>17.172736</v>
      </c>
      <c r="E102" s="5">
        <f t="shared" si="26"/>
        <v>75.8532128906249</v>
      </c>
    </row>
    <row r="103" spans="1:5">
      <c r="A103" s="10">
        <v>63</v>
      </c>
      <c r="B103" s="10">
        <v>109.6</v>
      </c>
      <c r="C103">
        <f t="shared" si="25"/>
        <v>107.372</v>
      </c>
      <c r="D103" s="5">
        <f t="shared" si="24"/>
        <v>4.96398399999998</v>
      </c>
      <c r="E103" s="5">
        <f t="shared" si="26"/>
        <v>0.0844628906250033</v>
      </c>
    </row>
    <row r="104" spans="1:5">
      <c r="A104" s="10">
        <v>73</v>
      </c>
      <c r="B104" s="10">
        <v>115</v>
      </c>
      <c r="C104">
        <f t="shared" si="25"/>
        <v>113.812</v>
      </c>
      <c r="D104" s="5">
        <f t="shared" si="24"/>
        <v>1.41134400000001</v>
      </c>
      <c r="E104" s="5">
        <f t="shared" si="26"/>
        <v>26.105712890625</v>
      </c>
    </row>
    <row r="105" spans="1:5">
      <c r="A105" s="10">
        <v>64</v>
      </c>
      <c r="B105" s="10">
        <v>106.8</v>
      </c>
      <c r="C105">
        <f t="shared" si="25"/>
        <v>108.016</v>
      </c>
      <c r="D105" s="5">
        <f t="shared" si="24"/>
        <v>1.47865599999999</v>
      </c>
      <c r="E105" s="5">
        <f t="shared" si="26"/>
        <v>9.55196289062502</v>
      </c>
    </row>
    <row r="106" spans="1:5">
      <c r="A106" s="10">
        <v>70</v>
      </c>
      <c r="B106" s="10">
        <v>112.2</v>
      </c>
      <c r="C106">
        <f t="shared" si="25"/>
        <v>111.88</v>
      </c>
      <c r="D106" s="5">
        <f t="shared" si="24"/>
        <v>0.102400000000005</v>
      </c>
      <c r="E106" s="5">
        <f t="shared" si="26"/>
        <v>5.33321289062501</v>
      </c>
    </row>
    <row r="107" spans="1:5">
      <c r="A107" s="10">
        <v>66</v>
      </c>
      <c r="B107" s="10">
        <v>108.8</v>
      </c>
      <c r="C107">
        <f t="shared" si="25"/>
        <v>109.304</v>
      </c>
      <c r="D107" s="5">
        <f t="shared" si="24"/>
        <v>0.254016000000005</v>
      </c>
      <c r="E107" s="5">
        <f t="shared" si="26"/>
        <v>1.18946289062501</v>
      </c>
    </row>
    <row r="108" spans="1:5">
      <c r="A108" s="10">
        <v>76</v>
      </c>
      <c r="B108" s="10">
        <v>119.1</v>
      </c>
      <c r="C108">
        <f t="shared" si="25"/>
        <v>115.744</v>
      </c>
      <c r="D108" s="5">
        <f t="shared" si="24"/>
        <v>11.262736</v>
      </c>
      <c r="E108" s="5">
        <f t="shared" si="26"/>
        <v>84.8125878906249</v>
      </c>
    </row>
    <row r="109" spans="1:5">
      <c r="A109" s="10">
        <v>76</v>
      </c>
      <c r="B109" s="10">
        <v>112.6</v>
      </c>
      <c r="C109">
        <f t="shared" si="25"/>
        <v>115.744</v>
      </c>
      <c r="D109" s="5">
        <f t="shared" si="24"/>
        <v>9.88473600000003</v>
      </c>
      <c r="E109" s="5">
        <f t="shared" si="26"/>
        <v>7.34071289062497</v>
      </c>
    </row>
    <row r="110" spans="1:5">
      <c r="A110" s="10">
        <v>66</v>
      </c>
      <c r="B110" s="10">
        <v>109.5</v>
      </c>
      <c r="C110">
        <f t="shared" si="25"/>
        <v>109.304</v>
      </c>
      <c r="D110" s="5">
        <f t="shared" si="24"/>
        <v>0.0384159999999992</v>
      </c>
      <c r="E110" s="5">
        <f t="shared" si="26"/>
        <v>0.152587890625</v>
      </c>
    </row>
    <row r="111" spans="1:5">
      <c r="A111" s="10">
        <v>68</v>
      </c>
      <c r="B111" s="10">
        <v>109</v>
      </c>
      <c r="C111">
        <f t="shared" si="25"/>
        <v>110.592</v>
      </c>
      <c r="D111" s="5">
        <f t="shared" si="24"/>
        <v>2.534464</v>
      </c>
      <c r="E111" s="5">
        <f t="shared" si="26"/>
        <v>0.793212890625</v>
      </c>
    </row>
    <row r="112" spans="1:5">
      <c r="A112" s="10">
        <v>62</v>
      </c>
      <c r="B112" s="10">
        <v>103.5</v>
      </c>
      <c r="C112">
        <f t="shared" si="25"/>
        <v>106.728</v>
      </c>
      <c r="D112" s="5">
        <f t="shared" si="24"/>
        <v>10.4199840000001</v>
      </c>
      <c r="E112" s="5">
        <f t="shared" si="26"/>
        <v>40.840087890625</v>
      </c>
    </row>
    <row r="113" spans="1:5">
      <c r="A113" s="10">
        <v>65</v>
      </c>
      <c r="B113" s="10">
        <v>115.8</v>
      </c>
      <c r="C113">
        <f t="shared" si="25"/>
        <v>108.66</v>
      </c>
      <c r="D113" s="5">
        <f t="shared" si="24"/>
        <v>50.9796</v>
      </c>
      <c r="E113" s="5">
        <f t="shared" si="26"/>
        <v>34.920712890625</v>
      </c>
    </row>
    <row r="114" spans="1:5">
      <c r="A114" s="10">
        <v>65</v>
      </c>
      <c r="B114" s="10">
        <v>109.8</v>
      </c>
      <c r="C114">
        <f t="shared" si="25"/>
        <v>108.66</v>
      </c>
      <c r="D114" s="5">
        <f t="shared" si="24"/>
        <v>1.2996</v>
      </c>
      <c r="E114" s="5">
        <f t="shared" si="26"/>
        <v>0.00821289062500052</v>
      </c>
    </row>
    <row r="115" spans="1:5">
      <c r="A115" s="10">
        <v>73</v>
      </c>
      <c r="B115" s="10">
        <v>109.5</v>
      </c>
      <c r="C115">
        <f t="shared" ref="C115:C146" si="27">66.8+0.644*A115</f>
        <v>113.812</v>
      </c>
      <c r="D115" s="5">
        <f t="shared" si="24"/>
        <v>18.593344</v>
      </c>
      <c r="E115" s="5">
        <f t="shared" ref="E115:E146" si="28">(B115-Ybar_height)^2</f>
        <v>0.152587890625</v>
      </c>
    </row>
    <row r="116" spans="1:5">
      <c r="A116" s="10">
        <v>75</v>
      </c>
      <c r="B116" s="10">
        <v>114</v>
      </c>
      <c r="C116">
        <f t="shared" si="27"/>
        <v>115.1</v>
      </c>
      <c r="D116" s="5">
        <f t="shared" ref="D116:D146" si="29">(B116-C116)^2</f>
        <v>1.20999999999999</v>
      </c>
      <c r="E116" s="5">
        <f t="shared" si="28"/>
        <v>16.886962890625</v>
      </c>
    </row>
    <row r="117" spans="1:5">
      <c r="A117" s="10">
        <v>75</v>
      </c>
      <c r="B117" s="10">
        <v>117</v>
      </c>
      <c r="C117">
        <f t="shared" si="27"/>
        <v>115.1</v>
      </c>
      <c r="D117" s="5">
        <f t="shared" si="29"/>
        <v>3.61000000000002</v>
      </c>
      <c r="E117" s="5">
        <f t="shared" si="28"/>
        <v>50.543212890625</v>
      </c>
    </row>
    <row r="118" spans="1:5">
      <c r="A118" s="10">
        <v>74</v>
      </c>
      <c r="B118" s="10">
        <v>113.2</v>
      </c>
      <c r="C118">
        <f t="shared" si="27"/>
        <v>114.456</v>
      </c>
      <c r="D118" s="5">
        <f t="shared" si="29"/>
        <v>1.57753599999996</v>
      </c>
      <c r="E118" s="5">
        <f t="shared" si="28"/>
        <v>10.951962890625</v>
      </c>
    </row>
    <row r="119" spans="1:5">
      <c r="A119" s="10">
        <v>64</v>
      </c>
      <c r="B119" s="10">
        <v>110.8</v>
      </c>
      <c r="C119">
        <f t="shared" si="27"/>
        <v>108.016</v>
      </c>
      <c r="D119" s="5">
        <f t="shared" si="29"/>
        <v>7.75065600000003</v>
      </c>
      <c r="E119" s="5">
        <f t="shared" si="28"/>
        <v>0.826962890624995</v>
      </c>
    </row>
    <row r="120" spans="1:5">
      <c r="A120" s="10">
        <v>73</v>
      </c>
      <c r="B120" s="10">
        <v>118.5</v>
      </c>
      <c r="C120">
        <f t="shared" si="27"/>
        <v>113.812</v>
      </c>
      <c r="D120" s="5">
        <f t="shared" si="29"/>
        <v>21.977344</v>
      </c>
      <c r="E120" s="5">
        <f t="shared" si="28"/>
        <v>74.121337890625</v>
      </c>
    </row>
    <row r="121" spans="1:5">
      <c r="A121" s="10">
        <v>65</v>
      </c>
      <c r="B121" s="10">
        <v>108.8</v>
      </c>
      <c r="C121">
        <f t="shared" si="27"/>
        <v>108.66</v>
      </c>
      <c r="D121" s="5">
        <f t="shared" si="29"/>
        <v>0.0196000000000002</v>
      </c>
      <c r="E121" s="5">
        <f t="shared" si="28"/>
        <v>1.18946289062501</v>
      </c>
    </row>
    <row r="122" spans="1:5">
      <c r="A122" s="10">
        <v>75</v>
      </c>
      <c r="B122" s="10">
        <v>115.3</v>
      </c>
      <c r="C122">
        <f t="shared" si="27"/>
        <v>115.1</v>
      </c>
      <c r="D122" s="5">
        <f t="shared" si="29"/>
        <v>0.0400000000000011</v>
      </c>
      <c r="E122" s="5">
        <f t="shared" si="28"/>
        <v>29.261337890625</v>
      </c>
    </row>
    <row r="123" spans="1:5">
      <c r="A123" s="10">
        <v>71</v>
      </c>
      <c r="B123" s="10">
        <v>110.8</v>
      </c>
      <c r="C123">
        <f t="shared" si="27"/>
        <v>112.524</v>
      </c>
      <c r="D123" s="5">
        <f t="shared" si="29"/>
        <v>2.97217600000001</v>
      </c>
      <c r="E123" s="5">
        <f t="shared" si="28"/>
        <v>0.826962890624995</v>
      </c>
    </row>
    <row r="124" spans="1:5">
      <c r="A124" s="10">
        <v>72</v>
      </c>
      <c r="B124" s="10">
        <v>116.2</v>
      </c>
      <c r="C124">
        <f t="shared" si="27"/>
        <v>113.168</v>
      </c>
      <c r="D124" s="5">
        <f t="shared" si="29"/>
        <v>9.19302399999998</v>
      </c>
      <c r="E124" s="5">
        <f t="shared" si="28"/>
        <v>39.808212890625</v>
      </c>
    </row>
    <row r="125" spans="1:5">
      <c r="A125" s="10">
        <v>73</v>
      </c>
      <c r="B125" s="10">
        <v>114.3</v>
      </c>
      <c r="C125">
        <f t="shared" si="27"/>
        <v>113.812</v>
      </c>
      <c r="D125" s="5">
        <f t="shared" si="29"/>
        <v>0.238144</v>
      </c>
      <c r="E125" s="5">
        <f t="shared" si="28"/>
        <v>19.442587890625</v>
      </c>
    </row>
    <row r="126" spans="1:5">
      <c r="A126" s="10">
        <v>75</v>
      </c>
      <c r="B126" s="10">
        <v>116.4</v>
      </c>
      <c r="C126">
        <f t="shared" si="27"/>
        <v>115.1</v>
      </c>
      <c r="D126" s="5">
        <f t="shared" si="29"/>
        <v>1.69000000000003</v>
      </c>
      <c r="E126" s="5">
        <f t="shared" si="28"/>
        <v>42.3719628906251</v>
      </c>
    </row>
    <row r="127" spans="1:5">
      <c r="A127" s="10">
        <v>77</v>
      </c>
      <c r="B127" s="10">
        <v>117.5</v>
      </c>
      <c r="C127">
        <f t="shared" si="27"/>
        <v>116.388</v>
      </c>
      <c r="D127" s="5">
        <f t="shared" si="29"/>
        <v>1.23654399999999</v>
      </c>
      <c r="E127" s="5">
        <f t="shared" si="28"/>
        <v>57.902587890625</v>
      </c>
    </row>
    <row r="128" spans="1:5">
      <c r="A128" s="10">
        <v>67</v>
      </c>
      <c r="B128" s="10">
        <v>119</v>
      </c>
      <c r="C128">
        <f t="shared" si="27"/>
        <v>109.948</v>
      </c>
      <c r="D128" s="5">
        <f t="shared" si="29"/>
        <v>81.9387039999999</v>
      </c>
      <c r="E128" s="5">
        <f t="shared" si="28"/>
        <v>82.980712890625</v>
      </c>
    </row>
    <row r="129" spans="1:5">
      <c r="A129" s="10">
        <v>78</v>
      </c>
      <c r="B129" s="10">
        <v>112.8</v>
      </c>
      <c r="C129">
        <f t="shared" si="27"/>
        <v>117.032</v>
      </c>
      <c r="D129" s="5">
        <f t="shared" si="29"/>
        <v>17.909824</v>
      </c>
      <c r="E129" s="5">
        <f t="shared" si="28"/>
        <v>8.46446289062498</v>
      </c>
    </row>
    <row r="130" spans="1:5">
      <c r="A130" s="10">
        <v>73</v>
      </c>
      <c r="B130" s="10">
        <v>113.6</v>
      </c>
      <c r="C130">
        <f t="shared" si="27"/>
        <v>113.812</v>
      </c>
      <c r="D130" s="5">
        <f t="shared" si="29"/>
        <v>0.0449440000000014</v>
      </c>
      <c r="E130" s="5">
        <f t="shared" si="28"/>
        <v>13.759462890625</v>
      </c>
    </row>
    <row r="131" spans="1:5">
      <c r="A131" s="10">
        <v>76</v>
      </c>
      <c r="B131" s="10">
        <v>119.9</v>
      </c>
      <c r="C131">
        <f t="shared" si="27"/>
        <v>115.744</v>
      </c>
      <c r="D131" s="5">
        <f t="shared" si="29"/>
        <v>17.272336</v>
      </c>
      <c r="E131" s="5">
        <f t="shared" si="28"/>
        <v>100.187587890625</v>
      </c>
    </row>
    <row r="132" spans="1:5">
      <c r="A132" s="10">
        <v>74</v>
      </c>
      <c r="B132" s="10">
        <v>108.2</v>
      </c>
      <c r="C132">
        <f t="shared" si="27"/>
        <v>114.456</v>
      </c>
      <c r="D132" s="5">
        <f t="shared" si="29"/>
        <v>39.1375359999998</v>
      </c>
      <c r="E132" s="5">
        <f t="shared" si="28"/>
        <v>2.85821289062499</v>
      </c>
    </row>
    <row r="133" spans="1:5">
      <c r="A133" s="10">
        <v>77</v>
      </c>
      <c r="B133" s="10">
        <v>120</v>
      </c>
      <c r="C133">
        <f t="shared" si="27"/>
        <v>116.388</v>
      </c>
      <c r="D133" s="5">
        <f t="shared" si="29"/>
        <v>13.046544</v>
      </c>
      <c r="E133" s="5">
        <f t="shared" si="28"/>
        <v>102.199462890625</v>
      </c>
    </row>
    <row r="134" spans="1:5">
      <c r="A134" s="10">
        <v>75</v>
      </c>
      <c r="B134" s="10">
        <v>125</v>
      </c>
      <c r="C134">
        <f t="shared" si="27"/>
        <v>115.1</v>
      </c>
      <c r="D134" s="5">
        <f t="shared" si="29"/>
        <v>98.0100000000001</v>
      </c>
      <c r="E134" s="5">
        <f t="shared" si="28"/>
        <v>228.293212890625</v>
      </c>
    </row>
    <row r="135" spans="1:5">
      <c r="A135" s="10">
        <v>77</v>
      </c>
      <c r="B135" s="10">
        <v>120.8</v>
      </c>
      <c r="C135">
        <f t="shared" si="27"/>
        <v>116.388</v>
      </c>
      <c r="D135" s="5">
        <f t="shared" si="29"/>
        <v>19.4657439999999</v>
      </c>
      <c r="E135" s="5">
        <f t="shared" si="28"/>
        <v>119.014462890625</v>
      </c>
    </row>
    <row r="136" spans="1:5">
      <c r="A136" s="10">
        <v>64</v>
      </c>
      <c r="B136" s="10">
        <v>109.2</v>
      </c>
      <c r="C136">
        <f t="shared" si="27"/>
        <v>108.016</v>
      </c>
      <c r="D136" s="5">
        <f t="shared" si="29"/>
        <v>1.40185600000003</v>
      </c>
      <c r="E136" s="5">
        <f t="shared" si="28"/>
        <v>0.476962890624996</v>
      </c>
    </row>
    <row r="137" spans="1:5">
      <c r="A137" s="10">
        <v>78</v>
      </c>
      <c r="B137" s="10">
        <v>120</v>
      </c>
      <c r="C137">
        <f t="shared" si="27"/>
        <v>117.032</v>
      </c>
      <c r="D137" s="5">
        <f t="shared" si="29"/>
        <v>8.80902400000002</v>
      </c>
      <c r="E137" s="5">
        <f t="shared" si="28"/>
        <v>102.199462890625</v>
      </c>
    </row>
    <row r="138" spans="1:5">
      <c r="A138" s="10">
        <v>77</v>
      </c>
      <c r="B138" s="10">
        <v>120.4</v>
      </c>
      <c r="C138">
        <f t="shared" si="27"/>
        <v>116.388</v>
      </c>
      <c r="D138" s="5">
        <f t="shared" si="29"/>
        <v>16.096144</v>
      </c>
      <c r="E138" s="5">
        <f t="shared" si="28"/>
        <v>110.446962890625</v>
      </c>
    </row>
    <row r="139" spans="1:5">
      <c r="A139" s="10">
        <v>66</v>
      </c>
      <c r="B139" s="10">
        <v>120.5</v>
      </c>
      <c r="C139">
        <f t="shared" si="27"/>
        <v>109.304</v>
      </c>
      <c r="D139" s="5">
        <f t="shared" si="29"/>
        <v>125.350416</v>
      </c>
      <c r="E139" s="5">
        <f t="shared" si="28"/>
        <v>112.558837890625</v>
      </c>
    </row>
    <row r="140" spans="1:5">
      <c r="A140" s="10">
        <v>74</v>
      </c>
      <c r="B140" s="10">
        <v>120.5</v>
      </c>
      <c r="C140">
        <f t="shared" si="27"/>
        <v>114.456</v>
      </c>
      <c r="D140" s="5">
        <f t="shared" si="29"/>
        <v>36.5299360000001</v>
      </c>
      <c r="E140" s="5">
        <f t="shared" si="28"/>
        <v>112.558837890625</v>
      </c>
    </row>
    <row r="141" spans="1:5">
      <c r="A141" s="10">
        <v>66</v>
      </c>
      <c r="B141" s="10">
        <v>108</v>
      </c>
      <c r="C141">
        <f t="shared" si="27"/>
        <v>109.304</v>
      </c>
      <c r="D141" s="5">
        <f t="shared" si="29"/>
        <v>1.70041600000001</v>
      </c>
      <c r="E141" s="5">
        <f t="shared" si="28"/>
        <v>3.574462890625</v>
      </c>
    </row>
    <row r="142" spans="1:5">
      <c r="A142" s="10">
        <v>68</v>
      </c>
      <c r="B142" s="10">
        <v>103.7</v>
      </c>
      <c r="C142">
        <f t="shared" si="27"/>
        <v>110.592</v>
      </c>
      <c r="D142" s="5">
        <f t="shared" si="29"/>
        <v>47.4996639999999</v>
      </c>
      <c r="E142" s="5">
        <f t="shared" si="28"/>
        <v>38.323837890625</v>
      </c>
    </row>
    <row r="143" spans="1:5">
      <c r="A143" s="10">
        <v>64</v>
      </c>
      <c r="B143" s="10">
        <v>109.2</v>
      </c>
      <c r="C143">
        <f t="shared" si="27"/>
        <v>108.016</v>
      </c>
      <c r="D143" s="5">
        <f t="shared" si="29"/>
        <v>1.40185600000003</v>
      </c>
      <c r="E143" s="5">
        <f t="shared" si="28"/>
        <v>0.476962890624996</v>
      </c>
    </row>
    <row r="144" spans="1:5">
      <c r="A144" s="10">
        <v>54</v>
      </c>
      <c r="B144" s="10">
        <v>102</v>
      </c>
      <c r="C144">
        <f t="shared" si="27"/>
        <v>101.576</v>
      </c>
      <c r="D144" s="5">
        <f t="shared" si="29"/>
        <v>0.179776000000006</v>
      </c>
      <c r="E144" s="5">
        <f t="shared" si="28"/>
        <v>62.261962890625</v>
      </c>
    </row>
    <row r="145" spans="1:5">
      <c r="A145" s="10">
        <v>80</v>
      </c>
      <c r="B145" s="10">
        <v>113.8</v>
      </c>
      <c r="C145">
        <f t="shared" si="27"/>
        <v>118.32</v>
      </c>
      <c r="D145" s="5">
        <f t="shared" si="29"/>
        <v>20.4304</v>
      </c>
      <c r="E145" s="5">
        <f t="shared" si="28"/>
        <v>15.283212890625</v>
      </c>
    </row>
    <row r="146" spans="1:5">
      <c r="A146" s="10">
        <v>77</v>
      </c>
      <c r="B146" s="10">
        <v>122.3</v>
      </c>
      <c r="C146">
        <f t="shared" si="27"/>
        <v>116.388</v>
      </c>
      <c r="D146" s="5">
        <f t="shared" si="29"/>
        <v>34.9517439999999</v>
      </c>
      <c r="E146" s="5">
        <f t="shared" si="28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30">(B151-Ybar_prod)^2</f>
        <v>3844</v>
      </c>
    </row>
    <row r="152" spans="1:5">
      <c r="A152" s="10">
        <v>6</v>
      </c>
      <c r="B152" s="10">
        <v>105</v>
      </c>
      <c r="C152">
        <f t="shared" ref="C152:C160" si="31">60+5*A152</f>
        <v>90</v>
      </c>
      <c r="D152" s="5">
        <f t="shared" ref="D152:D160" si="32">(B152-C152)^2</f>
        <v>225</v>
      </c>
      <c r="E152" s="5">
        <f t="shared" si="30"/>
        <v>225</v>
      </c>
    </row>
    <row r="153" spans="1:5">
      <c r="A153" s="10">
        <v>8</v>
      </c>
      <c r="B153" s="10">
        <v>88</v>
      </c>
      <c r="C153">
        <f t="shared" si="31"/>
        <v>100</v>
      </c>
      <c r="D153" s="5">
        <f t="shared" si="32"/>
        <v>144</v>
      </c>
      <c r="E153" s="5">
        <f t="shared" si="30"/>
        <v>1024</v>
      </c>
    </row>
    <row r="154" spans="1:5">
      <c r="A154" s="10">
        <v>8</v>
      </c>
      <c r="B154" s="10">
        <v>118</v>
      </c>
      <c r="C154">
        <f t="shared" si="31"/>
        <v>100</v>
      </c>
      <c r="D154" s="5">
        <f t="shared" si="32"/>
        <v>324</v>
      </c>
      <c r="E154" s="5">
        <f t="shared" si="30"/>
        <v>4</v>
      </c>
    </row>
    <row r="155" spans="1:5">
      <c r="A155" s="10">
        <v>12</v>
      </c>
      <c r="B155" s="10">
        <v>17</v>
      </c>
      <c r="C155">
        <f t="shared" si="31"/>
        <v>120</v>
      </c>
      <c r="D155" s="5">
        <f t="shared" si="32"/>
        <v>10609</v>
      </c>
      <c r="E155" s="5">
        <f t="shared" si="30"/>
        <v>10609</v>
      </c>
    </row>
    <row r="156" spans="1:5">
      <c r="A156" s="10">
        <v>16</v>
      </c>
      <c r="B156" s="10">
        <v>137</v>
      </c>
      <c r="C156">
        <f t="shared" si="31"/>
        <v>140</v>
      </c>
      <c r="D156" s="5">
        <f t="shared" si="32"/>
        <v>9</v>
      </c>
      <c r="E156" s="5">
        <f t="shared" si="30"/>
        <v>289</v>
      </c>
    </row>
    <row r="157" spans="1:5">
      <c r="A157" s="10">
        <v>20</v>
      </c>
      <c r="B157" s="10">
        <v>157</v>
      </c>
      <c r="C157">
        <f t="shared" si="31"/>
        <v>160</v>
      </c>
      <c r="D157" s="5">
        <f t="shared" si="32"/>
        <v>9</v>
      </c>
      <c r="E157" s="5">
        <f t="shared" si="30"/>
        <v>1369</v>
      </c>
    </row>
    <row r="158" spans="1:5">
      <c r="A158" s="10">
        <v>20</v>
      </c>
      <c r="B158" s="10">
        <v>169</v>
      </c>
      <c r="C158">
        <f t="shared" si="31"/>
        <v>160</v>
      </c>
      <c r="D158" s="5">
        <f t="shared" si="32"/>
        <v>81</v>
      </c>
      <c r="E158" s="5">
        <f t="shared" si="30"/>
        <v>2401</v>
      </c>
    </row>
    <row r="159" spans="1:5">
      <c r="A159" s="10">
        <v>22</v>
      </c>
      <c r="B159" s="10">
        <v>149</v>
      </c>
      <c r="C159">
        <f t="shared" si="31"/>
        <v>170</v>
      </c>
      <c r="D159" s="5">
        <f t="shared" si="32"/>
        <v>441</v>
      </c>
      <c r="E159" s="5">
        <f t="shared" si="30"/>
        <v>841</v>
      </c>
    </row>
    <row r="160" spans="1:5">
      <c r="A160" s="10">
        <v>26</v>
      </c>
      <c r="B160" s="10">
        <v>202</v>
      </c>
      <c r="C160">
        <f t="shared" si="31"/>
        <v>190</v>
      </c>
      <c r="D160" s="5">
        <f t="shared" si="32"/>
        <v>144</v>
      </c>
      <c r="E160" s="5">
        <f t="shared" si="30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3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4">-16.03+0.03*A172</f>
        <v>7.94</v>
      </c>
      <c r="D172" s="5">
        <f t="shared" ref="D172:D185" si="35">(B172-C172)^2</f>
        <v>0.102400000000001</v>
      </c>
      <c r="E172" s="5">
        <f t="shared" si="33"/>
        <v>4.8605551111111</v>
      </c>
    </row>
    <row r="173" spans="1:5">
      <c r="A173" s="10">
        <v>837</v>
      </c>
      <c r="B173" s="10">
        <v>7.48</v>
      </c>
      <c r="C173">
        <f t="shared" si="34"/>
        <v>9.08</v>
      </c>
      <c r="D173" s="5">
        <f t="shared" si="35"/>
        <v>2.55999999999999</v>
      </c>
      <c r="E173" s="5">
        <f t="shared" si="33"/>
        <v>8.90823511111109</v>
      </c>
    </row>
    <row r="174" spans="1:5">
      <c r="A174" s="10">
        <v>855</v>
      </c>
      <c r="B174" s="10">
        <v>9.08</v>
      </c>
      <c r="C174">
        <f t="shared" si="34"/>
        <v>9.62</v>
      </c>
      <c r="D174" s="5">
        <f t="shared" si="35"/>
        <v>0.291599999999997</v>
      </c>
      <c r="E174" s="5">
        <f t="shared" si="33"/>
        <v>1.91730177777777</v>
      </c>
    </row>
    <row r="175" spans="1:5">
      <c r="A175" s="10">
        <v>845</v>
      </c>
      <c r="B175" s="10">
        <v>9.83</v>
      </c>
      <c r="C175">
        <f t="shared" si="34"/>
        <v>9.32</v>
      </c>
      <c r="D175" s="5">
        <f t="shared" si="35"/>
        <v>0.260100000000003</v>
      </c>
      <c r="E175" s="5">
        <f t="shared" si="33"/>
        <v>0.402801777777775</v>
      </c>
    </row>
    <row r="176" spans="1:5">
      <c r="A176" s="10">
        <v>844</v>
      </c>
      <c r="B176" s="10">
        <v>10.09</v>
      </c>
      <c r="C176">
        <f t="shared" si="34"/>
        <v>9.29</v>
      </c>
      <c r="D176" s="5">
        <f t="shared" si="35"/>
        <v>0.640000000000001</v>
      </c>
      <c r="E176" s="5">
        <f t="shared" si="33"/>
        <v>0.140375111111109</v>
      </c>
    </row>
    <row r="177" spans="1:5">
      <c r="A177" s="10">
        <v>863</v>
      </c>
      <c r="B177" s="10">
        <v>11.01</v>
      </c>
      <c r="C177">
        <f t="shared" si="34"/>
        <v>9.86</v>
      </c>
      <c r="D177" s="5">
        <f t="shared" si="35"/>
        <v>1.3225</v>
      </c>
      <c r="E177" s="5">
        <f t="shared" si="33"/>
        <v>0.297388444444447</v>
      </c>
    </row>
    <row r="178" spans="1:5">
      <c r="A178" s="10">
        <v>875</v>
      </c>
      <c r="B178" s="10">
        <v>11.49</v>
      </c>
      <c r="C178">
        <f t="shared" si="34"/>
        <v>10.22</v>
      </c>
      <c r="D178" s="5">
        <f t="shared" si="35"/>
        <v>1.6129</v>
      </c>
      <c r="E178" s="5">
        <f t="shared" si="33"/>
        <v>1.05130844444445</v>
      </c>
    </row>
    <row r="179" spans="1:5">
      <c r="A179" s="10">
        <v>880</v>
      </c>
      <c r="B179" s="10">
        <v>12.07</v>
      </c>
      <c r="C179">
        <f t="shared" si="34"/>
        <v>10.37</v>
      </c>
      <c r="D179" s="5">
        <f t="shared" si="35"/>
        <v>2.89000000000001</v>
      </c>
      <c r="E179" s="5">
        <f t="shared" si="33"/>
        <v>2.57709511111112</v>
      </c>
    </row>
    <row r="180" spans="1:5">
      <c r="A180" s="10">
        <v>905</v>
      </c>
      <c r="B180" s="10">
        <v>12.55</v>
      </c>
      <c r="C180">
        <f t="shared" si="34"/>
        <v>11.12</v>
      </c>
      <c r="D180" s="5">
        <f t="shared" si="35"/>
        <v>2.04490000000001</v>
      </c>
      <c r="E180" s="5">
        <f t="shared" si="33"/>
        <v>4.34861511111112</v>
      </c>
    </row>
    <row r="181" spans="1:5">
      <c r="A181" s="10">
        <v>886</v>
      </c>
      <c r="B181" s="10">
        <v>11.92</v>
      </c>
      <c r="C181">
        <f t="shared" si="34"/>
        <v>10.55</v>
      </c>
      <c r="D181" s="5">
        <f t="shared" si="35"/>
        <v>1.87690000000001</v>
      </c>
      <c r="E181" s="5">
        <f t="shared" si="33"/>
        <v>2.11799511111112</v>
      </c>
    </row>
    <row r="182" spans="1:5">
      <c r="A182" s="10">
        <v>843</v>
      </c>
      <c r="B182" s="10">
        <v>10.27</v>
      </c>
      <c r="C182">
        <f t="shared" si="34"/>
        <v>9.26</v>
      </c>
      <c r="D182" s="5">
        <f t="shared" si="35"/>
        <v>1.0201</v>
      </c>
      <c r="E182" s="5">
        <f t="shared" si="33"/>
        <v>0.0378951111111104</v>
      </c>
    </row>
    <row r="183" spans="1:5">
      <c r="A183" s="10">
        <v>904</v>
      </c>
      <c r="B183" s="10">
        <v>11.8</v>
      </c>
      <c r="C183">
        <f t="shared" si="34"/>
        <v>11.09</v>
      </c>
      <c r="D183" s="5">
        <f t="shared" si="35"/>
        <v>0.504100000000006</v>
      </c>
      <c r="E183" s="5">
        <f t="shared" si="33"/>
        <v>1.78311511111112</v>
      </c>
    </row>
    <row r="184" spans="1:5">
      <c r="A184" s="10">
        <v>950</v>
      </c>
      <c r="B184" s="10">
        <v>12.15</v>
      </c>
      <c r="C184">
        <f t="shared" si="34"/>
        <v>12.47</v>
      </c>
      <c r="D184" s="5">
        <f t="shared" si="35"/>
        <v>0.102399999999999</v>
      </c>
      <c r="E184" s="5">
        <f t="shared" si="33"/>
        <v>2.84034844444445</v>
      </c>
    </row>
    <row r="185" spans="1:5">
      <c r="A185" s="10">
        <v>841</v>
      </c>
      <c r="B185" s="10">
        <v>9.64</v>
      </c>
      <c r="C185">
        <f t="shared" si="34"/>
        <v>9.2</v>
      </c>
      <c r="D185" s="5">
        <f t="shared" si="35"/>
        <v>0.193600000000001</v>
      </c>
      <c r="E185" s="5">
        <f t="shared" si="33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A10" workbookViewId="0">
      <selection activeCell="Z40" sqref="Z40"/>
    </sheetView>
  </sheetViews>
  <sheetFormatPr defaultColWidth="9" defaultRowHeight="14.2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>
        <v>3.71</v>
      </c>
      <c r="C22">
        <v>3.77775362419734</v>
      </c>
      <c r="D22" s="5">
        <f>(B22-C22)^2</f>
        <v>0.00459055359187441</v>
      </c>
      <c r="E22" s="5">
        <f t="shared" ref="E22:E27" si="0">(B22-avgLogEff)^2</f>
        <v>0.0650249999999999</v>
      </c>
      <c r="F22" s="5"/>
      <c r="G22" s="5"/>
      <c r="H22">
        <v>3.71</v>
      </c>
      <c r="I22">
        <v>3.66798892620724</v>
      </c>
      <c r="J22" s="5">
        <f t="shared" ref="J22:J27" si="1">(H22-I22)^2</f>
        <v>0.00176493032122072</v>
      </c>
      <c r="K22" s="5">
        <f t="shared" ref="K22:K27" si="2">(H22-avgLogEff)^2</f>
        <v>0.0650249999999999</v>
      </c>
      <c r="L22" s="12"/>
      <c r="M22" s="12"/>
      <c r="N22">
        <v>3.71</v>
      </c>
      <c r="O22">
        <v>3.65351453284294</v>
      </c>
      <c r="P22" s="5">
        <f t="shared" ref="P22:P27" si="3">(N22-O22)^2</f>
        <v>0.00319060799995131</v>
      </c>
      <c r="Q22" s="5">
        <f t="shared" ref="Q22:Q27" si="4">(N22-avgLogEff)^2</f>
        <v>0.0650249999999999</v>
      </c>
      <c r="R22" s="13"/>
      <c r="S22" s="13"/>
      <c r="T22">
        <v>3.71</v>
      </c>
      <c r="U22">
        <v>3.77775362419734</v>
      </c>
      <c r="V22" s="5">
        <f t="shared" ref="V22:V27" si="5">(T22-U22)^2</f>
        <v>0.00459055359187441</v>
      </c>
      <c r="W22" s="5">
        <f t="shared" ref="W22:W27" si="6">(T22-avgLogEff)^2</f>
        <v>0.0650249999999999</v>
      </c>
      <c r="X22" s="13"/>
      <c r="Y22" s="13"/>
      <c r="Z22">
        <v>3.71</v>
      </c>
      <c r="AA22">
        <v>3.62994683333332</v>
      </c>
      <c r="AB22" s="5">
        <f t="shared" ref="AB22:AB27" si="7">(Z22-AA22)^2</f>
        <v>0.00640850949336324</v>
      </c>
      <c r="AC22" s="5">
        <f t="shared" ref="AC22:AC27" si="8">(Z22-avgLogEff)^2</f>
        <v>0.0650249999999999</v>
      </c>
      <c r="AD22" s="13"/>
      <c r="AE22" s="13"/>
      <c r="AF22">
        <v>3.71</v>
      </c>
      <c r="AG22">
        <v>3.82578015327454</v>
      </c>
      <c r="AH22" s="5">
        <f t="shared" ref="AH22:AH27" si="9">(AF22-AG22)^2</f>
        <v>0.013405043892276</v>
      </c>
      <c r="AI22" s="5">
        <f t="shared" ref="AI22:AI27" si="10">(AF22-avgLogEff)^2</f>
        <v>0.0650249999999999</v>
      </c>
      <c r="AJ22" s="13"/>
      <c r="AK22" s="13"/>
    </row>
    <row r="23" spans="2:37">
      <c r="B23">
        <v>3.75</v>
      </c>
      <c r="C23">
        <v>3.6399820092632</v>
      </c>
      <c r="D23" s="5">
        <f t="shared" ref="D23:D27" si="11">(B23-C23)^2</f>
        <v>0.0121039582857627</v>
      </c>
      <c r="E23" s="5">
        <f t="shared" si="0"/>
        <v>0.087025</v>
      </c>
      <c r="F23" s="5"/>
      <c r="G23" s="5"/>
      <c r="H23">
        <v>3.75</v>
      </c>
      <c r="I23">
        <v>3.64657403305651</v>
      </c>
      <c r="J23" s="5">
        <f t="shared" si="1"/>
        <v>0.0106969306381958</v>
      </c>
      <c r="K23" s="5">
        <f t="shared" si="2"/>
        <v>0.087025</v>
      </c>
      <c r="L23" s="12"/>
      <c r="M23" s="12"/>
      <c r="N23">
        <v>3.75</v>
      </c>
      <c r="O23">
        <v>3.5327776141224</v>
      </c>
      <c r="P23" s="5">
        <f t="shared" si="3"/>
        <v>0.047185564926357</v>
      </c>
      <c r="Q23" s="5">
        <f t="shared" si="4"/>
        <v>0.087025</v>
      </c>
      <c r="R23" s="13"/>
      <c r="S23" s="13"/>
      <c r="T23">
        <v>3.75</v>
      </c>
      <c r="U23">
        <v>3.6399820092632</v>
      </c>
      <c r="V23" s="5">
        <f t="shared" si="5"/>
        <v>0.0121039582857627</v>
      </c>
      <c r="W23" s="5">
        <f t="shared" si="6"/>
        <v>0.087025</v>
      </c>
      <c r="X23" s="13"/>
      <c r="Y23" s="13"/>
      <c r="Z23">
        <v>3.75</v>
      </c>
      <c r="AA23">
        <v>3.75085266666666</v>
      </c>
      <c r="AB23" s="5">
        <f t="shared" si="7"/>
        <v>7.27040444433371e-7</v>
      </c>
      <c r="AC23" s="5">
        <f t="shared" si="8"/>
        <v>0.087025</v>
      </c>
      <c r="AD23" s="13"/>
      <c r="AE23" s="13"/>
      <c r="AF23">
        <v>3.75</v>
      </c>
      <c r="AG23">
        <v>3.85684990882874</v>
      </c>
      <c r="AH23" s="5">
        <f t="shared" si="9"/>
        <v>0.01141690301671</v>
      </c>
      <c r="AI23" s="5">
        <f t="shared" si="10"/>
        <v>0.087025</v>
      </c>
      <c r="AJ23" s="13"/>
      <c r="AK23" s="13"/>
    </row>
    <row r="24" spans="2:37">
      <c r="B24">
        <v>2.91</v>
      </c>
      <c r="C24">
        <v>3.2460364589206</v>
      </c>
      <c r="D24" s="5">
        <f t="shared" si="11"/>
        <v>0.112920501723896</v>
      </c>
      <c r="E24" s="5">
        <f t="shared" si="0"/>
        <v>0.297025</v>
      </c>
      <c r="F24" s="5"/>
      <c r="G24" s="5"/>
      <c r="H24">
        <v>2.91</v>
      </c>
      <c r="I24">
        <v>3.43096989188601</v>
      </c>
      <c r="J24" s="5">
        <f t="shared" si="1"/>
        <v>0.271409628251721</v>
      </c>
      <c r="K24" s="5">
        <f t="shared" si="2"/>
        <v>0.297025</v>
      </c>
      <c r="L24" s="12"/>
      <c r="M24" s="12"/>
      <c r="N24">
        <v>2.91</v>
      </c>
      <c r="O24">
        <v>3.47173194434373</v>
      </c>
      <c r="P24" s="5">
        <f t="shared" si="3"/>
        <v>0.315542777296187</v>
      </c>
      <c r="Q24" s="5">
        <f t="shared" si="4"/>
        <v>0.297025</v>
      </c>
      <c r="R24" s="13"/>
      <c r="S24" s="13"/>
      <c r="T24">
        <v>2.91</v>
      </c>
      <c r="U24">
        <v>3.2460364589206</v>
      </c>
      <c r="V24" s="5">
        <f t="shared" si="5"/>
        <v>0.112920501723896</v>
      </c>
      <c r="W24" s="5">
        <f t="shared" si="6"/>
        <v>0.297025</v>
      </c>
      <c r="X24" s="13"/>
      <c r="Y24" s="13"/>
      <c r="Z24">
        <v>2.91</v>
      </c>
      <c r="AA24">
        <v>3.20686700000001</v>
      </c>
      <c r="AB24" s="5">
        <f t="shared" si="7"/>
        <v>0.0881300156890059</v>
      </c>
      <c r="AC24" s="5">
        <f t="shared" si="8"/>
        <v>0.297025</v>
      </c>
      <c r="AD24" s="13"/>
      <c r="AE24" s="13"/>
      <c r="AF24">
        <v>2.91</v>
      </c>
      <c r="AG24">
        <v>3.30237007141113</v>
      </c>
      <c r="AH24" s="5">
        <f t="shared" si="9"/>
        <v>0.153954272939175</v>
      </c>
      <c r="AI24" s="5">
        <f t="shared" si="10"/>
        <v>0.297025</v>
      </c>
      <c r="AJ24" s="13"/>
      <c r="AK24" s="13"/>
    </row>
    <row r="25" spans="2:37">
      <c r="B25">
        <v>3.58</v>
      </c>
      <c r="C25">
        <v>3.64400695657631</v>
      </c>
      <c r="D25" s="5">
        <f t="shared" si="11"/>
        <v>0.0040968904901616</v>
      </c>
      <c r="E25" s="5">
        <f t="shared" si="0"/>
        <v>0.015625</v>
      </c>
      <c r="F25" s="5"/>
      <c r="G25" s="5"/>
      <c r="H25">
        <v>3.58</v>
      </c>
      <c r="I25">
        <v>3.64075245653282</v>
      </c>
      <c r="J25" s="5">
        <f t="shared" si="1"/>
        <v>0.00369086097477217</v>
      </c>
      <c r="K25" s="5">
        <f t="shared" si="2"/>
        <v>0.015625</v>
      </c>
      <c r="L25" s="12"/>
      <c r="M25" s="12"/>
      <c r="N25">
        <v>3.58</v>
      </c>
      <c r="O25">
        <v>3.53551442307217</v>
      </c>
      <c r="P25" s="5">
        <f t="shared" si="3"/>
        <v>0.00197896655460191</v>
      </c>
      <c r="Q25" s="5">
        <f t="shared" si="4"/>
        <v>0.015625</v>
      </c>
      <c r="R25" s="13"/>
      <c r="S25" s="13"/>
      <c r="T25">
        <v>3.58</v>
      </c>
      <c r="U25">
        <v>3.64400695657631</v>
      </c>
      <c r="V25" s="5">
        <f t="shared" si="5"/>
        <v>0.0040968904901616</v>
      </c>
      <c r="W25" s="5">
        <f t="shared" si="6"/>
        <v>0.015625</v>
      </c>
      <c r="X25" s="13"/>
      <c r="Y25" s="13"/>
      <c r="Z25">
        <v>3.58</v>
      </c>
      <c r="AA25">
        <v>3.75321066666666</v>
      </c>
      <c r="AB25" s="5">
        <f t="shared" si="7"/>
        <v>0.0300019350471087</v>
      </c>
      <c r="AC25" s="5">
        <f t="shared" si="8"/>
        <v>0.015625</v>
      </c>
      <c r="AD25" s="13"/>
      <c r="AE25" s="13"/>
      <c r="AF25">
        <v>3.58</v>
      </c>
      <c r="AG25">
        <v>3.82817006111145</v>
      </c>
      <c r="AH25" s="5">
        <f t="shared" si="9"/>
        <v>0.0615883792320609</v>
      </c>
      <c r="AI25" s="5">
        <f t="shared" si="10"/>
        <v>0.015625</v>
      </c>
      <c r="AJ25" s="13"/>
      <c r="AK25" s="13"/>
    </row>
    <row r="26" spans="2:37">
      <c r="B26">
        <v>3.33</v>
      </c>
      <c r="C26">
        <v>3.51199991245669</v>
      </c>
      <c r="D26" s="5">
        <f t="shared" si="11"/>
        <v>0.0331239681342428</v>
      </c>
      <c r="E26" s="5">
        <f t="shared" si="0"/>
        <v>0.015625</v>
      </c>
      <c r="F26" s="5"/>
      <c r="G26" s="5"/>
      <c r="H26">
        <v>3.33</v>
      </c>
      <c r="I26">
        <v>3.54580439994491</v>
      </c>
      <c r="J26" s="5">
        <f t="shared" si="1"/>
        <v>0.0465715390355827</v>
      </c>
      <c r="K26" s="5">
        <f t="shared" si="2"/>
        <v>0.015625</v>
      </c>
      <c r="L26" s="12"/>
      <c r="M26" s="12"/>
      <c r="N26">
        <v>3.33</v>
      </c>
      <c r="O26">
        <v>3.47301204903861</v>
      </c>
      <c r="P26" s="5">
        <f t="shared" si="3"/>
        <v>0.0204524461702217</v>
      </c>
      <c r="Q26" s="5">
        <f t="shared" si="4"/>
        <v>0.015625</v>
      </c>
      <c r="R26" s="13"/>
      <c r="S26" s="13"/>
      <c r="T26">
        <v>3.33</v>
      </c>
      <c r="U26">
        <v>3.51199991245669</v>
      </c>
      <c r="V26" s="5">
        <f t="shared" si="5"/>
        <v>0.0331239681342428</v>
      </c>
      <c r="W26" s="5">
        <f t="shared" si="6"/>
        <v>0.015625</v>
      </c>
      <c r="X26" s="13"/>
      <c r="Y26" s="13"/>
      <c r="Z26">
        <v>3.33</v>
      </c>
      <c r="AA26">
        <v>3.73491683333333</v>
      </c>
      <c r="AB26" s="5">
        <f t="shared" si="7"/>
        <v>0.163957641916692</v>
      </c>
      <c r="AC26" s="5">
        <f t="shared" si="8"/>
        <v>0.015625</v>
      </c>
      <c r="AD26" s="13"/>
      <c r="AE26" s="13"/>
      <c r="AF26">
        <v>3.33</v>
      </c>
      <c r="AG26">
        <v>3.60111999511719</v>
      </c>
      <c r="AH26" s="5">
        <f t="shared" si="9"/>
        <v>0.0735060517523452</v>
      </c>
      <c r="AI26" s="5">
        <f t="shared" si="10"/>
        <v>0.015625</v>
      </c>
      <c r="AJ26" s="13"/>
      <c r="AK26" s="13"/>
    </row>
    <row r="27" spans="2:37">
      <c r="B27">
        <v>3.45</v>
      </c>
      <c r="C27">
        <v>3.48830322443922</v>
      </c>
      <c r="D27" s="5">
        <f t="shared" si="11"/>
        <v>0.00146713700244123</v>
      </c>
      <c r="E27" s="5">
        <f t="shared" si="0"/>
        <v>2.49999999999989e-5</v>
      </c>
      <c r="F27" s="5"/>
      <c r="G27" s="5"/>
      <c r="H27">
        <v>3.45</v>
      </c>
      <c r="I27">
        <v>3.50836208033783</v>
      </c>
      <c r="J27" s="5">
        <f t="shared" si="1"/>
        <v>0.00340613242135932</v>
      </c>
      <c r="K27" s="5">
        <f t="shared" si="2"/>
        <v>2.49999999999989e-5</v>
      </c>
      <c r="L27" s="12"/>
      <c r="M27" s="12"/>
      <c r="N27">
        <v>3.45</v>
      </c>
      <c r="O27">
        <v>3.45320846704528</v>
      </c>
      <c r="P27" s="5">
        <f t="shared" si="3"/>
        <v>1.02942607806456e-5</v>
      </c>
      <c r="Q27" s="5">
        <f t="shared" si="4"/>
        <v>2.49999999999989e-5</v>
      </c>
      <c r="R27" s="13"/>
      <c r="S27" s="13"/>
      <c r="T27">
        <v>3.45</v>
      </c>
      <c r="U27">
        <v>3.48830322443922</v>
      </c>
      <c r="V27" s="5">
        <f t="shared" si="5"/>
        <v>0.00146713700244123</v>
      </c>
      <c r="W27" s="5">
        <f t="shared" si="6"/>
        <v>2.49999999999989e-5</v>
      </c>
      <c r="X27" s="13"/>
      <c r="Y27" s="13"/>
      <c r="Z27">
        <v>3.45</v>
      </c>
      <c r="AA27">
        <v>3.7071245</v>
      </c>
      <c r="AB27" s="5">
        <f t="shared" si="7"/>
        <v>0.0661130085002499</v>
      </c>
      <c r="AC27" s="5">
        <f t="shared" si="8"/>
        <v>2.49999999999989e-5</v>
      </c>
      <c r="AD27" s="13"/>
      <c r="AE27" s="13"/>
      <c r="AF27">
        <v>3.45</v>
      </c>
      <c r="AG27">
        <v>3.56288003921509</v>
      </c>
      <c r="AH27" s="5">
        <f t="shared" si="9"/>
        <v>0.0127419032532002</v>
      </c>
      <c r="AI27" s="5">
        <f t="shared" si="10"/>
        <v>2.49999999999989e-5</v>
      </c>
      <c r="AJ27" s="13"/>
      <c r="AK27" s="13"/>
    </row>
    <row r="28" spans="1:37">
      <c r="A28" t="s">
        <v>9</v>
      </c>
      <c r="B28" s="8">
        <f>AVERAGE(B22:B27)</f>
        <v>3.455</v>
      </c>
      <c r="C28" s="6">
        <f>AVERAGE(C22:D27)</f>
        <v>1.78969876625681</v>
      </c>
      <c r="D28" s="6">
        <f>SUM(D22:D27)</f>
        <v>0.168303009228379</v>
      </c>
      <c r="E28" s="6">
        <f>SUM(E22:E27)</f>
        <v>0.48035</v>
      </c>
      <c r="F28" s="6">
        <f>1-D28/E28</f>
        <v>0.649624213118812</v>
      </c>
      <c r="G28" s="6">
        <f>SQRT(D28/6)</f>
        <v>0.167482839533079</v>
      </c>
      <c r="H28">
        <f>AVERAGE(H22:H27)</f>
        <v>3.455</v>
      </c>
      <c r="I28" s="14"/>
      <c r="J28" s="14">
        <f>SUM(J22:J27)</f>
        <v>0.337540021642852</v>
      </c>
      <c r="K28" s="14">
        <f>SUM(K22:K27)</f>
        <v>0.48035</v>
      </c>
      <c r="L28" s="14">
        <f>1-J28/K28</f>
        <v>0.297304004074421</v>
      </c>
      <c r="M28" s="6">
        <f>SQRT(J28/6)</f>
        <v>0.237184886267672</v>
      </c>
      <c r="N28">
        <f>AVERAGE(N22:N27)</f>
        <v>3.455</v>
      </c>
      <c r="O28" s="14"/>
      <c r="P28" s="14">
        <f>SUM(P22:P27)</f>
        <v>0.3883606572081</v>
      </c>
      <c r="Q28" s="14">
        <f>SUM(Q22:Q27)</f>
        <v>0.48035</v>
      </c>
      <c r="R28" s="14">
        <f>1-P28/Q28</f>
        <v>0.191504825214739</v>
      </c>
      <c r="S28" s="6">
        <f>SQRT(P28/6)</f>
        <v>0.254414575449894</v>
      </c>
      <c r="T28">
        <f>AVERAGE(T22:T27)</f>
        <v>3.455</v>
      </c>
      <c r="U28" s="14"/>
      <c r="V28" s="14">
        <f>SUM(V22:V27)</f>
        <v>0.168303009228379</v>
      </c>
      <c r="W28" s="14">
        <f>SUM(W22:W27)</f>
        <v>0.48035</v>
      </c>
      <c r="X28" s="14">
        <f>1-V28/W28</f>
        <v>0.649624213118812</v>
      </c>
      <c r="Y28" s="6">
        <f>SQRT(V28/6)</f>
        <v>0.167482839533079</v>
      </c>
      <c r="Z28">
        <f>AVERAGE(Z22:Z27)</f>
        <v>3.455</v>
      </c>
      <c r="AA28" s="14"/>
      <c r="AB28" s="14">
        <f>SUM(AB22:AB27)</f>
        <v>0.354611837686864</v>
      </c>
      <c r="AC28" s="14">
        <f>SUM(AC22:AC27)</f>
        <v>0.48035</v>
      </c>
      <c r="AD28" s="14">
        <f>1-AB28/AC28</f>
        <v>0.26176363550148</v>
      </c>
      <c r="AE28" s="6">
        <f>SQRT(AB28/6)</f>
        <v>0.243108973400429</v>
      </c>
      <c r="AF28">
        <f>AVERAGE(AF22:AF27)</f>
        <v>3.455</v>
      </c>
      <c r="AG28" s="14"/>
      <c r="AH28" s="14">
        <f>SUM(AH22:AH27)</f>
        <v>0.326612554085768</v>
      </c>
      <c r="AI28" s="14">
        <f>SUM(AI22:AI27)</f>
        <v>0.48035</v>
      </c>
      <c r="AJ28" s="14">
        <f>1-AH28/AI28</f>
        <v>0.320052973694665</v>
      </c>
      <c r="AK28" s="6">
        <f>SQRT(AH28/6)</f>
        <v>0.233314006611179</v>
      </c>
    </row>
    <row r="31" spans="2:31">
      <c r="B31" t="s">
        <v>0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>
        <v>3.71</v>
      </c>
      <c r="C32">
        <v>3.69967342376607</v>
      </c>
      <c r="D32" s="5">
        <f>(B32-C32)^2</f>
        <v>0.000106638176715167</v>
      </c>
      <c r="E32" s="5">
        <f t="shared" ref="E32:E37" si="12">(B32-avgLogEff)^2</f>
        <v>0.0650249999999999</v>
      </c>
      <c r="F32" s="5"/>
      <c r="G32" s="5"/>
      <c r="H32">
        <v>3.71</v>
      </c>
      <c r="I32">
        <v>3.7840931386337</v>
      </c>
      <c r="J32" s="5">
        <f t="shared" ref="J32:J37" si="13">(H32-I32)^2</f>
        <v>0.00548979319259269</v>
      </c>
      <c r="K32" s="5">
        <f t="shared" ref="K32:K37" si="14">(H32-avgLogEff)^2</f>
        <v>0.0650249999999999</v>
      </c>
      <c r="L32" s="12"/>
      <c r="M32" s="12"/>
      <c r="N32">
        <v>3.71</v>
      </c>
      <c r="O32">
        <v>3.67314418176488</v>
      </c>
      <c r="P32" s="5">
        <f t="shared" ref="P32:P37" si="15">(N32-O32)^2</f>
        <v>0.00135835133778022</v>
      </c>
      <c r="Q32" s="5">
        <f t="shared" ref="Q32:Q37" si="16">(N32-avgLogEff)^2</f>
        <v>0.0650249999999999</v>
      </c>
      <c r="R32" s="13"/>
      <c r="S32" s="13"/>
      <c r="T32">
        <v>3.71</v>
      </c>
      <c r="U32">
        <v>3.6934010981446</v>
      </c>
      <c r="V32" s="5">
        <f t="shared" ref="V32:V37" si="17">(T32-U32)^2</f>
        <v>0.000275523542805195</v>
      </c>
      <c r="W32" s="5">
        <f t="shared" ref="W32:W37" si="18">(T32-avgLogEff)^2</f>
        <v>0.0650249999999999</v>
      </c>
      <c r="X32" s="12"/>
      <c r="Y32" s="12"/>
      <c r="Z32">
        <v>3.71</v>
      </c>
      <c r="AA32">
        <v>3.69954634899421</v>
      </c>
      <c r="AB32" s="5">
        <f t="shared" ref="AB32:AB37" si="19">(Z32-AA32)^2</f>
        <v>0.000109278819350849</v>
      </c>
      <c r="AC32" s="5">
        <f t="shared" ref="AC32:AC37" si="20">(Z32-avgLogEff)^2</f>
        <v>0.0650249999999999</v>
      </c>
      <c r="AD32" s="13"/>
      <c r="AE32" s="13"/>
    </row>
    <row r="33" spans="2:31">
      <c r="B33">
        <v>3.75</v>
      </c>
      <c r="C33">
        <v>3.61007841270015</v>
      </c>
      <c r="D33" s="5">
        <f t="shared" ref="D33:D37" si="21">(B33-C33)^2</f>
        <v>0.0195780505925095</v>
      </c>
      <c r="E33" s="5">
        <f t="shared" si="12"/>
        <v>0.087025</v>
      </c>
      <c r="F33" s="5"/>
      <c r="G33" s="5"/>
      <c r="H33">
        <v>3.75</v>
      </c>
      <c r="I33">
        <v>3.63332704282997</v>
      </c>
      <c r="J33" s="5">
        <f t="shared" si="13"/>
        <v>0.0136125789347996</v>
      </c>
      <c r="K33" s="5">
        <f t="shared" si="14"/>
        <v>0.087025</v>
      </c>
      <c r="L33" s="12"/>
      <c r="M33" s="12"/>
      <c r="N33">
        <v>3.75</v>
      </c>
      <c r="O33">
        <v>3.58137131239799</v>
      </c>
      <c r="P33" s="5">
        <f t="shared" si="15"/>
        <v>0.0284356342823763</v>
      </c>
      <c r="Q33" s="5">
        <f t="shared" si="16"/>
        <v>0.087025</v>
      </c>
      <c r="R33" s="13"/>
      <c r="S33" s="13"/>
      <c r="T33">
        <v>3.75</v>
      </c>
      <c r="U33">
        <v>3.69000274909459</v>
      </c>
      <c r="V33" s="5">
        <f t="shared" si="17"/>
        <v>0.0035996701162067</v>
      </c>
      <c r="W33" s="5">
        <f t="shared" si="18"/>
        <v>0.087025</v>
      </c>
      <c r="X33" s="12"/>
      <c r="Y33" s="12"/>
      <c r="Z33">
        <v>3.75</v>
      </c>
      <c r="AA33">
        <v>3.69024554108686</v>
      </c>
      <c r="AB33" s="5">
        <f t="shared" si="19"/>
        <v>0.00357059536000211</v>
      </c>
      <c r="AC33" s="5">
        <f t="shared" si="20"/>
        <v>0.087025</v>
      </c>
      <c r="AD33" s="13"/>
      <c r="AE33" s="13"/>
    </row>
    <row r="34" spans="2:31">
      <c r="B34">
        <v>2.91</v>
      </c>
      <c r="C34">
        <v>3.3122634943169</v>
      </c>
      <c r="D34" s="5">
        <f t="shared" si="21"/>
        <v>0.161815918860043</v>
      </c>
      <c r="E34" s="5">
        <f t="shared" si="12"/>
        <v>0.297025</v>
      </c>
      <c r="F34" s="5"/>
      <c r="G34" s="5"/>
      <c r="H34">
        <v>2.91</v>
      </c>
      <c r="I34">
        <v>3.25449222544394</v>
      </c>
      <c r="J34" s="5">
        <f t="shared" si="13"/>
        <v>0.118674893391318</v>
      </c>
      <c r="K34" s="5">
        <f t="shared" si="14"/>
        <v>0.297025</v>
      </c>
      <c r="L34" s="12"/>
      <c r="M34" s="12"/>
      <c r="N34">
        <v>2.91</v>
      </c>
      <c r="O34">
        <v>3.37896977594326</v>
      </c>
      <c r="P34" s="5">
        <f t="shared" si="15"/>
        <v>0.219932650748271</v>
      </c>
      <c r="Q34" s="5">
        <f t="shared" si="16"/>
        <v>0.297025</v>
      </c>
      <c r="R34" s="13"/>
      <c r="S34" s="13"/>
      <c r="T34">
        <v>2.91</v>
      </c>
      <c r="U34">
        <v>3.44340799664812</v>
      </c>
      <c r="V34" s="5">
        <f t="shared" si="17"/>
        <v>0.284524090888161</v>
      </c>
      <c r="W34" s="5">
        <f t="shared" si="18"/>
        <v>0.297025</v>
      </c>
      <c r="X34" s="12"/>
      <c r="Y34" s="12"/>
      <c r="Z34">
        <v>2.91</v>
      </c>
      <c r="AA34">
        <v>3.44629090436514</v>
      </c>
      <c r="AB34" s="5">
        <f t="shared" si="19"/>
        <v>0.28760793410478</v>
      </c>
      <c r="AC34" s="5">
        <f t="shared" si="20"/>
        <v>0.297025</v>
      </c>
      <c r="AD34" s="13"/>
      <c r="AE34" s="13"/>
    </row>
    <row r="35" spans="2:31">
      <c r="B35">
        <v>3.58</v>
      </c>
      <c r="C35">
        <v>3.62391562404277</v>
      </c>
      <c r="D35" s="5">
        <f t="shared" si="21"/>
        <v>0.00192858203506592</v>
      </c>
      <c r="E35" s="5">
        <f t="shared" si="12"/>
        <v>0.015625</v>
      </c>
      <c r="F35" s="5"/>
      <c r="G35" s="5"/>
      <c r="H35">
        <v>3.58</v>
      </c>
      <c r="I35">
        <v>3.61913585178126</v>
      </c>
      <c r="J35" s="5">
        <f t="shared" si="13"/>
        <v>0.00153161489464476</v>
      </c>
      <c r="K35" s="5">
        <f t="shared" si="14"/>
        <v>0.015625</v>
      </c>
      <c r="L35" s="12"/>
      <c r="M35" s="12"/>
      <c r="N35">
        <v>3.58</v>
      </c>
      <c r="O35">
        <v>3.58656125098622</v>
      </c>
      <c r="P35" s="5">
        <f t="shared" si="15"/>
        <v>4.30500145041709e-5</v>
      </c>
      <c r="Q35" s="5">
        <f t="shared" si="16"/>
        <v>0.015625</v>
      </c>
      <c r="R35" s="13"/>
      <c r="S35" s="13"/>
      <c r="T35">
        <v>3.58</v>
      </c>
      <c r="U35">
        <v>3.68216977422039</v>
      </c>
      <c r="V35" s="5">
        <f t="shared" si="17"/>
        <v>0.0104386627642455</v>
      </c>
      <c r="W35" s="5">
        <f t="shared" si="18"/>
        <v>0.015625</v>
      </c>
      <c r="X35" s="12"/>
      <c r="Y35" s="12"/>
      <c r="Z35">
        <v>3.58</v>
      </c>
      <c r="AA35">
        <v>3.68303660897057</v>
      </c>
      <c r="AB35" s="5">
        <f t="shared" si="19"/>
        <v>0.0106165427881541</v>
      </c>
      <c r="AC35" s="5">
        <f t="shared" si="20"/>
        <v>0.015625</v>
      </c>
      <c r="AD35" s="13"/>
      <c r="AE35" s="13"/>
    </row>
    <row r="36" spans="2:31">
      <c r="B36">
        <v>3.33</v>
      </c>
      <c r="C36">
        <v>3.54835213754046</v>
      </c>
      <c r="D36" s="5">
        <f t="shared" si="21"/>
        <v>0.0476776559684879</v>
      </c>
      <c r="E36" s="5">
        <f t="shared" si="12"/>
        <v>0.015625</v>
      </c>
      <c r="F36" s="5"/>
      <c r="G36" s="5"/>
      <c r="H36">
        <v>3.33</v>
      </c>
      <c r="I36">
        <v>3.5181648563671</v>
      </c>
      <c r="J36" s="5">
        <f t="shared" si="13"/>
        <v>0.0354060131716513</v>
      </c>
      <c r="K36" s="5">
        <f t="shared" si="14"/>
        <v>0.015625</v>
      </c>
      <c r="L36" s="12"/>
      <c r="M36" s="12"/>
      <c r="N36">
        <v>3.33</v>
      </c>
      <c r="O36">
        <v>3.51220559160341</v>
      </c>
      <c r="P36" s="5">
        <f t="shared" si="15"/>
        <v>0.0331988776115486</v>
      </c>
      <c r="Q36" s="5">
        <f t="shared" si="16"/>
        <v>0.015625</v>
      </c>
      <c r="R36" s="13"/>
      <c r="S36" s="13"/>
      <c r="T36">
        <v>3.33</v>
      </c>
      <c r="U36">
        <v>3.58344974344212</v>
      </c>
      <c r="V36" s="5">
        <f t="shared" si="17"/>
        <v>0.0642367724508765</v>
      </c>
      <c r="W36" s="5">
        <f t="shared" si="18"/>
        <v>0.015625</v>
      </c>
      <c r="X36" s="12"/>
      <c r="Y36" s="12"/>
      <c r="Z36">
        <v>3.33</v>
      </c>
      <c r="AA36">
        <v>3.58549379891097</v>
      </c>
      <c r="AB36" s="5">
        <f t="shared" si="19"/>
        <v>0.0652770812819591</v>
      </c>
      <c r="AC36" s="5">
        <f t="shared" si="20"/>
        <v>0.015625</v>
      </c>
      <c r="AD36" s="13"/>
      <c r="AE36" s="13"/>
    </row>
    <row r="37" spans="2:31">
      <c r="B37">
        <v>3.45</v>
      </c>
      <c r="C37">
        <v>3.5162324635813</v>
      </c>
      <c r="D37" s="5">
        <f t="shared" si="21"/>
        <v>0.00438673923204821</v>
      </c>
      <c r="E37" s="5">
        <f t="shared" si="12"/>
        <v>2.49999999999989e-5</v>
      </c>
      <c r="F37" s="5"/>
      <c r="G37" s="5"/>
      <c r="H37">
        <v>3.45</v>
      </c>
      <c r="I37">
        <v>3.59478080830921</v>
      </c>
      <c r="J37" s="5">
        <f t="shared" si="13"/>
        <v>0.0209614824546681</v>
      </c>
      <c r="K37" s="5">
        <f t="shared" si="14"/>
        <v>2.49999999999989e-5</v>
      </c>
      <c r="L37" s="12"/>
      <c r="M37" s="12"/>
      <c r="N37">
        <v>3.45</v>
      </c>
      <c r="O37">
        <v>3.50186305391451</v>
      </c>
      <c r="P37" s="5">
        <f t="shared" si="15"/>
        <v>0.00268977636133934</v>
      </c>
      <c r="Q37" s="5">
        <f t="shared" si="16"/>
        <v>2.49999999999989e-5</v>
      </c>
      <c r="R37" s="13"/>
      <c r="S37" s="13"/>
      <c r="T37">
        <v>3.45</v>
      </c>
      <c r="U37">
        <v>3.55121459971857</v>
      </c>
      <c r="V37" s="5">
        <f t="shared" si="17"/>
        <v>0.0102443951961903</v>
      </c>
      <c r="W37" s="5">
        <f t="shared" si="18"/>
        <v>2.49999999999989e-5</v>
      </c>
      <c r="X37" s="12"/>
      <c r="Y37" s="12"/>
      <c r="Z37">
        <v>3.45</v>
      </c>
      <c r="AA37">
        <v>3.55227960128687</v>
      </c>
      <c r="AB37" s="5">
        <f t="shared" si="19"/>
        <v>0.0104611168394011</v>
      </c>
      <c r="AC37" s="5">
        <f t="shared" si="20"/>
        <v>2.49999999999989e-5</v>
      </c>
      <c r="AD37" s="13"/>
      <c r="AE37" s="13"/>
    </row>
    <row r="38" spans="3:31">
      <c r="C38" s="6">
        <f>AVERAGE(C32:D37)</f>
        <v>1.79550076173438</v>
      </c>
      <c r="D38" s="6">
        <f>SUM(D32:D37)</f>
        <v>0.235493584864869</v>
      </c>
      <c r="E38" s="6">
        <f>SUM(E32:E37)</f>
        <v>0.48035</v>
      </c>
      <c r="F38" s="6">
        <f>1-D38/E38</f>
        <v>0.509745841855169</v>
      </c>
      <c r="G38" s="6">
        <f>SQRT(D38/6)</f>
        <v>0.198113429153128</v>
      </c>
      <c r="H38">
        <f>AVERAGE(H32:H37)</f>
        <v>3.455</v>
      </c>
      <c r="I38" s="14"/>
      <c r="J38" s="14">
        <f>SUM(J32:J37)</f>
        <v>0.195676376039675</v>
      </c>
      <c r="K38" s="14">
        <f>SUM(K32:K37)</f>
        <v>0.48035</v>
      </c>
      <c r="L38" s="14">
        <f>1-J38/K38</f>
        <v>0.592637918102062</v>
      </c>
      <c r="M38" s="6">
        <f>SQRT(J38/6)</f>
        <v>0.180589948058982</v>
      </c>
      <c r="N38">
        <f>AVERAGE(N32:N37)</f>
        <v>3.455</v>
      </c>
      <c r="O38" s="14"/>
      <c r="P38" s="14">
        <f>SUM(P32:P37)</f>
        <v>0.28565834035582</v>
      </c>
      <c r="Q38" s="14">
        <f>SUM(Q32:Q37)</f>
        <v>0.48035</v>
      </c>
      <c r="R38" s="14">
        <f>1-P38/Q38</f>
        <v>0.405312084197314</v>
      </c>
      <c r="S38" s="6">
        <f>SQRT(P38/6)</f>
        <v>0.218196524703389</v>
      </c>
      <c r="T38">
        <f>AVERAGE(T32:T37)</f>
        <v>3.455</v>
      </c>
      <c r="U38" s="14"/>
      <c r="V38" s="14">
        <f>SUM(V32:V37)</f>
        <v>0.373319114958485</v>
      </c>
      <c r="W38" s="14">
        <f>SUM(W32:W37)</f>
        <v>0.48035</v>
      </c>
      <c r="X38" s="14">
        <f>1-V38/W38</f>
        <v>0.222818538652056</v>
      </c>
      <c r="Y38" s="6">
        <f>SQRT(V38/6)</f>
        <v>0.249439075714052</v>
      </c>
      <c r="Z38">
        <f>AVERAGE(Z32:Z37)</f>
        <v>3.455</v>
      </c>
      <c r="AA38" s="14"/>
      <c r="AB38" s="14">
        <f>SUM(AB32:AB37)</f>
        <v>0.377642549193647</v>
      </c>
      <c r="AC38" s="14">
        <f>SUM(AC32:AC37)</f>
        <v>0.48035</v>
      </c>
      <c r="AD38" s="14">
        <f>1-AB38/AC38</f>
        <v>0.213817946926935</v>
      </c>
      <c r="AE38" s="6">
        <f>SQRT(AB38/6)</f>
        <v>0.250879303382339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82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ref="C83:C114" si="25">66.8+0.644*A83</f>
        <v>104.796</v>
      </c>
      <c r="D83" s="5">
        <f t="shared" si="24"/>
        <v>25.9692159999999</v>
      </c>
      <c r="E83" s="5">
        <f t="shared" ref="E83:E114" si="26">(B83-Ybar_height)^2</f>
        <v>103.848837890625</v>
      </c>
    </row>
    <row r="84" spans="1:5">
      <c r="A84" s="10">
        <v>61</v>
      </c>
      <c r="B84" s="10">
        <v>107.5</v>
      </c>
      <c r="C84">
        <f t="shared" si="25"/>
        <v>106.084</v>
      </c>
      <c r="D84" s="5">
        <f t="shared" si="24"/>
        <v>2.00505599999999</v>
      </c>
      <c r="E84" s="5">
        <f t="shared" si="26"/>
        <v>5.715087890625</v>
      </c>
    </row>
    <row r="85" spans="1:5">
      <c r="A85" s="10">
        <v>59</v>
      </c>
      <c r="B85" s="10">
        <v>99.3</v>
      </c>
      <c r="C85">
        <f t="shared" si="25"/>
        <v>104.796</v>
      </c>
      <c r="D85" s="5">
        <f t="shared" si="24"/>
        <v>30.2060159999999</v>
      </c>
      <c r="E85" s="5">
        <f t="shared" si="26"/>
        <v>112.161337890625</v>
      </c>
    </row>
    <row r="86" spans="1:5">
      <c r="A86" s="10">
        <v>57</v>
      </c>
      <c r="B86" s="10">
        <v>105.7</v>
      </c>
      <c r="C86">
        <f t="shared" si="25"/>
        <v>103.508</v>
      </c>
      <c r="D86" s="5">
        <f t="shared" si="24"/>
        <v>4.80486400000003</v>
      </c>
      <c r="E86" s="5">
        <f t="shared" si="26"/>
        <v>17.561337890625</v>
      </c>
    </row>
    <row r="87" spans="1:5">
      <c r="A87" s="10">
        <v>57</v>
      </c>
      <c r="B87" s="10">
        <v>100.5</v>
      </c>
      <c r="C87">
        <f t="shared" si="25"/>
        <v>103.508</v>
      </c>
      <c r="D87" s="5">
        <f t="shared" si="24"/>
        <v>9.04806399999997</v>
      </c>
      <c r="E87" s="5">
        <f t="shared" si="26"/>
        <v>88.183837890625</v>
      </c>
    </row>
    <row r="88" spans="1:5">
      <c r="A88" s="10">
        <v>61</v>
      </c>
      <c r="B88" s="10">
        <v>102.5</v>
      </c>
      <c r="C88">
        <f t="shared" si="25"/>
        <v>106.084</v>
      </c>
      <c r="D88" s="5">
        <f t="shared" si="24"/>
        <v>12.845056</v>
      </c>
      <c r="E88" s="5">
        <f t="shared" si="26"/>
        <v>54.621337890625</v>
      </c>
    </row>
    <row r="89" spans="1:5">
      <c r="A89" s="10">
        <v>65</v>
      </c>
      <c r="B89" s="10">
        <v>110.5</v>
      </c>
      <c r="C89">
        <f t="shared" si="25"/>
        <v>108.66</v>
      </c>
      <c r="D89" s="5">
        <f t="shared" si="24"/>
        <v>3.38560000000001</v>
      </c>
      <c r="E89" s="5">
        <f t="shared" si="26"/>
        <v>0.371337890625</v>
      </c>
    </row>
    <row r="90" spans="1:5">
      <c r="A90" s="10">
        <v>65</v>
      </c>
      <c r="B90" s="10">
        <v>116.2</v>
      </c>
      <c r="C90">
        <f t="shared" si="25"/>
        <v>108.66</v>
      </c>
      <c r="D90" s="5">
        <f t="shared" si="24"/>
        <v>56.8516000000001</v>
      </c>
      <c r="E90" s="5">
        <f t="shared" si="26"/>
        <v>39.808212890625</v>
      </c>
    </row>
    <row r="91" spans="1:5">
      <c r="A91" s="10">
        <v>65</v>
      </c>
      <c r="B91" s="10">
        <v>106.8</v>
      </c>
      <c r="C91">
        <f t="shared" si="25"/>
        <v>108.66</v>
      </c>
      <c r="D91" s="5">
        <f t="shared" si="24"/>
        <v>3.4596</v>
      </c>
      <c r="E91" s="5">
        <f t="shared" si="26"/>
        <v>9.55196289062502</v>
      </c>
    </row>
    <row r="92" spans="1:5">
      <c r="A92" s="10">
        <v>68</v>
      </c>
      <c r="B92" s="10">
        <v>104.2</v>
      </c>
      <c r="C92">
        <f t="shared" si="25"/>
        <v>110.592</v>
      </c>
      <c r="D92" s="5">
        <f t="shared" si="24"/>
        <v>40.857664</v>
      </c>
      <c r="E92" s="5">
        <f t="shared" si="26"/>
        <v>32.383212890625</v>
      </c>
    </row>
    <row r="93" spans="1:5">
      <c r="A93" s="10">
        <v>64</v>
      </c>
      <c r="B93" s="10">
        <v>111.5</v>
      </c>
      <c r="C93">
        <f t="shared" si="25"/>
        <v>108.016</v>
      </c>
      <c r="D93" s="5">
        <f t="shared" si="24"/>
        <v>12.1382560000001</v>
      </c>
      <c r="E93" s="5">
        <f t="shared" si="26"/>
        <v>2.590087890625</v>
      </c>
    </row>
    <row r="94" spans="1:5">
      <c r="A94" s="10">
        <v>60</v>
      </c>
      <c r="B94" s="10">
        <v>109.3</v>
      </c>
      <c r="C94">
        <f t="shared" si="25"/>
        <v>105.44</v>
      </c>
      <c r="D94" s="5">
        <f t="shared" si="24"/>
        <v>14.8996</v>
      </c>
      <c r="E94" s="5">
        <f t="shared" si="26"/>
        <v>0.348837890625003</v>
      </c>
    </row>
    <row r="95" spans="1:5">
      <c r="A95" s="10">
        <v>65</v>
      </c>
      <c r="B95" s="10">
        <v>109.3</v>
      </c>
      <c r="C95">
        <f t="shared" si="25"/>
        <v>108.66</v>
      </c>
      <c r="D95" s="5">
        <f t="shared" si="24"/>
        <v>0.409600000000001</v>
      </c>
      <c r="E95" s="5">
        <f t="shared" si="26"/>
        <v>0.348837890625003</v>
      </c>
    </row>
    <row r="96" spans="1:5">
      <c r="A96" s="10">
        <v>66</v>
      </c>
      <c r="B96" s="10">
        <v>107.5</v>
      </c>
      <c r="C96">
        <f t="shared" si="25"/>
        <v>109.304</v>
      </c>
      <c r="D96" s="5">
        <f t="shared" si="24"/>
        <v>3.25441600000001</v>
      </c>
      <c r="E96" s="5">
        <f t="shared" si="26"/>
        <v>5.715087890625</v>
      </c>
    </row>
    <row r="97" spans="1:5">
      <c r="A97" s="10">
        <v>66</v>
      </c>
      <c r="B97" s="10">
        <v>109.2</v>
      </c>
      <c r="C97">
        <f t="shared" si="25"/>
        <v>109.304</v>
      </c>
      <c r="D97" s="5">
        <f t="shared" si="24"/>
        <v>0.0108159999999998</v>
      </c>
      <c r="E97" s="5">
        <f t="shared" si="26"/>
        <v>0.476962890624996</v>
      </c>
    </row>
    <row r="98" spans="1:5">
      <c r="A98" s="10">
        <v>66</v>
      </c>
      <c r="B98" s="10">
        <v>109.4</v>
      </c>
      <c r="C98">
        <f t="shared" si="25"/>
        <v>109.304</v>
      </c>
      <c r="D98" s="5">
        <f t="shared" si="24"/>
        <v>0.0092160000000007</v>
      </c>
      <c r="E98" s="5">
        <f t="shared" si="26"/>
        <v>0.240712890624994</v>
      </c>
    </row>
    <row r="99" spans="1:5">
      <c r="A99" s="10">
        <v>60</v>
      </c>
      <c r="B99" s="10">
        <v>101.7</v>
      </c>
      <c r="C99">
        <f t="shared" si="25"/>
        <v>105.44</v>
      </c>
      <c r="D99" s="5">
        <f t="shared" si="24"/>
        <v>13.9876</v>
      </c>
      <c r="E99" s="5">
        <f t="shared" si="26"/>
        <v>67.0863378906249</v>
      </c>
    </row>
    <row r="100" spans="1:5">
      <c r="A100" s="10">
        <v>50</v>
      </c>
      <c r="B100" s="10">
        <v>105.7</v>
      </c>
      <c r="C100">
        <f t="shared" si="25"/>
        <v>99</v>
      </c>
      <c r="D100" s="5">
        <f t="shared" si="24"/>
        <v>44.89</v>
      </c>
      <c r="E100" s="5">
        <f t="shared" si="26"/>
        <v>17.561337890625</v>
      </c>
    </row>
    <row r="101" spans="1:5">
      <c r="A101" s="10">
        <v>74</v>
      </c>
      <c r="B101" s="10">
        <v>112.1</v>
      </c>
      <c r="C101">
        <f t="shared" si="25"/>
        <v>114.456</v>
      </c>
      <c r="D101" s="5">
        <f t="shared" si="24"/>
        <v>5.55073599999997</v>
      </c>
      <c r="E101" s="5">
        <f t="shared" si="26"/>
        <v>4.88133789062497</v>
      </c>
    </row>
    <row r="102" spans="1:5">
      <c r="A102" s="10">
        <v>74</v>
      </c>
      <c r="B102" s="10">
        <v>118.6</v>
      </c>
      <c r="C102">
        <f t="shared" si="25"/>
        <v>114.456</v>
      </c>
      <c r="D102" s="5">
        <f t="shared" si="24"/>
        <v>17.172736</v>
      </c>
      <c r="E102" s="5">
        <f t="shared" si="26"/>
        <v>75.8532128906249</v>
      </c>
    </row>
    <row r="103" spans="1:5">
      <c r="A103" s="10">
        <v>63</v>
      </c>
      <c r="B103" s="10">
        <v>109.6</v>
      </c>
      <c r="C103">
        <f t="shared" si="25"/>
        <v>107.372</v>
      </c>
      <c r="D103" s="5">
        <f t="shared" si="24"/>
        <v>4.96398399999998</v>
      </c>
      <c r="E103" s="5">
        <f t="shared" si="26"/>
        <v>0.0844628906250033</v>
      </c>
    </row>
    <row r="104" spans="1:5">
      <c r="A104" s="10">
        <v>73</v>
      </c>
      <c r="B104" s="10">
        <v>115</v>
      </c>
      <c r="C104">
        <f t="shared" si="25"/>
        <v>113.812</v>
      </c>
      <c r="D104" s="5">
        <f t="shared" si="24"/>
        <v>1.41134400000001</v>
      </c>
      <c r="E104" s="5">
        <f t="shared" si="26"/>
        <v>26.105712890625</v>
      </c>
    </row>
    <row r="105" spans="1:5">
      <c r="A105" s="10">
        <v>64</v>
      </c>
      <c r="B105" s="10">
        <v>106.8</v>
      </c>
      <c r="C105">
        <f t="shared" si="25"/>
        <v>108.016</v>
      </c>
      <c r="D105" s="5">
        <f t="shared" si="24"/>
        <v>1.47865599999999</v>
      </c>
      <c r="E105" s="5">
        <f t="shared" si="26"/>
        <v>9.55196289062502</v>
      </c>
    </row>
    <row r="106" spans="1:5">
      <c r="A106" s="10">
        <v>70</v>
      </c>
      <c r="B106" s="10">
        <v>112.2</v>
      </c>
      <c r="C106">
        <f t="shared" si="25"/>
        <v>111.88</v>
      </c>
      <c r="D106" s="5">
        <f t="shared" si="24"/>
        <v>0.102400000000005</v>
      </c>
      <c r="E106" s="5">
        <f t="shared" si="26"/>
        <v>5.33321289062501</v>
      </c>
    </row>
    <row r="107" spans="1:5">
      <c r="A107" s="10">
        <v>66</v>
      </c>
      <c r="B107" s="10">
        <v>108.8</v>
      </c>
      <c r="C107">
        <f t="shared" si="25"/>
        <v>109.304</v>
      </c>
      <c r="D107" s="5">
        <f t="shared" si="24"/>
        <v>0.254016000000005</v>
      </c>
      <c r="E107" s="5">
        <f t="shared" si="26"/>
        <v>1.18946289062501</v>
      </c>
    </row>
    <row r="108" spans="1:5">
      <c r="A108" s="10">
        <v>76</v>
      </c>
      <c r="B108" s="10">
        <v>119.1</v>
      </c>
      <c r="C108">
        <f t="shared" si="25"/>
        <v>115.744</v>
      </c>
      <c r="D108" s="5">
        <f t="shared" si="24"/>
        <v>11.262736</v>
      </c>
      <c r="E108" s="5">
        <f t="shared" si="26"/>
        <v>84.8125878906249</v>
      </c>
    </row>
    <row r="109" spans="1:5">
      <c r="A109" s="10">
        <v>76</v>
      </c>
      <c r="B109" s="10">
        <v>112.6</v>
      </c>
      <c r="C109">
        <f t="shared" si="25"/>
        <v>115.744</v>
      </c>
      <c r="D109" s="5">
        <f t="shared" si="24"/>
        <v>9.88473600000003</v>
      </c>
      <c r="E109" s="5">
        <f t="shared" si="26"/>
        <v>7.34071289062497</v>
      </c>
    </row>
    <row r="110" spans="1:5">
      <c r="A110" s="10">
        <v>66</v>
      </c>
      <c r="B110" s="10">
        <v>109.5</v>
      </c>
      <c r="C110">
        <f t="shared" si="25"/>
        <v>109.304</v>
      </c>
      <c r="D110" s="5">
        <f t="shared" si="24"/>
        <v>0.0384159999999992</v>
      </c>
      <c r="E110" s="5">
        <f t="shared" si="26"/>
        <v>0.152587890625</v>
      </c>
    </row>
    <row r="111" spans="1:5">
      <c r="A111" s="10">
        <v>68</v>
      </c>
      <c r="B111" s="10">
        <v>109</v>
      </c>
      <c r="C111">
        <f t="shared" si="25"/>
        <v>110.592</v>
      </c>
      <c r="D111" s="5">
        <f t="shared" si="24"/>
        <v>2.534464</v>
      </c>
      <c r="E111" s="5">
        <f t="shared" si="26"/>
        <v>0.793212890625</v>
      </c>
    </row>
    <row r="112" spans="1:5">
      <c r="A112" s="10">
        <v>62</v>
      </c>
      <c r="B112" s="10">
        <v>103.5</v>
      </c>
      <c r="C112">
        <f t="shared" si="25"/>
        <v>106.728</v>
      </c>
      <c r="D112" s="5">
        <f t="shared" si="24"/>
        <v>10.4199840000001</v>
      </c>
      <c r="E112" s="5">
        <f t="shared" si="26"/>
        <v>40.840087890625</v>
      </c>
    </row>
    <row r="113" spans="1:5">
      <c r="A113" s="10">
        <v>65</v>
      </c>
      <c r="B113" s="10">
        <v>115.8</v>
      </c>
      <c r="C113">
        <f t="shared" si="25"/>
        <v>108.66</v>
      </c>
      <c r="D113" s="5">
        <f t="shared" si="24"/>
        <v>50.9796</v>
      </c>
      <c r="E113" s="5">
        <f t="shared" si="26"/>
        <v>34.920712890625</v>
      </c>
    </row>
    <row r="114" spans="1:5">
      <c r="A114" s="10">
        <v>65</v>
      </c>
      <c r="B114" s="10">
        <v>109.8</v>
      </c>
      <c r="C114">
        <f t="shared" si="25"/>
        <v>108.66</v>
      </c>
      <c r="D114" s="5">
        <f t="shared" si="24"/>
        <v>1.2996</v>
      </c>
      <c r="E114" s="5">
        <f t="shared" si="26"/>
        <v>0.00821289062500052</v>
      </c>
    </row>
    <row r="115" spans="1:5">
      <c r="A115" s="10">
        <v>73</v>
      </c>
      <c r="B115" s="10">
        <v>109.5</v>
      </c>
      <c r="C115">
        <f t="shared" ref="C115:C146" si="27">66.8+0.644*A115</f>
        <v>113.812</v>
      </c>
      <c r="D115" s="5">
        <f t="shared" si="24"/>
        <v>18.593344</v>
      </c>
      <c r="E115" s="5">
        <f t="shared" ref="E115:E146" si="28">(B115-Ybar_height)^2</f>
        <v>0.152587890625</v>
      </c>
    </row>
    <row r="116" spans="1:5">
      <c r="A116" s="10">
        <v>75</v>
      </c>
      <c r="B116" s="10">
        <v>114</v>
      </c>
      <c r="C116">
        <f t="shared" si="27"/>
        <v>115.1</v>
      </c>
      <c r="D116" s="5">
        <f t="shared" ref="D116:D146" si="29">(B116-C116)^2</f>
        <v>1.20999999999999</v>
      </c>
      <c r="E116" s="5">
        <f t="shared" si="28"/>
        <v>16.886962890625</v>
      </c>
    </row>
    <row r="117" spans="1:5">
      <c r="A117" s="10">
        <v>75</v>
      </c>
      <c r="B117" s="10">
        <v>117</v>
      </c>
      <c r="C117">
        <f t="shared" si="27"/>
        <v>115.1</v>
      </c>
      <c r="D117" s="5">
        <f t="shared" si="29"/>
        <v>3.61000000000002</v>
      </c>
      <c r="E117" s="5">
        <f t="shared" si="28"/>
        <v>50.543212890625</v>
      </c>
    </row>
    <row r="118" spans="1:5">
      <c r="A118" s="10">
        <v>74</v>
      </c>
      <c r="B118" s="10">
        <v>113.2</v>
      </c>
      <c r="C118">
        <f t="shared" si="27"/>
        <v>114.456</v>
      </c>
      <c r="D118" s="5">
        <f t="shared" si="29"/>
        <v>1.57753599999996</v>
      </c>
      <c r="E118" s="5">
        <f t="shared" si="28"/>
        <v>10.951962890625</v>
      </c>
    </row>
    <row r="119" spans="1:5">
      <c r="A119" s="10">
        <v>64</v>
      </c>
      <c r="B119" s="10">
        <v>110.8</v>
      </c>
      <c r="C119">
        <f t="shared" si="27"/>
        <v>108.016</v>
      </c>
      <c r="D119" s="5">
        <f t="shared" si="29"/>
        <v>7.75065600000003</v>
      </c>
      <c r="E119" s="5">
        <f t="shared" si="28"/>
        <v>0.826962890624995</v>
      </c>
    </row>
    <row r="120" spans="1:5">
      <c r="A120" s="10">
        <v>73</v>
      </c>
      <c r="B120" s="10">
        <v>118.5</v>
      </c>
      <c r="C120">
        <f t="shared" si="27"/>
        <v>113.812</v>
      </c>
      <c r="D120" s="5">
        <f t="shared" si="29"/>
        <v>21.977344</v>
      </c>
      <c r="E120" s="5">
        <f t="shared" si="28"/>
        <v>74.121337890625</v>
      </c>
    </row>
    <row r="121" spans="1:5">
      <c r="A121" s="10">
        <v>65</v>
      </c>
      <c r="B121" s="10">
        <v>108.8</v>
      </c>
      <c r="C121">
        <f t="shared" si="27"/>
        <v>108.66</v>
      </c>
      <c r="D121" s="5">
        <f t="shared" si="29"/>
        <v>0.0196000000000002</v>
      </c>
      <c r="E121" s="5">
        <f t="shared" si="28"/>
        <v>1.18946289062501</v>
      </c>
    </row>
    <row r="122" spans="1:5">
      <c r="A122" s="10">
        <v>75</v>
      </c>
      <c r="B122" s="10">
        <v>115.3</v>
      </c>
      <c r="C122">
        <f t="shared" si="27"/>
        <v>115.1</v>
      </c>
      <c r="D122" s="5">
        <f t="shared" si="29"/>
        <v>0.0400000000000011</v>
      </c>
      <c r="E122" s="5">
        <f t="shared" si="28"/>
        <v>29.261337890625</v>
      </c>
    </row>
    <row r="123" spans="1:5">
      <c r="A123" s="10">
        <v>71</v>
      </c>
      <c r="B123" s="10">
        <v>110.8</v>
      </c>
      <c r="C123">
        <f t="shared" si="27"/>
        <v>112.524</v>
      </c>
      <c r="D123" s="5">
        <f t="shared" si="29"/>
        <v>2.97217600000001</v>
      </c>
      <c r="E123" s="5">
        <f t="shared" si="28"/>
        <v>0.826962890624995</v>
      </c>
    </row>
    <row r="124" spans="1:5">
      <c r="A124" s="10">
        <v>72</v>
      </c>
      <c r="B124" s="10">
        <v>116.2</v>
      </c>
      <c r="C124">
        <f t="shared" si="27"/>
        <v>113.168</v>
      </c>
      <c r="D124" s="5">
        <f t="shared" si="29"/>
        <v>9.19302399999998</v>
      </c>
      <c r="E124" s="5">
        <f t="shared" si="28"/>
        <v>39.808212890625</v>
      </c>
    </row>
    <row r="125" spans="1:5">
      <c r="A125" s="10">
        <v>73</v>
      </c>
      <c r="B125" s="10">
        <v>114.3</v>
      </c>
      <c r="C125">
        <f t="shared" si="27"/>
        <v>113.812</v>
      </c>
      <c r="D125" s="5">
        <f t="shared" si="29"/>
        <v>0.238144</v>
      </c>
      <c r="E125" s="5">
        <f t="shared" si="28"/>
        <v>19.442587890625</v>
      </c>
    </row>
    <row r="126" spans="1:5">
      <c r="A126" s="10">
        <v>75</v>
      </c>
      <c r="B126" s="10">
        <v>116.4</v>
      </c>
      <c r="C126">
        <f t="shared" si="27"/>
        <v>115.1</v>
      </c>
      <c r="D126" s="5">
        <f t="shared" si="29"/>
        <v>1.69000000000003</v>
      </c>
      <c r="E126" s="5">
        <f t="shared" si="28"/>
        <v>42.3719628906251</v>
      </c>
    </row>
    <row r="127" spans="1:5">
      <c r="A127" s="10">
        <v>77</v>
      </c>
      <c r="B127" s="10">
        <v>117.5</v>
      </c>
      <c r="C127">
        <f t="shared" si="27"/>
        <v>116.388</v>
      </c>
      <c r="D127" s="5">
        <f t="shared" si="29"/>
        <v>1.23654399999999</v>
      </c>
      <c r="E127" s="5">
        <f t="shared" si="28"/>
        <v>57.902587890625</v>
      </c>
    </row>
    <row r="128" spans="1:5">
      <c r="A128" s="10">
        <v>67</v>
      </c>
      <c r="B128" s="10">
        <v>119</v>
      </c>
      <c r="C128">
        <f t="shared" si="27"/>
        <v>109.948</v>
      </c>
      <c r="D128" s="5">
        <f t="shared" si="29"/>
        <v>81.9387039999999</v>
      </c>
      <c r="E128" s="5">
        <f t="shared" si="28"/>
        <v>82.980712890625</v>
      </c>
    </row>
    <row r="129" spans="1:5">
      <c r="A129" s="10">
        <v>78</v>
      </c>
      <c r="B129" s="10">
        <v>112.8</v>
      </c>
      <c r="C129">
        <f t="shared" si="27"/>
        <v>117.032</v>
      </c>
      <c r="D129" s="5">
        <f t="shared" si="29"/>
        <v>17.909824</v>
      </c>
      <c r="E129" s="5">
        <f t="shared" si="28"/>
        <v>8.46446289062498</v>
      </c>
    </row>
    <row r="130" spans="1:5">
      <c r="A130" s="10">
        <v>73</v>
      </c>
      <c r="B130" s="10">
        <v>113.6</v>
      </c>
      <c r="C130">
        <f t="shared" si="27"/>
        <v>113.812</v>
      </c>
      <c r="D130" s="5">
        <f t="shared" si="29"/>
        <v>0.0449440000000014</v>
      </c>
      <c r="E130" s="5">
        <f t="shared" si="28"/>
        <v>13.759462890625</v>
      </c>
    </row>
    <row r="131" spans="1:5">
      <c r="A131" s="10">
        <v>76</v>
      </c>
      <c r="B131" s="10">
        <v>119.9</v>
      </c>
      <c r="C131">
        <f t="shared" si="27"/>
        <v>115.744</v>
      </c>
      <c r="D131" s="5">
        <f t="shared" si="29"/>
        <v>17.272336</v>
      </c>
      <c r="E131" s="5">
        <f t="shared" si="28"/>
        <v>100.187587890625</v>
      </c>
    </row>
    <row r="132" spans="1:5">
      <c r="A132" s="10">
        <v>74</v>
      </c>
      <c r="B132" s="10">
        <v>108.2</v>
      </c>
      <c r="C132">
        <f t="shared" si="27"/>
        <v>114.456</v>
      </c>
      <c r="D132" s="5">
        <f t="shared" si="29"/>
        <v>39.1375359999998</v>
      </c>
      <c r="E132" s="5">
        <f t="shared" si="28"/>
        <v>2.85821289062499</v>
      </c>
    </row>
    <row r="133" spans="1:5">
      <c r="A133" s="10">
        <v>77</v>
      </c>
      <c r="B133" s="10">
        <v>120</v>
      </c>
      <c r="C133">
        <f t="shared" si="27"/>
        <v>116.388</v>
      </c>
      <c r="D133" s="5">
        <f t="shared" si="29"/>
        <v>13.046544</v>
      </c>
      <c r="E133" s="5">
        <f t="shared" si="28"/>
        <v>102.199462890625</v>
      </c>
    </row>
    <row r="134" spans="1:5">
      <c r="A134" s="10">
        <v>75</v>
      </c>
      <c r="B134" s="10">
        <v>125</v>
      </c>
      <c r="C134">
        <f t="shared" si="27"/>
        <v>115.1</v>
      </c>
      <c r="D134" s="5">
        <f t="shared" si="29"/>
        <v>98.0100000000001</v>
      </c>
      <c r="E134" s="5">
        <f t="shared" si="28"/>
        <v>228.293212890625</v>
      </c>
    </row>
    <row r="135" spans="1:5">
      <c r="A135" s="10">
        <v>77</v>
      </c>
      <c r="B135" s="10">
        <v>120.8</v>
      </c>
      <c r="C135">
        <f t="shared" si="27"/>
        <v>116.388</v>
      </c>
      <c r="D135" s="5">
        <f t="shared" si="29"/>
        <v>19.4657439999999</v>
      </c>
      <c r="E135" s="5">
        <f t="shared" si="28"/>
        <v>119.014462890625</v>
      </c>
    </row>
    <row r="136" spans="1:5">
      <c r="A136" s="10">
        <v>64</v>
      </c>
      <c r="B136" s="10">
        <v>109.2</v>
      </c>
      <c r="C136">
        <f t="shared" si="27"/>
        <v>108.016</v>
      </c>
      <c r="D136" s="5">
        <f t="shared" si="29"/>
        <v>1.40185600000003</v>
      </c>
      <c r="E136" s="5">
        <f t="shared" si="28"/>
        <v>0.476962890624996</v>
      </c>
    </row>
    <row r="137" spans="1:5">
      <c r="A137" s="10">
        <v>78</v>
      </c>
      <c r="B137" s="10">
        <v>120</v>
      </c>
      <c r="C137">
        <f t="shared" si="27"/>
        <v>117.032</v>
      </c>
      <c r="D137" s="5">
        <f t="shared" si="29"/>
        <v>8.80902400000002</v>
      </c>
      <c r="E137" s="5">
        <f t="shared" si="28"/>
        <v>102.199462890625</v>
      </c>
    </row>
    <row r="138" spans="1:5">
      <c r="A138" s="10">
        <v>77</v>
      </c>
      <c r="B138" s="10">
        <v>120.4</v>
      </c>
      <c r="C138">
        <f t="shared" si="27"/>
        <v>116.388</v>
      </c>
      <c r="D138" s="5">
        <f t="shared" si="29"/>
        <v>16.096144</v>
      </c>
      <c r="E138" s="5">
        <f t="shared" si="28"/>
        <v>110.446962890625</v>
      </c>
    </row>
    <row r="139" spans="1:5">
      <c r="A139" s="10">
        <v>66</v>
      </c>
      <c r="B139" s="10">
        <v>120.5</v>
      </c>
      <c r="C139">
        <f t="shared" si="27"/>
        <v>109.304</v>
      </c>
      <c r="D139" s="5">
        <f t="shared" si="29"/>
        <v>125.350416</v>
      </c>
      <c r="E139" s="5">
        <f t="shared" si="28"/>
        <v>112.558837890625</v>
      </c>
    </row>
    <row r="140" spans="1:5">
      <c r="A140" s="10">
        <v>74</v>
      </c>
      <c r="B140" s="10">
        <v>120.5</v>
      </c>
      <c r="C140">
        <f t="shared" si="27"/>
        <v>114.456</v>
      </c>
      <c r="D140" s="5">
        <f t="shared" si="29"/>
        <v>36.5299360000001</v>
      </c>
      <c r="E140" s="5">
        <f t="shared" si="28"/>
        <v>112.558837890625</v>
      </c>
    </row>
    <row r="141" spans="1:5">
      <c r="A141" s="10">
        <v>66</v>
      </c>
      <c r="B141" s="10">
        <v>108</v>
      </c>
      <c r="C141">
        <f t="shared" si="27"/>
        <v>109.304</v>
      </c>
      <c r="D141" s="5">
        <f t="shared" si="29"/>
        <v>1.70041600000001</v>
      </c>
      <c r="E141" s="5">
        <f t="shared" si="28"/>
        <v>3.574462890625</v>
      </c>
    </row>
    <row r="142" spans="1:5">
      <c r="A142" s="10">
        <v>68</v>
      </c>
      <c r="B142" s="10">
        <v>103.7</v>
      </c>
      <c r="C142">
        <f t="shared" si="27"/>
        <v>110.592</v>
      </c>
      <c r="D142" s="5">
        <f t="shared" si="29"/>
        <v>47.4996639999999</v>
      </c>
      <c r="E142" s="5">
        <f t="shared" si="28"/>
        <v>38.323837890625</v>
      </c>
    </row>
    <row r="143" spans="1:5">
      <c r="A143" s="10">
        <v>64</v>
      </c>
      <c r="B143" s="10">
        <v>109.2</v>
      </c>
      <c r="C143">
        <f t="shared" si="27"/>
        <v>108.016</v>
      </c>
      <c r="D143" s="5">
        <f t="shared" si="29"/>
        <v>1.40185600000003</v>
      </c>
      <c r="E143" s="5">
        <f t="shared" si="28"/>
        <v>0.476962890624996</v>
      </c>
    </row>
    <row r="144" spans="1:5">
      <c r="A144" s="10">
        <v>54</v>
      </c>
      <c r="B144" s="10">
        <v>102</v>
      </c>
      <c r="C144">
        <f t="shared" si="27"/>
        <v>101.576</v>
      </c>
      <c r="D144" s="5">
        <f t="shared" si="29"/>
        <v>0.179776000000006</v>
      </c>
      <c r="E144" s="5">
        <f t="shared" si="28"/>
        <v>62.261962890625</v>
      </c>
    </row>
    <row r="145" spans="1:5">
      <c r="A145" s="10">
        <v>80</v>
      </c>
      <c r="B145" s="10">
        <v>113.8</v>
      </c>
      <c r="C145">
        <f t="shared" si="27"/>
        <v>118.32</v>
      </c>
      <c r="D145" s="5">
        <f t="shared" si="29"/>
        <v>20.4304</v>
      </c>
      <c r="E145" s="5">
        <f t="shared" si="28"/>
        <v>15.283212890625</v>
      </c>
    </row>
    <row r="146" spans="1:5">
      <c r="A146" s="10">
        <v>77</v>
      </c>
      <c r="B146" s="10">
        <v>122.3</v>
      </c>
      <c r="C146">
        <f t="shared" si="27"/>
        <v>116.388</v>
      </c>
      <c r="D146" s="5">
        <f t="shared" si="29"/>
        <v>34.9517439999999</v>
      </c>
      <c r="E146" s="5">
        <f t="shared" si="28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30">(B151-Ybar_prod)^2</f>
        <v>3844</v>
      </c>
    </row>
    <row r="152" spans="1:5">
      <c r="A152" s="10">
        <v>6</v>
      </c>
      <c r="B152" s="10">
        <v>105</v>
      </c>
      <c r="C152">
        <f t="shared" ref="C152:C160" si="31">60+5*A152</f>
        <v>90</v>
      </c>
      <c r="D152" s="5">
        <f t="shared" ref="D152:D160" si="32">(B152-C152)^2</f>
        <v>225</v>
      </c>
      <c r="E152" s="5">
        <f t="shared" si="30"/>
        <v>225</v>
      </c>
    </row>
    <row r="153" spans="1:5">
      <c r="A153" s="10">
        <v>8</v>
      </c>
      <c r="B153" s="10">
        <v>88</v>
      </c>
      <c r="C153">
        <f t="shared" si="31"/>
        <v>100</v>
      </c>
      <c r="D153" s="5">
        <f t="shared" si="32"/>
        <v>144</v>
      </c>
      <c r="E153" s="5">
        <f t="shared" si="30"/>
        <v>1024</v>
      </c>
    </row>
    <row r="154" spans="1:5">
      <c r="A154" s="10">
        <v>8</v>
      </c>
      <c r="B154" s="10">
        <v>118</v>
      </c>
      <c r="C154">
        <f t="shared" si="31"/>
        <v>100</v>
      </c>
      <c r="D154" s="5">
        <f t="shared" si="32"/>
        <v>324</v>
      </c>
      <c r="E154" s="5">
        <f t="shared" si="30"/>
        <v>4</v>
      </c>
    </row>
    <row r="155" spans="1:5">
      <c r="A155" s="10">
        <v>12</v>
      </c>
      <c r="B155" s="10">
        <v>17</v>
      </c>
      <c r="C155">
        <f t="shared" si="31"/>
        <v>120</v>
      </c>
      <c r="D155" s="5">
        <f t="shared" si="32"/>
        <v>10609</v>
      </c>
      <c r="E155" s="5">
        <f t="shared" si="30"/>
        <v>10609</v>
      </c>
    </row>
    <row r="156" spans="1:5">
      <c r="A156" s="10">
        <v>16</v>
      </c>
      <c r="B156" s="10">
        <v>137</v>
      </c>
      <c r="C156">
        <f t="shared" si="31"/>
        <v>140</v>
      </c>
      <c r="D156" s="5">
        <f t="shared" si="32"/>
        <v>9</v>
      </c>
      <c r="E156" s="5">
        <f t="shared" si="30"/>
        <v>289</v>
      </c>
    </row>
    <row r="157" spans="1:5">
      <c r="A157" s="10">
        <v>20</v>
      </c>
      <c r="B157" s="10">
        <v>157</v>
      </c>
      <c r="C157">
        <f t="shared" si="31"/>
        <v>160</v>
      </c>
      <c r="D157" s="5">
        <f t="shared" si="32"/>
        <v>9</v>
      </c>
      <c r="E157" s="5">
        <f t="shared" si="30"/>
        <v>1369</v>
      </c>
    </row>
    <row r="158" spans="1:5">
      <c r="A158" s="10">
        <v>20</v>
      </c>
      <c r="B158" s="10">
        <v>169</v>
      </c>
      <c r="C158">
        <f t="shared" si="31"/>
        <v>160</v>
      </c>
      <c r="D158" s="5">
        <f t="shared" si="32"/>
        <v>81</v>
      </c>
      <c r="E158" s="5">
        <f t="shared" si="30"/>
        <v>2401</v>
      </c>
    </row>
    <row r="159" spans="1:5">
      <c r="A159" s="10">
        <v>22</v>
      </c>
      <c r="B159" s="10">
        <v>149</v>
      </c>
      <c r="C159">
        <f t="shared" si="31"/>
        <v>170</v>
      </c>
      <c r="D159" s="5">
        <f t="shared" si="32"/>
        <v>441</v>
      </c>
      <c r="E159" s="5">
        <f t="shared" si="30"/>
        <v>841</v>
      </c>
    </row>
    <row r="160" spans="1:5">
      <c r="A160" s="10">
        <v>26</v>
      </c>
      <c r="B160" s="10">
        <v>202</v>
      </c>
      <c r="C160">
        <f t="shared" si="31"/>
        <v>190</v>
      </c>
      <c r="D160" s="5">
        <f t="shared" si="32"/>
        <v>144</v>
      </c>
      <c r="E160" s="5">
        <f t="shared" si="30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3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4">-16.03+0.03*A172</f>
        <v>7.94</v>
      </c>
      <c r="D172" s="5">
        <f t="shared" ref="D172:D185" si="35">(B172-C172)^2</f>
        <v>0.102400000000001</v>
      </c>
      <c r="E172" s="5">
        <f t="shared" si="33"/>
        <v>4.8605551111111</v>
      </c>
    </row>
    <row r="173" spans="1:5">
      <c r="A173" s="10">
        <v>837</v>
      </c>
      <c r="B173" s="10">
        <v>7.48</v>
      </c>
      <c r="C173">
        <f t="shared" si="34"/>
        <v>9.08</v>
      </c>
      <c r="D173" s="5">
        <f t="shared" si="35"/>
        <v>2.55999999999999</v>
      </c>
      <c r="E173" s="5">
        <f t="shared" si="33"/>
        <v>8.90823511111109</v>
      </c>
    </row>
    <row r="174" spans="1:5">
      <c r="A174" s="10">
        <v>855</v>
      </c>
      <c r="B174" s="10">
        <v>9.08</v>
      </c>
      <c r="C174">
        <f t="shared" si="34"/>
        <v>9.62</v>
      </c>
      <c r="D174" s="5">
        <f t="shared" si="35"/>
        <v>0.291599999999997</v>
      </c>
      <c r="E174" s="5">
        <f t="shared" si="33"/>
        <v>1.91730177777777</v>
      </c>
    </row>
    <row r="175" spans="1:5">
      <c r="A175" s="10">
        <v>845</v>
      </c>
      <c r="B175" s="10">
        <v>9.83</v>
      </c>
      <c r="C175">
        <f t="shared" si="34"/>
        <v>9.32</v>
      </c>
      <c r="D175" s="5">
        <f t="shared" si="35"/>
        <v>0.260100000000003</v>
      </c>
      <c r="E175" s="5">
        <f t="shared" si="33"/>
        <v>0.402801777777775</v>
      </c>
    </row>
    <row r="176" spans="1:5">
      <c r="A176" s="10">
        <v>844</v>
      </c>
      <c r="B176" s="10">
        <v>10.09</v>
      </c>
      <c r="C176">
        <f t="shared" si="34"/>
        <v>9.29</v>
      </c>
      <c r="D176" s="5">
        <f t="shared" si="35"/>
        <v>0.640000000000001</v>
      </c>
      <c r="E176" s="5">
        <f t="shared" si="33"/>
        <v>0.140375111111109</v>
      </c>
    </row>
    <row r="177" spans="1:5">
      <c r="A177" s="10">
        <v>863</v>
      </c>
      <c r="B177" s="10">
        <v>11.01</v>
      </c>
      <c r="C177">
        <f t="shared" si="34"/>
        <v>9.86</v>
      </c>
      <c r="D177" s="5">
        <f t="shared" si="35"/>
        <v>1.3225</v>
      </c>
      <c r="E177" s="5">
        <f t="shared" si="33"/>
        <v>0.297388444444447</v>
      </c>
    </row>
    <row r="178" spans="1:5">
      <c r="A178" s="10">
        <v>875</v>
      </c>
      <c r="B178" s="10">
        <v>11.49</v>
      </c>
      <c r="C178">
        <f t="shared" si="34"/>
        <v>10.22</v>
      </c>
      <c r="D178" s="5">
        <f t="shared" si="35"/>
        <v>1.6129</v>
      </c>
      <c r="E178" s="5">
        <f t="shared" si="33"/>
        <v>1.05130844444445</v>
      </c>
    </row>
    <row r="179" spans="1:5">
      <c r="A179" s="10">
        <v>880</v>
      </c>
      <c r="B179" s="10">
        <v>12.07</v>
      </c>
      <c r="C179">
        <f t="shared" si="34"/>
        <v>10.37</v>
      </c>
      <c r="D179" s="5">
        <f t="shared" si="35"/>
        <v>2.89000000000001</v>
      </c>
      <c r="E179" s="5">
        <f t="shared" si="33"/>
        <v>2.57709511111112</v>
      </c>
    </row>
    <row r="180" spans="1:5">
      <c r="A180" s="10">
        <v>905</v>
      </c>
      <c r="B180" s="10">
        <v>12.55</v>
      </c>
      <c r="C180">
        <f t="shared" si="34"/>
        <v>11.12</v>
      </c>
      <c r="D180" s="5">
        <f t="shared" si="35"/>
        <v>2.04490000000001</v>
      </c>
      <c r="E180" s="5">
        <f t="shared" si="33"/>
        <v>4.34861511111112</v>
      </c>
    </row>
    <row r="181" spans="1:5">
      <c r="A181" s="10">
        <v>886</v>
      </c>
      <c r="B181" s="10">
        <v>11.92</v>
      </c>
      <c r="C181">
        <f t="shared" si="34"/>
        <v>10.55</v>
      </c>
      <c r="D181" s="5">
        <f t="shared" si="35"/>
        <v>1.87690000000001</v>
      </c>
      <c r="E181" s="5">
        <f t="shared" si="33"/>
        <v>2.11799511111112</v>
      </c>
    </row>
    <row r="182" spans="1:5">
      <c r="A182" s="10">
        <v>843</v>
      </c>
      <c r="B182" s="10">
        <v>10.27</v>
      </c>
      <c r="C182">
        <f t="shared" si="34"/>
        <v>9.26</v>
      </c>
      <c r="D182" s="5">
        <f t="shared" si="35"/>
        <v>1.0201</v>
      </c>
      <c r="E182" s="5">
        <f t="shared" si="33"/>
        <v>0.0378951111111104</v>
      </c>
    </row>
    <row r="183" spans="1:5">
      <c r="A183" s="10">
        <v>904</v>
      </c>
      <c r="B183" s="10">
        <v>11.8</v>
      </c>
      <c r="C183">
        <f t="shared" si="34"/>
        <v>11.09</v>
      </c>
      <c r="D183" s="5">
        <f t="shared" si="35"/>
        <v>0.504100000000006</v>
      </c>
      <c r="E183" s="5">
        <f t="shared" si="33"/>
        <v>1.78311511111112</v>
      </c>
    </row>
    <row r="184" spans="1:5">
      <c r="A184" s="10">
        <v>950</v>
      </c>
      <c r="B184" s="10">
        <v>12.15</v>
      </c>
      <c r="C184">
        <f t="shared" si="34"/>
        <v>12.47</v>
      </c>
      <c r="D184" s="5">
        <f t="shared" si="35"/>
        <v>0.102399999999999</v>
      </c>
      <c r="E184" s="5">
        <f t="shared" si="33"/>
        <v>2.84034844444445</v>
      </c>
    </row>
    <row r="185" spans="1:5">
      <c r="A185" s="10">
        <v>841</v>
      </c>
      <c r="B185" s="10">
        <v>9.64</v>
      </c>
      <c r="C185">
        <f t="shared" si="34"/>
        <v>9.2</v>
      </c>
      <c r="D185" s="5">
        <f t="shared" si="35"/>
        <v>0.193600000000001</v>
      </c>
      <c r="E185" s="5">
        <f t="shared" si="33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B10" workbookViewId="0">
      <selection activeCell="R28" sqref="R28"/>
    </sheetView>
  </sheetViews>
  <sheetFormatPr defaultColWidth="9" defaultRowHeight="14.2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>
        <v>3.71</v>
      </c>
      <c r="C22">
        <v>3.77775362419734</v>
      </c>
      <c r="D22" s="5">
        <f>(B22-C22)^2</f>
        <v>0.00459055359187441</v>
      </c>
      <c r="E22" s="5">
        <f t="shared" ref="E22:E27" si="0">(B22-avgLogEff)^2</f>
        <v>0.0650249999999999</v>
      </c>
      <c r="F22" s="5"/>
      <c r="G22" s="5"/>
      <c r="H22">
        <v>3.71</v>
      </c>
      <c r="I22">
        <v>3.66798892620724</v>
      </c>
      <c r="J22" s="5">
        <f t="shared" ref="J22:J27" si="1">(H22-I22)^2</f>
        <v>0.00176493032122072</v>
      </c>
      <c r="K22" s="5">
        <f t="shared" ref="K22:K27" si="2">(H22-avgLogEff)^2</f>
        <v>0.0650249999999999</v>
      </c>
      <c r="L22" s="12"/>
      <c r="M22" s="12"/>
      <c r="N22">
        <v>3.71</v>
      </c>
      <c r="O22">
        <v>3.65351453284294</v>
      </c>
      <c r="P22" s="5">
        <f t="shared" ref="P22:P27" si="3">(N22-O22)^2</f>
        <v>0.00319060799995131</v>
      </c>
      <c r="Q22" s="5">
        <f t="shared" ref="Q22:Q27" si="4">(N22-avgLogEff)^2</f>
        <v>0.0650249999999999</v>
      </c>
      <c r="R22" s="13"/>
      <c r="S22" s="13"/>
      <c r="T22">
        <v>3.71</v>
      </c>
      <c r="U22">
        <v>3.77775362419734</v>
      </c>
      <c r="V22" s="5">
        <f t="shared" ref="V22:V27" si="5">(T22-U22)^2</f>
        <v>0.00459055359187441</v>
      </c>
      <c r="W22" s="5">
        <f t="shared" ref="W22:W27" si="6">(T22-avgLogEff)^2</f>
        <v>0.0650249999999999</v>
      </c>
      <c r="X22" s="13"/>
      <c r="Y22" s="13"/>
      <c r="Z22">
        <v>3.71</v>
      </c>
      <c r="AA22">
        <v>3.62994683333332</v>
      </c>
      <c r="AB22" s="5">
        <f t="shared" ref="AB22:AB27" si="7">(Z22-AA22)^2</f>
        <v>0.00640850949336324</v>
      </c>
      <c r="AC22" s="5">
        <f t="shared" ref="AC22:AC27" si="8">(Z22-avgLogEff)^2</f>
        <v>0.0650249999999999</v>
      </c>
      <c r="AD22" s="13"/>
      <c r="AE22" s="13"/>
      <c r="AF22">
        <v>3.71</v>
      </c>
      <c r="AG22">
        <v>3.82578015327454</v>
      </c>
      <c r="AH22" s="5">
        <f t="shared" ref="AH22:AH27" si="9">(AF22-AG22)^2</f>
        <v>0.013405043892276</v>
      </c>
      <c r="AI22" s="5">
        <f t="shared" ref="AI22:AI27" si="10">(AF22-avgLogEff)^2</f>
        <v>0.0650249999999999</v>
      </c>
      <c r="AJ22" s="13"/>
      <c r="AK22" s="13"/>
    </row>
    <row r="23" spans="2:37">
      <c r="B23">
        <v>3.75</v>
      </c>
      <c r="C23">
        <v>3.6399820092632</v>
      </c>
      <c r="D23" s="5">
        <f t="shared" ref="D23:D27" si="11">(B23-C23)^2</f>
        <v>0.0121039582857627</v>
      </c>
      <c r="E23" s="5">
        <f t="shared" si="0"/>
        <v>0.087025</v>
      </c>
      <c r="F23" s="5"/>
      <c r="G23" s="5"/>
      <c r="H23">
        <v>3.75</v>
      </c>
      <c r="I23">
        <v>3.64657403305651</v>
      </c>
      <c r="J23" s="5">
        <f t="shared" si="1"/>
        <v>0.0106969306381958</v>
      </c>
      <c r="K23" s="5">
        <f t="shared" si="2"/>
        <v>0.087025</v>
      </c>
      <c r="L23" s="12"/>
      <c r="M23" s="12"/>
      <c r="N23">
        <v>3.75</v>
      </c>
      <c r="O23">
        <v>3.5327776141224</v>
      </c>
      <c r="P23" s="5">
        <f t="shared" si="3"/>
        <v>0.047185564926357</v>
      </c>
      <c r="Q23" s="5">
        <f t="shared" si="4"/>
        <v>0.087025</v>
      </c>
      <c r="R23" s="13"/>
      <c r="S23" s="13"/>
      <c r="T23">
        <v>3.75</v>
      </c>
      <c r="U23">
        <v>3.6399820092632</v>
      </c>
      <c r="V23" s="5">
        <f t="shared" si="5"/>
        <v>0.0121039582857627</v>
      </c>
      <c r="W23" s="5">
        <f t="shared" si="6"/>
        <v>0.087025</v>
      </c>
      <c r="X23" s="13"/>
      <c r="Y23" s="13"/>
      <c r="Z23">
        <v>3.75</v>
      </c>
      <c r="AA23">
        <v>3.75085266666666</v>
      </c>
      <c r="AB23" s="5">
        <f t="shared" si="7"/>
        <v>7.27040444433371e-7</v>
      </c>
      <c r="AC23" s="5">
        <f t="shared" si="8"/>
        <v>0.087025</v>
      </c>
      <c r="AD23" s="13"/>
      <c r="AE23" s="13"/>
      <c r="AF23">
        <v>3.75</v>
      </c>
      <c r="AG23">
        <v>3.85684990882874</v>
      </c>
      <c r="AH23" s="5">
        <f t="shared" si="9"/>
        <v>0.01141690301671</v>
      </c>
      <c r="AI23" s="5">
        <f t="shared" si="10"/>
        <v>0.087025</v>
      </c>
      <c r="AJ23" s="13"/>
      <c r="AK23" s="13"/>
    </row>
    <row r="24" spans="2:37">
      <c r="B24">
        <v>2.91</v>
      </c>
      <c r="C24">
        <v>3.2460364589206</v>
      </c>
      <c r="D24" s="5">
        <f t="shared" si="11"/>
        <v>0.112920501723896</v>
      </c>
      <c r="E24" s="5">
        <f t="shared" si="0"/>
        <v>0.297025</v>
      </c>
      <c r="F24" s="5"/>
      <c r="G24" s="5"/>
      <c r="H24">
        <v>2.91</v>
      </c>
      <c r="I24">
        <v>3.43096989188601</v>
      </c>
      <c r="J24" s="5">
        <f t="shared" si="1"/>
        <v>0.271409628251721</v>
      </c>
      <c r="K24" s="5">
        <f t="shared" si="2"/>
        <v>0.297025</v>
      </c>
      <c r="L24" s="12"/>
      <c r="M24" s="12"/>
      <c r="N24">
        <v>2.91</v>
      </c>
      <c r="O24">
        <v>3.47173194434373</v>
      </c>
      <c r="P24" s="5">
        <f t="shared" si="3"/>
        <v>0.315542777296187</v>
      </c>
      <c r="Q24" s="5">
        <f t="shared" si="4"/>
        <v>0.297025</v>
      </c>
      <c r="R24" s="13"/>
      <c r="S24" s="13"/>
      <c r="T24">
        <v>2.91</v>
      </c>
      <c r="U24">
        <v>3.2460364589206</v>
      </c>
      <c r="V24" s="5">
        <f t="shared" si="5"/>
        <v>0.112920501723896</v>
      </c>
      <c r="W24" s="5">
        <f t="shared" si="6"/>
        <v>0.297025</v>
      </c>
      <c r="X24" s="13"/>
      <c r="Y24" s="13"/>
      <c r="Z24">
        <v>2.91</v>
      </c>
      <c r="AA24">
        <v>3.20686700000001</v>
      </c>
      <c r="AB24" s="5">
        <f t="shared" si="7"/>
        <v>0.0881300156890059</v>
      </c>
      <c r="AC24" s="5">
        <f t="shared" si="8"/>
        <v>0.297025</v>
      </c>
      <c r="AD24" s="13"/>
      <c r="AE24" s="13"/>
      <c r="AF24">
        <v>2.91</v>
      </c>
      <c r="AG24">
        <v>3.30237007141113</v>
      </c>
      <c r="AH24" s="5">
        <f t="shared" si="9"/>
        <v>0.153954272939175</v>
      </c>
      <c r="AI24" s="5">
        <f t="shared" si="10"/>
        <v>0.297025</v>
      </c>
      <c r="AJ24" s="13"/>
      <c r="AK24" s="13"/>
    </row>
    <row r="25" spans="2:37">
      <c r="B25">
        <v>3.58</v>
      </c>
      <c r="C25">
        <v>3.64400695657631</v>
      </c>
      <c r="D25" s="5">
        <f t="shared" si="11"/>
        <v>0.0040968904901616</v>
      </c>
      <c r="E25" s="5">
        <f t="shared" si="0"/>
        <v>0.015625</v>
      </c>
      <c r="F25" s="5"/>
      <c r="G25" s="5"/>
      <c r="H25">
        <v>3.58</v>
      </c>
      <c r="I25">
        <v>3.64075245653282</v>
      </c>
      <c r="J25" s="5">
        <f t="shared" si="1"/>
        <v>0.00369086097477217</v>
      </c>
      <c r="K25" s="5">
        <f t="shared" si="2"/>
        <v>0.015625</v>
      </c>
      <c r="L25" s="12"/>
      <c r="M25" s="12"/>
      <c r="N25">
        <v>3.58</v>
      </c>
      <c r="O25">
        <v>3.53551442307217</v>
      </c>
      <c r="P25" s="5">
        <f t="shared" si="3"/>
        <v>0.00197896655460191</v>
      </c>
      <c r="Q25" s="5">
        <f t="shared" si="4"/>
        <v>0.015625</v>
      </c>
      <c r="R25" s="13"/>
      <c r="S25" s="13"/>
      <c r="T25">
        <v>3.58</v>
      </c>
      <c r="U25">
        <v>3.64400695657631</v>
      </c>
      <c r="V25" s="5">
        <f t="shared" si="5"/>
        <v>0.0040968904901616</v>
      </c>
      <c r="W25" s="5">
        <f t="shared" si="6"/>
        <v>0.015625</v>
      </c>
      <c r="X25" s="13"/>
      <c r="Y25" s="13"/>
      <c r="Z25">
        <v>3.58</v>
      </c>
      <c r="AA25">
        <v>3.75321066666666</v>
      </c>
      <c r="AB25" s="5">
        <f t="shared" si="7"/>
        <v>0.0300019350471087</v>
      </c>
      <c r="AC25" s="5">
        <f t="shared" si="8"/>
        <v>0.015625</v>
      </c>
      <c r="AD25" s="13"/>
      <c r="AE25" s="13"/>
      <c r="AF25">
        <v>3.58</v>
      </c>
      <c r="AG25">
        <v>3.82817006111145</v>
      </c>
      <c r="AH25" s="5">
        <f t="shared" si="9"/>
        <v>0.0615883792320609</v>
      </c>
      <c r="AI25" s="5">
        <f t="shared" si="10"/>
        <v>0.015625</v>
      </c>
      <c r="AJ25" s="13"/>
      <c r="AK25" s="13"/>
    </row>
    <row r="26" spans="2:37">
      <c r="B26">
        <v>3.33</v>
      </c>
      <c r="C26">
        <v>3.51199991245669</v>
      </c>
      <c r="D26" s="5">
        <f t="shared" si="11"/>
        <v>0.0331239681342428</v>
      </c>
      <c r="E26" s="5">
        <f t="shared" si="0"/>
        <v>0.015625</v>
      </c>
      <c r="F26" s="5"/>
      <c r="G26" s="5"/>
      <c r="H26">
        <v>3.33</v>
      </c>
      <c r="I26">
        <v>3.54580439994491</v>
      </c>
      <c r="J26" s="5">
        <f t="shared" si="1"/>
        <v>0.0465715390355827</v>
      </c>
      <c r="K26" s="5">
        <f t="shared" si="2"/>
        <v>0.015625</v>
      </c>
      <c r="L26" s="12"/>
      <c r="M26" s="12"/>
      <c r="N26">
        <v>3.33</v>
      </c>
      <c r="O26">
        <v>3.47301204903861</v>
      </c>
      <c r="P26" s="5">
        <f t="shared" si="3"/>
        <v>0.0204524461702217</v>
      </c>
      <c r="Q26" s="5">
        <f t="shared" si="4"/>
        <v>0.015625</v>
      </c>
      <c r="R26" s="13"/>
      <c r="S26" s="13"/>
      <c r="T26">
        <v>3.33</v>
      </c>
      <c r="U26">
        <v>3.51199991245669</v>
      </c>
      <c r="V26" s="5">
        <f t="shared" si="5"/>
        <v>0.0331239681342428</v>
      </c>
      <c r="W26" s="5">
        <f t="shared" si="6"/>
        <v>0.015625</v>
      </c>
      <c r="X26" s="13"/>
      <c r="Y26" s="13"/>
      <c r="Z26">
        <v>3.33</v>
      </c>
      <c r="AA26">
        <v>3.73491683333333</v>
      </c>
      <c r="AB26" s="5">
        <f t="shared" si="7"/>
        <v>0.163957641916692</v>
      </c>
      <c r="AC26" s="5">
        <f t="shared" si="8"/>
        <v>0.015625</v>
      </c>
      <c r="AD26" s="13"/>
      <c r="AE26" s="13"/>
      <c r="AF26">
        <v>3.33</v>
      </c>
      <c r="AG26">
        <v>3.60111999511719</v>
      </c>
      <c r="AH26" s="5">
        <f t="shared" si="9"/>
        <v>0.0735060517523452</v>
      </c>
      <c r="AI26" s="5">
        <f t="shared" si="10"/>
        <v>0.015625</v>
      </c>
      <c r="AJ26" s="13"/>
      <c r="AK26" s="13"/>
    </row>
    <row r="27" spans="2:37">
      <c r="B27">
        <v>3.45</v>
      </c>
      <c r="C27">
        <v>3.48830322443922</v>
      </c>
      <c r="D27" s="5">
        <f t="shared" si="11"/>
        <v>0.00146713700244123</v>
      </c>
      <c r="E27" s="5">
        <f t="shared" si="0"/>
        <v>2.49999999999989e-5</v>
      </c>
      <c r="F27" s="5"/>
      <c r="G27" s="5"/>
      <c r="H27">
        <v>3.45</v>
      </c>
      <c r="I27">
        <v>3.50836208033783</v>
      </c>
      <c r="J27" s="5">
        <f t="shared" si="1"/>
        <v>0.00340613242135932</v>
      </c>
      <c r="K27" s="5">
        <f t="shared" si="2"/>
        <v>2.49999999999989e-5</v>
      </c>
      <c r="L27" s="12"/>
      <c r="M27" s="12"/>
      <c r="N27">
        <v>3.45</v>
      </c>
      <c r="O27">
        <v>3.45320846704528</v>
      </c>
      <c r="P27" s="5">
        <f t="shared" si="3"/>
        <v>1.02942607806456e-5</v>
      </c>
      <c r="Q27" s="5">
        <f t="shared" si="4"/>
        <v>2.49999999999989e-5</v>
      </c>
      <c r="R27" s="13"/>
      <c r="S27" s="13"/>
      <c r="T27">
        <v>3.45</v>
      </c>
      <c r="U27">
        <v>3.48830322443922</v>
      </c>
      <c r="V27" s="5">
        <f t="shared" si="5"/>
        <v>0.00146713700244123</v>
      </c>
      <c r="W27" s="5">
        <f t="shared" si="6"/>
        <v>2.49999999999989e-5</v>
      </c>
      <c r="X27" s="13"/>
      <c r="Y27" s="13"/>
      <c r="Z27">
        <v>3.45</v>
      </c>
      <c r="AA27">
        <v>3.7071245</v>
      </c>
      <c r="AB27" s="5">
        <f t="shared" si="7"/>
        <v>0.0661130085002499</v>
      </c>
      <c r="AC27" s="5">
        <f t="shared" si="8"/>
        <v>2.49999999999989e-5</v>
      </c>
      <c r="AD27" s="13"/>
      <c r="AE27" s="13"/>
      <c r="AF27">
        <v>3.45</v>
      </c>
      <c r="AG27">
        <v>3.56288003921509</v>
      </c>
      <c r="AH27" s="5">
        <f t="shared" si="9"/>
        <v>0.0127419032532002</v>
      </c>
      <c r="AI27" s="5">
        <f t="shared" si="10"/>
        <v>2.49999999999989e-5</v>
      </c>
      <c r="AJ27" s="13"/>
      <c r="AK27" s="13"/>
    </row>
    <row r="28" spans="1:37">
      <c r="A28" t="s">
        <v>9</v>
      </c>
      <c r="B28" s="8">
        <f>AVERAGE(B22:B27)</f>
        <v>3.455</v>
      </c>
      <c r="C28" s="6">
        <f>AVERAGE(C22:D27)</f>
        <v>1.78969876625681</v>
      </c>
      <c r="D28" s="6">
        <f>SUM(D22:D27)</f>
        <v>0.168303009228379</v>
      </c>
      <c r="E28" s="6">
        <f>SUM(E22:E27)</f>
        <v>0.48035</v>
      </c>
      <c r="F28" s="6">
        <f>(CORREL(B22:B27,C22:C27))^2</f>
        <v>0.892290340562803</v>
      </c>
      <c r="G28" s="6">
        <f>SQRT(D28/6)</f>
        <v>0.167482839533079</v>
      </c>
      <c r="H28">
        <f>AVERAGE(H22:H27)</f>
        <v>3.455</v>
      </c>
      <c r="I28" s="14"/>
      <c r="J28" s="14">
        <f>SUM(J22:J27)</f>
        <v>0.337540021642852</v>
      </c>
      <c r="K28" s="14">
        <f>SUM(K22:K27)</f>
        <v>0.48035</v>
      </c>
      <c r="L28" s="6">
        <f>(CORREL(H22:H27,I22:I27))^2</f>
        <v>0.866734369971246</v>
      </c>
      <c r="M28" s="6">
        <f>SQRT(J28/6)</f>
        <v>0.237184886267672</v>
      </c>
      <c r="N28">
        <f>AVERAGE(N22:N27)</f>
        <v>3.455</v>
      </c>
      <c r="O28" s="14"/>
      <c r="P28" s="14">
        <f>SUM(P22:P27)</f>
        <v>0.3883606572081</v>
      </c>
      <c r="Q28" s="14">
        <f>SUM(Q22:Q27)</f>
        <v>0.48035</v>
      </c>
      <c r="R28" s="6">
        <f>(CORREL(N22:N27,O22:O27))^2</f>
        <v>0.399309896262883</v>
      </c>
      <c r="S28" s="6">
        <f>SQRT(P28/6)</f>
        <v>0.254414575449894</v>
      </c>
      <c r="T28">
        <f>AVERAGE(T22:T27)</f>
        <v>3.455</v>
      </c>
      <c r="U28" s="14"/>
      <c r="V28" s="14">
        <f>SUM(V22:V27)</f>
        <v>0.168303009228379</v>
      </c>
      <c r="W28" s="14">
        <f>SUM(W22:W27)</f>
        <v>0.48035</v>
      </c>
      <c r="X28" s="6">
        <f>(CORREL(T22:T27,U22:U27))^2</f>
        <v>0.892290340562803</v>
      </c>
      <c r="Y28" s="6">
        <f>SQRT(V28/6)</f>
        <v>0.167482839533079</v>
      </c>
      <c r="Z28">
        <f>AVERAGE(Z22:Z27)</f>
        <v>3.455</v>
      </c>
      <c r="AA28" s="14"/>
      <c r="AB28" s="14">
        <f>SUM(AB22:AB27)</f>
        <v>0.354611837686864</v>
      </c>
      <c r="AC28" s="14">
        <f>SUM(AC22:AC27)</f>
        <v>0.48035</v>
      </c>
      <c r="AD28" s="6">
        <f>(CORREL(Z22:Z27,AA22:AA27))^2</f>
        <v>0.662975105369577</v>
      </c>
      <c r="AE28" s="6">
        <f>SQRT(AB28/6)</f>
        <v>0.243108973400429</v>
      </c>
      <c r="AF28">
        <f>AVERAGE(AF22:AF27)</f>
        <v>3.455</v>
      </c>
      <c r="AG28" s="14"/>
      <c r="AH28" s="14">
        <f>SUM(AH22:AH27)</f>
        <v>0.326612554085768</v>
      </c>
      <c r="AI28" s="14">
        <f>SUM(AI22:AI27)</f>
        <v>0.48035</v>
      </c>
      <c r="AJ28" s="6">
        <f>(CORREL(AF22:AF27,AG22:AG27))^2</f>
        <v>0.929606717602686</v>
      </c>
      <c r="AK28" s="6">
        <f>SQRT(AH28/6)</f>
        <v>0.233314006611179</v>
      </c>
    </row>
    <row r="31" spans="2:31">
      <c r="B31" t="s">
        <v>0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>
        <v>3.71</v>
      </c>
      <c r="C32">
        <v>3.69967342376607</v>
      </c>
      <c r="D32" s="5">
        <f>(B32-C32)^2</f>
        <v>0.000106638176715167</v>
      </c>
      <c r="E32" s="5">
        <f t="shared" ref="E32:E37" si="12">(B32-avgLogEff)^2</f>
        <v>0.0650249999999999</v>
      </c>
      <c r="F32" s="5"/>
      <c r="G32" s="5"/>
      <c r="H32">
        <v>3.71</v>
      </c>
      <c r="I32">
        <v>3.7840931386337</v>
      </c>
      <c r="J32" s="5">
        <f t="shared" ref="J32:J37" si="13">(H32-I32)^2</f>
        <v>0.00548979319259269</v>
      </c>
      <c r="K32" s="5">
        <f t="shared" ref="K32:K37" si="14">(H32-avgLogEff)^2</f>
        <v>0.0650249999999999</v>
      </c>
      <c r="L32" s="12"/>
      <c r="M32" s="12"/>
      <c r="N32">
        <v>3.71</v>
      </c>
      <c r="O32">
        <v>3.67314418176488</v>
      </c>
      <c r="P32" s="5">
        <f t="shared" ref="P32:P37" si="15">(N32-O32)^2</f>
        <v>0.00135835133778022</v>
      </c>
      <c r="Q32" s="5">
        <f t="shared" ref="Q32:Q37" si="16">(N32-avgLogEff)^2</f>
        <v>0.0650249999999999</v>
      </c>
      <c r="R32" s="13"/>
      <c r="S32" s="13"/>
      <c r="T32">
        <v>3.71</v>
      </c>
      <c r="U32">
        <v>3.6934010981446</v>
      </c>
      <c r="V32" s="5">
        <f t="shared" ref="V32:V37" si="17">(T32-U32)^2</f>
        <v>0.000275523542805195</v>
      </c>
      <c r="W32" s="5">
        <f t="shared" ref="W32:W37" si="18">(T32-avgLogEff)^2</f>
        <v>0.0650249999999999</v>
      </c>
      <c r="X32" s="12"/>
      <c r="Y32" s="12"/>
      <c r="Z32">
        <v>3.71</v>
      </c>
      <c r="AA32">
        <v>3.69954634899421</v>
      </c>
      <c r="AB32" s="5">
        <f t="shared" ref="AB32:AB37" si="19">(Z32-AA32)^2</f>
        <v>0.000109278819350849</v>
      </c>
      <c r="AC32" s="5">
        <f t="shared" ref="AC32:AC37" si="20">(Z32-avgLogEff)^2</f>
        <v>0.0650249999999999</v>
      </c>
      <c r="AD32" s="13"/>
      <c r="AE32" s="13"/>
    </row>
    <row r="33" spans="2:31">
      <c r="B33">
        <v>3.75</v>
      </c>
      <c r="C33">
        <v>3.61007841270015</v>
      </c>
      <c r="D33" s="5">
        <f t="shared" ref="D33:D37" si="21">(B33-C33)^2</f>
        <v>0.0195780505925095</v>
      </c>
      <c r="E33" s="5">
        <f t="shared" si="12"/>
        <v>0.087025</v>
      </c>
      <c r="F33" s="5"/>
      <c r="G33" s="5"/>
      <c r="H33">
        <v>3.75</v>
      </c>
      <c r="I33">
        <v>3.63332704282997</v>
      </c>
      <c r="J33" s="5">
        <f t="shared" si="13"/>
        <v>0.0136125789347996</v>
      </c>
      <c r="K33" s="5">
        <f t="shared" si="14"/>
        <v>0.087025</v>
      </c>
      <c r="L33" s="12"/>
      <c r="M33" s="12"/>
      <c r="N33">
        <v>3.75</v>
      </c>
      <c r="O33">
        <v>3.58137131239799</v>
      </c>
      <c r="P33" s="5">
        <f t="shared" si="15"/>
        <v>0.0284356342823763</v>
      </c>
      <c r="Q33" s="5">
        <f t="shared" si="16"/>
        <v>0.087025</v>
      </c>
      <c r="R33" s="13"/>
      <c r="S33" s="13"/>
      <c r="T33">
        <v>3.75</v>
      </c>
      <c r="U33">
        <v>3.69000274909459</v>
      </c>
      <c r="V33" s="5">
        <f t="shared" si="17"/>
        <v>0.0035996701162067</v>
      </c>
      <c r="W33" s="5">
        <f t="shared" si="18"/>
        <v>0.087025</v>
      </c>
      <c r="X33" s="12"/>
      <c r="Y33" s="12"/>
      <c r="Z33">
        <v>3.75</v>
      </c>
      <c r="AA33">
        <v>3.69024554108686</v>
      </c>
      <c r="AB33" s="5">
        <f t="shared" si="19"/>
        <v>0.00357059536000211</v>
      </c>
      <c r="AC33" s="5">
        <f t="shared" si="20"/>
        <v>0.087025</v>
      </c>
      <c r="AD33" s="13"/>
      <c r="AE33" s="13"/>
    </row>
    <row r="34" spans="2:31">
      <c r="B34">
        <v>2.91</v>
      </c>
      <c r="C34">
        <v>3.3122634943169</v>
      </c>
      <c r="D34" s="5">
        <f t="shared" si="21"/>
        <v>0.161815918860043</v>
      </c>
      <c r="E34" s="5">
        <f t="shared" si="12"/>
        <v>0.297025</v>
      </c>
      <c r="F34" s="5"/>
      <c r="G34" s="5"/>
      <c r="H34">
        <v>2.91</v>
      </c>
      <c r="I34">
        <v>3.25449222544394</v>
      </c>
      <c r="J34" s="5">
        <f t="shared" si="13"/>
        <v>0.118674893391318</v>
      </c>
      <c r="K34" s="5">
        <f t="shared" si="14"/>
        <v>0.297025</v>
      </c>
      <c r="L34" s="12"/>
      <c r="M34" s="12"/>
      <c r="N34">
        <v>2.91</v>
      </c>
      <c r="O34">
        <v>3.37896977594326</v>
      </c>
      <c r="P34" s="5">
        <f t="shared" si="15"/>
        <v>0.219932650748271</v>
      </c>
      <c r="Q34" s="5">
        <f t="shared" si="16"/>
        <v>0.297025</v>
      </c>
      <c r="R34" s="13"/>
      <c r="S34" s="13"/>
      <c r="T34">
        <v>2.91</v>
      </c>
      <c r="U34">
        <v>3.44340799664812</v>
      </c>
      <c r="V34" s="5">
        <f t="shared" si="17"/>
        <v>0.284524090888161</v>
      </c>
      <c r="W34" s="5">
        <f t="shared" si="18"/>
        <v>0.297025</v>
      </c>
      <c r="X34" s="12"/>
      <c r="Y34" s="12"/>
      <c r="Z34">
        <v>2.91</v>
      </c>
      <c r="AA34">
        <v>3.44629090436514</v>
      </c>
      <c r="AB34" s="5">
        <f t="shared" si="19"/>
        <v>0.28760793410478</v>
      </c>
      <c r="AC34" s="5">
        <f t="shared" si="20"/>
        <v>0.297025</v>
      </c>
      <c r="AD34" s="13"/>
      <c r="AE34" s="13"/>
    </row>
    <row r="35" spans="2:31">
      <c r="B35">
        <v>3.58</v>
      </c>
      <c r="C35">
        <v>3.62391562404277</v>
      </c>
      <c r="D35" s="5">
        <f t="shared" si="21"/>
        <v>0.00192858203506592</v>
      </c>
      <c r="E35" s="5">
        <f t="shared" si="12"/>
        <v>0.015625</v>
      </c>
      <c r="F35" s="5"/>
      <c r="G35" s="5"/>
      <c r="H35">
        <v>3.58</v>
      </c>
      <c r="I35">
        <v>3.61913585178126</v>
      </c>
      <c r="J35" s="5">
        <f t="shared" si="13"/>
        <v>0.00153161489464476</v>
      </c>
      <c r="K35" s="5">
        <f t="shared" si="14"/>
        <v>0.015625</v>
      </c>
      <c r="L35" s="12"/>
      <c r="M35" s="12"/>
      <c r="N35">
        <v>3.58</v>
      </c>
      <c r="O35">
        <v>3.58656125098622</v>
      </c>
      <c r="P35" s="5">
        <f t="shared" si="15"/>
        <v>4.30500145041709e-5</v>
      </c>
      <c r="Q35" s="5">
        <f t="shared" si="16"/>
        <v>0.015625</v>
      </c>
      <c r="R35" s="13"/>
      <c r="S35" s="13"/>
      <c r="T35">
        <v>3.58</v>
      </c>
      <c r="U35">
        <v>3.68216977422039</v>
      </c>
      <c r="V35" s="5">
        <f t="shared" si="17"/>
        <v>0.0104386627642455</v>
      </c>
      <c r="W35" s="5">
        <f t="shared" si="18"/>
        <v>0.015625</v>
      </c>
      <c r="X35" s="12"/>
      <c r="Y35" s="12"/>
      <c r="Z35">
        <v>3.58</v>
      </c>
      <c r="AA35">
        <v>3.68303660897057</v>
      </c>
      <c r="AB35" s="5">
        <f t="shared" si="19"/>
        <v>0.0106165427881541</v>
      </c>
      <c r="AC35" s="5">
        <f t="shared" si="20"/>
        <v>0.015625</v>
      </c>
      <c r="AD35" s="13"/>
      <c r="AE35" s="13"/>
    </row>
    <row r="36" spans="2:31">
      <c r="B36">
        <v>3.33</v>
      </c>
      <c r="C36">
        <v>3.54835213754046</v>
      </c>
      <c r="D36" s="5">
        <f t="shared" si="21"/>
        <v>0.0476776559684879</v>
      </c>
      <c r="E36" s="5">
        <f t="shared" si="12"/>
        <v>0.015625</v>
      </c>
      <c r="F36" s="5"/>
      <c r="G36" s="5"/>
      <c r="H36">
        <v>3.33</v>
      </c>
      <c r="I36">
        <v>3.5181648563671</v>
      </c>
      <c r="J36" s="5">
        <f t="shared" si="13"/>
        <v>0.0354060131716513</v>
      </c>
      <c r="K36" s="5">
        <f t="shared" si="14"/>
        <v>0.015625</v>
      </c>
      <c r="L36" s="12"/>
      <c r="M36" s="12"/>
      <c r="N36">
        <v>3.33</v>
      </c>
      <c r="O36">
        <v>3.51220559160341</v>
      </c>
      <c r="P36" s="5">
        <f t="shared" si="15"/>
        <v>0.0331988776115486</v>
      </c>
      <c r="Q36" s="5">
        <f t="shared" si="16"/>
        <v>0.015625</v>
      </c>
      <c r="R36" s="13"/>
      <c r="S36" s="13"/>
      <c r="T36">
        <v>3.33</v>
      </c>
      <c r="U36">
        <v>3.58344974344212</v>
      </c>
      <c r="V36" s="5">
        <f t="shared" si="17"/>
        <v>0.0642367724508765</v>
      </c>
      <c r="W36" s="5">
        <f t="shared" si="18"/>
        <v>0.015625</v>
      </c>
      <c r="X36" s="12"/>
      <c r="Y36" s="12"/>
      <c r="Z36">
        <v>3.33</v>
      </c>
      <c r="AA36">
        <v>3.58549379891097</v>
      </c>
      <c r="AB36" s="5">
        <f t="shared" si="19"/>
        <v>0.0652770812819591</v>
      </c>
      <c r="AC36" s="5">
        <f t="shared" si="20"/>
        <v>0.015625</v>
      </c>
      <c r="AD36" s="13"/>
      <c r="AE36" s="13"/>
    </row>
    <row r="37" spans="2:31">
      <c r="B37">
        <v>3.45</v>
      </c>
      <c r="C37">
        <v>3.5162324635813</v>
      </c>
      <c r="D37" s="5">
        <f t="shared" si="21"/>
        <v>0.00438673923204821</v>
      </c>
      <c r="E37" s="5">
        <f t="shared" si="12"/>
        <v>2.49999999999989e-5</v>
      </c>
      <c r="F37" s="5"/>
      <c r="G37" s="5"/>
      <c r="H37">
        <v>3.45</v>
      </c>
      <c r="I37">
        <v>3.59478080830921</v>
      </c>
      <c r="J37" s="5">
        <f t="shared" si="13"/>
        <v>0.0209614824546681</v>
      </c>
      <c r="K37" s="5">
        <f t="shared" si="14"/>
        <v>2.49999999999989e-5</v>
      </c>
      <c r="L37" s="12"/>
      <c r="M37" s="12"/>
      <c r="N37">
        <v>3.45</v>
      </c>
      <c r="O37">
        <v>3.50186305391451</v>
      </c>
      <c r="P37" s="5">
        <f t="shared" si="15"/>
        <v>0.00268977636133934</v>
      </c>
      <c r="Q37" s="5">
        <f t="shared" si="16"/>
        <v>2.49999999999989e-5</v>
      </c>
      <c r="R37" s="13"/>
      <c r="S37" s="13"/>
      <c r="T37">
        <v>3.45</v>
      </c>
      <c r="U37">
        <v>3.55121459971857</v>
      </c>
      <c r="V37" s="5">
        <f t="shared" si="17"/>
        <v>0.0102443951961903</v>
      </c>
      <c r="W37" s="5">
        <f t="shared" si="18"/>
        <v>2.49999999999989e-5</v>
      </c>
      <c r="X37" s="12"/>
      <c r="Y37" s="12"/>
      <c r="Z37">
        <v>3.45</v>
      </c>
      <c r="AA37">
        <v>3.55227960128687</v>
      </c>
      <c r="AB37" s="5">
        <f t="shared" si="19"/>
        <v>0.0104611168394011</v>
      </c>
      <c r="AC37" s="5">
        <f t="shared" si="20"/>
        <v>2.49999999999989e-5</v>
      </c>
      <c r="AD37" s="13"/>
      <c r="AE37" s="13"/>
    </row>
    <row r="38" spans="3:31">
      <c r="C38" s="6">
        <f>AVERAGE(C32:D37)</f>
        <v>1.79550076173438</v>
      </c>
      <c r="D38" s="6">
        <f>SUM(D32:D37)</f>
        <v>0.235493584864869</v>
      </c>
      <c r="E38" s="6">
        <f>SUM(E32:E37)</f>
        <v>0.48035</v>
      </c>
      <c r="F38" s="6">
        <f>(CORREL(B32:B37,C32:C37))^2</f>
        <v>0.888912202251703</v>
      </c>
      <c r="G38" s="6">
        <f>SQRT(D38/6)</f>
        <v>0.198113429153128</v>
      </c>
      <c r="H38">
        <f>AVERAGE(H32:H37)</f>
        <v>3.455</v>
      </c>
      <c r="I38" s="14"/>
      <c r="J38" s="14">
        <f>SUM(J32:J37)</f>
        <v>0.195676376039675</v>
      </c>
      <c r="K38" s="14">
        <f>SUM(K32:K37)</f>
        <v>0.48035</v>
      </c>
      <c r="L38" s="6">
        <f>(CORREL(H32:H37,I32:I37))^2</f>
        <v>0.891748872103039</v>
      </c>
      <c r="M38" s="6">
        <f>SQRT(J38/6)</f>
        <v>0.180589948058982</v>
      </c>
      <c r="N38">
        <f>AVERAGE(N32:N37)</f>
        <v>3.455</v>
      </c>
      <c r="O38" s="14"/>
      <c r="P38" s="14">
        <f>SUM(P32:P37)</f>
        <v>0.28565834035582</v>
      </c>
      <c r="Q38" s="14">
        <f>SUM(Q32:Q37)</f>
        <v>0.48035</v>
      </c>
      <c r="R38" s="6">
        <f>(CORREL(N32:N37,O32:O37))^2</f>
        <v>0.860375546040273</v>
      </c>
      <c r="S38" s="6">
        <f>SQRT(P38/6)</f>
        <v>0.218196524703389</v>
      </c>
      <c r="T38">
        <f>AVERAGE(T32:T37)</f>
        <v>3.455</v>
      </c>
      <c r="U38" s="14"/>
      <c r="V38" s="14">
        <f>SUM(V32:V37)</f>
        <v>0.373319114958485</v>
      </c>
      <c r="W38" s="14">
        <f>SUM(W32:W37)</f>
        <v>0.48035</v>
      </c>
      <c r="X38" s="6">
        <f>(CORREL(T32:T37,U32:U37))^2</f>
        <v>0.907764348441132</v>
      </c>
      <c r="Y38" s="6">
        <f>SQRT(V38/6)</f>
        <v>0.249439075714052</v>
      </c>
      <c r="Z38">
        <f>AVERAGE(Z32:Z37)</f>
        <v>3.455</v>
      </c>
      <c r="AA38" s="14"/>
      <c r="AB38" s="14">
        <f>SUM(AB32:AB37)</f>
        <v>0.377642549193647</v>
      </c>
      <c r="AC38" s="14">
        <f>SUM(AC32:AC37)</f>
        <v>0.48035</v>
      </c>
      <c r="AD38" s="6">
        <f>(CORREL(Z32:Z37,AA32:AA37))^2</f>
        <v>0.905110974818334</v>
      </c>
      <c r="AE38" s="6">
        <f>SQRT(AB38/6)</f>
        <v>0.250879303382339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114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si="22"/>
        <v>104.796</v>
      </c>
      <c r="D83" s="5">
        <f t="shared" si="24"/>
        <v>25.9692159999999</v>
      </c>
      <c r="E83" s="5">
        <f t="shared" ref="E83:E114" si="25">(B83-Ybar_height)^2</f>
        <v>103.848837890625</v>
      </c>
    </row>
    <row r="84" spans="1:5">
      <c r="A84" s="10">
        <v>61</v>
      </c>
      <c r="B84" s="10">
        <v>107.5</v>
      </c>
      <c r="C84">
        <f t="shared" si="22"/>
        <v>106.084</v>
      </c>
      <c r="D84" s="5">
        <f t="shared" si="24"/>
        <v>2.00505599999999</v>
      </c>
      <c r="E84" s="5">
        <f t="shared" si="25"/>
        <v>5.715087890625</v>
      </c>
    </row>
    <row r="85" spans="1:5">
      <c r="A85" s="10">
        <v>59</v>
      </c>
      <c r="B85" s="10">
        <v>99.3</v>
      </c>
      <c r="C85">
        <f t="shared" si="22"/>
        <v>104.796</v>
      </c>
      <c r="D85" s="5">
        <f t="shared" si="24"/>
        <v>30.2060159999999</v>
      </c>
      <c r="E85" s="5">
        <f t="shared" si="25"/>
        <v>112.161337890625</v>
      </c>
    </row>
    <row r="86" spans="1:5">
      <c r="A86" s="10">
        <v>57</v>
      </c>
      <c r="B86" s="10">
        <v>105.7</v>
      </c>
      <c r="C86">
        <f t="shared" si="22"/>
        <v>103.508</v>
      </c>
      <c r="D86" s="5">
        <f t="shared" si="24"/>
        <v>4.80486400000003</v>
      </c>
      <c r="E86" s="5">
        <f t="shared" si="25"/>
        <v>17.561337890625</v>
      </c>
    </row>
    <row r="87" spans="1:5">
      <c r="A87" s="10">
        <v>57</v>
      </c>
      <c r="B87" s="10">
        <v>100.5</v>
      </c>
      <c r="C87">
        <f t="shared" si="22"/>
        <v>103.508</v>
      </c>
      <c r="D87" s="5">
        <f t="shared" si="24"/>
        <v>9.04806399999997</v>
      </c>
      <c r="E87" s="5">
        <f t="shared" si="25"/>
        <v>88.183837890625</v>
      </c>
    </row>
    <row r="88" spans="1:5">
      <c r="A88" s="10">
        <v>61</v>
      </c>
      <c r="B88" s="10">
        <v>102.5</v>
      </c>
      <c r="C88">
        <f t="shared" si="22"/>
        <v>106.084</v>
      </c>
      <c r="D88" s="5">
        <f t="shared" si="24"/>
        <v>12.845056</v>
      </c>
      <c r="E88" s="5">
        <f t="shared" si="25"/>
        <v>54.621337890625</v>
      </c>
    </row>
    <row r="89" spans="1:5">
      <c r="A89" s="10">
        <v>65</v>
      </c>
      <c r="B89" s="10">
        <v>110.5</v>
      </c>
      <c r="C89">
        <f t="shared" si="22"/>
        <v>108.66</v>
      </c>
      <c r="D89" s="5">
        <f t="shared" si="24"/>
        <v>3.38560000000001</v>
      </c>
      <c r="E89" s="5">
        <f t="shared" si="25"/>
        <v>0.371337890625</v>
      </c>
    </row>
    <row r="90" spans="1:5">
      <c r="A90" s="10">
        <v>65</v>
      </c>
      <c r="B90" s="10">
        <v>116.2</v>
      </c>
      <c r="C90">
        <f t="shared" si="22"/>
        <v>108.66</v>
      </c>
      <c r="D90" s="5">
        <f t="shared" si="24"/>
        <v>56.8516000000001</v>
      </c>
      <c r="E90" s="5">
        <f t="shared" si="25"/>
        <v>39.808212890625</v>
      </c>
    </row>
    <row r="91" spans="1:5">
      <c r="A91" s="10">
        <v>65</v>
      </c>
      <c r="B91" s="10">
        <v>106.8</v>
      </c>
      <c r="C91">
        <f t="shared" si="22"/>
        <v>108.66</v>
      </c>
      <c r="D91" s="5">
        <f t="shared" si="24"/>
        <v>3.4596</v>
      </c>
      <c r="E91" s="5">
        <f t="shared" si="25"/>
        <v>9.55196289062502</v>
      </c>
    </row>
    <row r="92" spans="1:5">
      <c r="A92" s="10">
        <v>68</v>
      </c>
      <c r="B92" s="10">
        <v>104.2</v>
      </c>
      <c r="C92">
        <f t="shared" si="22"/>
        <v>110.592</v>
      </c>
      <c r="D92" s="5">
        <f t="shared" si="24"/>
        <v>40.857664</v>
      </c>
      <c r="E92" s="5">
        <f t="shared" si="25"/>
        <v>32.383212890625</v>
      </c>
    </row>
    <row r="93" spans="1:5">
      <c r="A93" s="10">
        <v>64</v>
      </c>
      <c r="B93" s="10">
        <v>111.5</v>
      </c>
      <c r="C93">
        <f t="shared" si="22"/>
        <v>108.016</v>
      </c>
      <c r="D93" s="5">
        <f t="shared" si="24"/>
        <v>12.1382560000001</v>
      </c>
      <c r="E93" s="5">
        <f t="shared" si="25"/>
        <v>2.590087890625</v>
      </c>
    </row>
    <row r="94" spans="1:5">
      <c r="A94" s="10">
        <v>60</v>
      </c>
      <c r="B94" s="10">
        <v>109.3</v>
      </c>
      <c r="C94">
        <f t="shared" si="22"/>
        <v>105.44</v>
      </c>
      <c r="D94" s="5">
        <f t="shared" si="24"/>
        <v>14.8996</v>
      </c>
      <c r="E94" s="5">
        <f t="shared" si="25"/>
        <v>0.348837890625003</v>
      </c>
    </row>
    <row r="95" spans="1:5">
      <c r="A95" s="10">
        <v>65</v>
      </c>
      <c r="B95" s="10">
        <v>109.3</v>
      </c>
      <c r="C95">
        <f t="shared" si="22"/>
        <v>108.66</v>
      </c>
      <c r="D95" s="5">
        <f t="shared" si="24"/>
        <v>0.409600000000001</v>
      </c>
      <c r="E95" s="5">
        <f t="shared" si="25"/>
        <v>0.348837890625003</v>
      </c>
    </row>
    <row r="96" spans="1:5">
      <c r="A96" s="10">
        <v>66</v>
      </c>
      <c r="B96" s="10">
        <v>107.5</v>
      </c>
      <c r="C96">
        <f t="shared" si="22"/>
        <v>109.304</v>
      </c>
      <c r="D96" s="5">
        <f t="shared" si="24"/>
        <v>3.25441600000001</v>
      </c>
      <c r="E96" s="5">
        <f t="shared" si="25"/>
        <v>5.715087890625</v>
      </c>
    </row>
    <row r="97" spans="1:5">
      <c r="A97" s="10">
        <v>66</v>
      </c>
      <c r="B97" s="10">
        <v>109.2</v>
      </c>
      <c r="C97">
        <f t="shared" si="22"/>
        <v>109.304</v>
      </c>
      <c r="D97" s="5">
        <f t="shared" si="24"/>
        <v>0.0108159999999998</v>
      </c>
      <c r="E97" s="5">
        <f t="shared" si="25"/>
        <v>0.476962890624996</v>
      </c>
    </row>
    <row r="98" spans="1:5">
      <c r="A98" s="10">
        <v>66</v>
      </c>
      <c r="B98" s="10">
        <v>109.4</v>
      </c>
      <c r="C98">
        <f t="shared" si="22"/>
        <v>109.304</v>
      </c>
      <c r="D98" s="5">
        <f t="shared" si="24"/>
        <v>0.0092160000000007</v>
      </c>
      <c r="E98" s="5">
        <f t="shared" si="25"/>
        <v>0.240712890624994</v>
      </c>
    </row>
    <row r="99" spans="1:5">
      <c r="A99" s="10">
        <v>60</v>
      </c>
      <c r="B99" s="10">
        <v>101.7</v>
      </c>
      <c r="C99">
        <f t="shared" si="22"/>
        <v>105.44</v>
      </c>
      <c r="D99" s="5">
        <f t="shared" si="24"/>
        <v>13.9876</v>
      </c>
      <c r="E99" s="5">
        <f t="shared" si="25"/>
        <v>67.0863378906249</v>
      </c>
    </row>
    <row r="100" spans="1:5">
      <c r="A100" s="10">
        <v>50</v>
      </c>
      <c r="B100" s="10">
        <v>105.7</v>
      </c>
      <c r="C100">
        <f t="shared" si="22"/>
        <v>99</v>
      </c>
      <c r="D100" s="5">
        <f t="shared" si="24"/>
        <v>44.89</v>
      </c>
      <c r="E100" s="5">
        <f t="shared" si="25"/>
        <v>17.561337890625</v>
      </c>
    </row>
    <row r="101" spans="1:5">
      <c r="A101" s="10">
        <v>74</v>
      </c>
      <c r="B101" s="10">
        <v>112.1</v>
      </c>
      <c r="C101">
        <f t="shared" si="22"/>
        <v>114.456</v>
      </c>
      <c r="D101" s="5">
        <f t="shared" si="24"/>
        <v>5.55073599999997</v>
      </c>
      <c r="E101" s="5">
        <f t="shared" si="25"/>
        <v>4.88133789062497</v>
      </c>
    </row>
    <row r="102" spans="1:5">
      <c r="A102" s="10">
        <v>74</v>
      </c>
      <c r="B102" s="10">
        <v>118.6</v>
      </c>
      <c r="C102">
        <f t="shared" si="22"/>
        <v>114.456</v>
      </c>
      <c r="D102" s="5">
        <f t="shared" si="24"/>
        <v>17.172736</v>
      </c>
      <c r="E102" s="5">
        <f t="shared" si="25"/>
        <v>75.8532128906249</v>
      </c>
    </row>
    <row r="103" spans="1:5">
      <c r="A103" s="10">
        <v>63</v>
      </c>
      <c r="B103" s="10">
        <v>109.6</v>
      </c>
      <c r="C103">
        <f t="shared" si="22"/>
        <v>107.372</v>
      </c>
      <c r="D103" s="5">
        <f t="shared" si="24"/>
        <v>4.96398399999998</v>
      </c>
      <c r="E103" s="5">
        <f t="shared" si="25"/>
        <v>0.0844628906250033</v>
      </c>
    </row>
    <row r="104" spans="1:5">
      <c r="A104" s="10">
        <v>73</v>
      </c>
      <c r="B104" s="10">
        <v>115</v>
      </c>
      <c r="C104">
        <f t="shared" si="22"/>
        <v>113.812</v>
      </c>
      <c r="D104" s="5">
        <f t="shared" si="24"/>
        <v>1.41134400000001</v>
      </c>
      <c r="E104" s="5">
        <f t="shared" si="25"/>
        <v>26.105712890625</v>
      </c>
    </row>
    <row r="105" spans="1:5">
      <c r="A105" s="10">
        <v>64</v>
      </c>
      <c r="B105" s="10">
        <v>106.8</v>
      </c>
      <c r="C105">
        <f t="shared" si="22"/>
        <v>108.016</v>
      </c>
      <c r="D105" s="5">
        <f t="shared" si="24"/>
        <v>1.47865599999999</v>
      </c>
      <c r="E105" s="5">
        <f t="shared" si="25"/>
        <v>9.55196289062502</v>
      </c>
    </row>
    <row r="106" spans="1:5">
      <c r="A106" s="10">
        <v>70</v>
      </c>
      <c r="B106" s="10">
        <v>112.2</v>
      </c>
      <c r="C106">
        <f t="shared" si="22"/>
        <v>111.88</v>
      </c>
      <c r="D106" s="5">
        <f t="shared" si="24"/>
        <v>0.102400000000005</v>
      </c>
      <c r="E106" s="5">
        <f t="shared" si="25"/>
        <v>5.33321289062501</v>
      </c>
    </row>
    <row r="107" spans="1:5">
      <c r="A107" s="10">
        <v>66</v>
      </c>
      <c r="B107" s="10">
        <v>108.8</v>
      </c>
      <c r="C107">
        <f t="shared" si="22"/>
        <v>109.304</v>
      </c>
      <c r="D107" s="5">
        <f t="shared" si="24"/>
        <v>0.254016000000005</v>
      </c>
      <c r="E107" s="5">
        <f t="shared" si="25"/>
        <v>1.18946289062501</v>
      </c>
    </row>
    <row r="108" spans="1:5">
      <c r="A108" s="10">
        <v>76</v>
      </c>
      <c r="B108" s="10">
        <v>119.1</v>
      </c>
      <c r="C108">
        <f t="shared" si="22"/>
        <v>115.744</v>
      </c>
      <c r="D108" s="5">
        <f t="shared" si="24"/>
        <v>11.262736</v>
      </c>
      <c r="E108" s="5">
        <f t="shared" si="25"/>
        <v>84.8125878906249</v>
      </c>
    </row>
    <row r="109" spans="1:5">
      <c r="A109" s="10">
        <v>76</v>
      </c>
      <c r="B109" s="10">
        <v>112.6</v>
      </c>
      <c r="C109">
        <f t="shared" si="22"/>
        <v>115.744</v>
      </c>
      <c r="D109" s="5">
        <f t="shared" si="24"/>
        <v>9.88473600000003</v>
      </c>
      <c r="E109" s="5">
        <f t="shared" si="25"/>
        <v>7.34071289062497</v>
      </c>
    </row>
    <row r="110" spans="1:5">
      <c r="A110" s="10">
        <v>66</v>
      </c>
      <c r="B110" s="10">
        <v>109.5</v>
      </c>
      <c r="C110">
        <f t="shared" si="22"/>
        <v>109.304</v>
      </c>
      <c r="D110" s="5">
        <f t="shared" si="24"/>
        <v>0.0384159999999992</v>
      </c>
      <c r="E110" s="5">
        <f t="shared" si="25"/>
        <v>0.152587890625</v>
      </c>
    </row>
    <row r="111" spans="1:5">
      <c r="A111" s="10">
        <v>68</v>
      </c>
      <c r="B111" s="10">
        <v>109</v>
      </c>
      <c r="C111">
        <f t="shared" si="22"/>
        <v>110.592</v>
      </c>
      <c r="D111" s="5">
        <f t="shared" si="24"/>
        <v>2.534464</v>
      </c>
      <c r="E111" s="5">
        <f t="shared" si="25"/>
        <v>0.793212890625</v>
      </c>
    </row>
    <row r="112" spans="1:5">
      <c r="A112" s="10">
        <v>62</v>
      </c>
      <c r="B112" s="10">
        <v>103.5</v>
      </c>
      <c r="C112">
        <f t="shared" si="22"/>
        <v>106.728</v>
      </c>
      <c r="D112" s="5">
        <f t="shared" si="24"/>
        <v>10.4199840000001</v>
      </c>
      <c r="E112" s="5">
        <f t="shared" si="25"/>
        <v>40.840087890625</v>
      </c>
    </row>
    <row r="113" spans="1:5">
      <c r="A113" s="10">
        <v>65</v>
      </c>
      <c r="B113" s="10">
        <v>115.8</v>
      </c>
      <c r="C113">
        <f t="shared" si="22"/>
        <v>108.66</v>
      </c>
      <c r="D113" s="5">
        <f t="shared" si="24"/>
        <v>50.9796</v>
      </c>
      <c r="E113" s="5">
        <f t="shared" si="25"/>
        <v>34.920712890625</v>
      </c>
    </row>
    <row r="114" spans="1:5">
      <c r="A114" s="10">
        <v>65</v>
      </c>
      <c r="B114" s="10">
        <v>109.8</v>
      </c>
      <c r="C114">
        <f t="shared" si="22"/>
        <v>108.66</v>
      </c>
      <c r="D114" s="5">
        <f t="shared" si="24"/>
        <v>1.2996</v>
      </c>
      <c r="E114" s="5">
        <f t="shared" si="25"/>
        <v>0.00821289062500052</v>
      </c>
    </row>
    <row r="115" spans="1:5">
      <c r="A115" s="10">
        <v>73</v>
      </c>
      <c r="B115" s="10">
        <v>109.5</v>
      </c>
      <c r="C115">
        <f t="shared" ref="C115:C146" si="26">66.8+0.644*A115</f>
        <v>113.812</v>
      </c>
      <c r="D115" s="5">
        <f t="shared" si="24"/>
        <v>18.593344</v>
      </c>
      <c r="E115" s="5">
        <f t="shared" ref="E115:E146" si="27">(B115-Ybar_height)^2</f>
        <v>0.152587890625</v>
      </c>
    </row>
    <row r="116" spans="1:5">
      <c r="A116" s="10">
        <v>75</v>
      </c>
      <c r="B116" s="10">
        <v>114</v>
      </c>
      <c r="C116">
        <f t="shared" si="26"/>
        <v>115.1</v>
      </c>
      <c r="D116" s="5">
        <f t="shared" ref="D116:D146" si="28">(B116-C116)^2</f>
        <v>1.20999999999999</v>
      </c>
      <c r="E116" s="5">
        <f t="shared" si="27"/>
        <v>16.886962890625</v>
      </c>
    </row>
    <row r="117" spans="1:5">
      <c r="A117" s="10">
        <v>75</v>
      </c>
      <c r="B117" s="10">
        <v>117</v>
      </c>
      <c r="C117">
        <f t="shared" si="26"/>
        <v>115.1</v>
      </c>
      <c r="D117" s="5">
        <f t="shared" si="28"/>
        <v>3.61000000000002</v>
      </c>
      <c r="E117" s="5">
        <f t="shared" si="27"/>
        <v>50.543212890625</v>
      </c>
    </row>
    <row r="118" spans="1:5">
      <c r="A118" s="10">
        <v>74</v>
      </c>
      <c r="B118" s="10">
        <v>113.2</v>
      </c>
      <c r="C118">
        <f t="shared" si="26"/>
        <v>114.456</v>
      </c>
      <c r="D118" s="5">
        <f t="shared" si="28"/>
        <v>1.57753599999996</v>
      </c>
      <c r="E118" s="5">
        <f t="shared" si="27"/>
        <v>10.951962890625</v>
      </c>
    </row>
    <row r="119" spans="1:5">
      <c r="A119" s="10">
        <v>64</v>
      </c>
      <c r="B119" s="10">
        <v>110.8</v>
      </c>
      <c r="C119">
        <f t="shared" si="26"/>
        <v>108.016</v>
      </c>
      <c r="D119" s="5">
        <f t="shared" si="28"/>
        <v>7.75065600000003</v>
      </c>
      <c r="E119" s="5">
        <f t="shared" si="27"/>
        <v>0.826962890624995</v>
      </c>
    </row>
    <row r="120" spans="1:5">
      <c r="A120" s="10">
        <v>73</v>
      </c>
      <c r="B120" s="10">
        <v>118.5</v>
      </c>
      <c r="C120">
        <f t="shared" si="26"/>
        <v>113.812</v>
      </c>
      <c r="D120" s="5">
        <f t="shared" si="28"/>
        <v>21.977344</v>
      </c>
      <c r="E120" s="5">
        <f t="shared" si="27"/>
        <v>74.121337890625</v>
      </c>
    </row>
    <row r="121" spans="1:5">
      <c r="A121" s="10">
        <v>65</v>
      </c>
      <c r="B121" s="10">
        <v>108.8</v>
      </c>
      <c r="C121">
        <f t="shared" si="26"/>
        <v>108.66</v>
      </c>
      <c r="D121" s="5">
        <f t="shared" si="28"/>
        <v>0.0196000000000002</v>
      </c>
      <c r="E121" s="5">
        <f t="shared" si="27"/>
        <v>1.18946289062501</v>
      </c>
    </row>
    <row r="122" spans="1:5">
      <c r="A122" s="10">
        <v>75</v>
      </c>
      <c r="B122" s="10">
        <v>115.3</v>
      </c>
      <c r="C122">
        <f t="shared" si="26"/>
        <v>115.1</v>
      </c>
      <c r="D122" s="5">
        <f t="shared" si="28"/>
        <v>0.0400000000000011</v>
      </c>
      <c r="E122" s="5">
        <f t="shared" si="27"/>
        <v>29.261337890625</v>
      </c>
    </row>
    <row r="123" spans="1:5">
      <c r="A123" s="10">
        <v>71</v>
      </c>
      <c r="B123" s="10">
        <v>110.8</v>
      </c>
      <c r="C123">
        <f t="shared" si="26"/>
        <v>112.524</v>
      </c>
      <c r="D123" s="5">
        <f t="shared" si="28"/>
        <v>2.97217600000001</v>
      </c>
      <c r="E123" s="5">
        <f t="shared" si="27"/>
        <v>0.826962890624995</v>
      </c>
    </row>
    <row r="124" spans="1:5">
      <c r="A124" s="10">
        <v>72</v>
      </c>
      <c r="B124" s="10">
        <v>116.2</v>
      </c>
      <c r="C124">
        <f t="shared" si="26"/>
        <v>113.168</v>
      </c>
      <c r="D124" s="5">
        <f t="shared" si="28"/>
        <v>9.19302399999998</v>
      </c>
      <c r="E124" s="5">
        <f t="shared" si="27"/>
        <v>39.808212890625</v>
      </c>
    </row>
    <row r="125" spans="1:5">
      <c r="A125" s="10">
        <v>73</v>
      </c>
      <c r="B125" s="10">
        <v>114.3</v>
      </c>
      <c r="C125">
        <f t="shared" si="26"/>
        <v>113.812</v>
      </c>
      <c r="D125" s="5">
        <f t="shared" si="28"/>
        <v>0.238144</v>
      </c>
      <c r="E125" s="5">
        <f t="shared" si="27"/>
        <v>19.442587890625</v>
      </c>
    </row>
    <row r="126" spans="1:5">
      <c r="A126" s="10">
        <v>75</v>
      </c>
      <c r="B126" s="10">
        <v>116.4</v>
      </c>
      <c r="C126">
        <f t="shared" si="26"/>
        <v>115.1</v>
      </c>
      <c r="D126" s="5">
        <f t="shared" si="28"/>
        <v>1.69000000000003</v>
      </c>
      <c r="E126" s="5">
        <f t="shared" si="27"/>
        <v>42.3719628906251</v>
      </c>
    </row>
    <row r="127" spans="1:5">
      <c r="A127" s="10">
        <v>77</v>
      </c>
      <c r="B127" s="10">
        <v>117.5</v>
      </c>
      <c r="C127">
        <f t="shared" si="26"/>
        <v>116.388</v>
      </c>
      <c r="D127" s="5">
        <f t="shared" si="28"/>
        <v>1.23654399999999</v>
      </c>
      <c r="E127" s="5">
        <f t="shared" si="27"/>
        <v>57.902587890625</v>
      </c>
    </row>
    <row r="128" spans="1:5">
      <c r="A128" s="10">
        <v>67</v>
      </c>
      <c r="B128" s="10">
        <v>119</v>
      </c>
      <c r="C128">
        <f t="shared" si="26"/>
        <v>109.948</v>
      </c>
      <c r="D128" s="5">
        <f t="shared" si="28"/>
        <v>81.9387039999999</v>
      </c>
      <c r="E128" s="5">
        <f t="shared" si="27"/>
        <v>82.980712890625</v>
      </c>
    </row>
    <row r="129" spans="1:5">
      <c r="A129" s="10">
        <v>78</v>
      </c>
      <c r="B129" s="10">
        <v>112.8</v>
      </c>
      <c r="C129">
        <f t="shared" si="26"/>
        <v>117.032</v>
      </c>
      <c r="D129" s="5">
        <f t="shared" si="28"/>
        <v>17.909824</v>
      </c>
      <c r="E129" s="5">
        <f t="shared" si="27"/>
        <v>8.46446289062498</v>
      </c>
    </row>
    <row r="130" spans="1:5">
      <c r="A130" s="10">
        <v>73</v>
      </c>
      <c r="B130" s="10">
        <v>113.6</v>
      </c>
      <c r="C130">
        <f t="shared" si="26"/>
        <v>113.812</v>
      </c>
      <c r="D130" s="5">
        <f t="shared" si="28"/>
        <v>0.0449440000000014</v>
      </c>
      <c r="E130" s="5">
        <f t="shared" si="27"/>
        <v>13.759462890625</v>
      </c>
    </row>
    <row r="131" spans="1:5">
      <c r="A131" s="10">
        <v>76</v>
      </c>
      <c r="B131" s="10">
        <v>119.9</v>
      </c>
      <c r="C131">
        <f t="shared" si="26"/>
        <v>115.744</v>
      </c>
      <c r="D131" s="5">
        <f t="shared" si="28"/>
        <v>17.272336</v>
      </c>
      <c r="E131" s="5">
        <f t="shared" si="27"/>
        <v>100.187587890625</v>
      </c>
    </row>
    <row r="132" spans="1:5">
      <c r="A132" s="10">
        <v>74</v>
      </c>
      <c r="B132" s="10">
        <v>108.2</v>
      </c>
      <c r="C132">
        <f t="shared" si="26"/>
        <v>114.456</v>
      </c>
      <c r="D132" s="5">
        <f t="shared" si="28"/>
        <v>39.1375359999998</v>
      </c>
      <c r="E132" s="5">
        <f t="shared" si="27"/>
        <v>2.85821289062499</v>
      </c>
    </row>
    <row r="133" spans="1:5">
      <c r="A133" s="10">
        <v>77</v>
      </c>
      <c r="B133" s="10">
        <v>120</v>
      </c>
      <c r="C133">
        <f t="shared" si="26"/>
        <v>116.388</v>
      </c>
      <c r="D133" s="5">
        <f t="shared" si="28"/>
        <v>13.046544</v>
      </c>
      <c r="E133" s="5">
        <f t="shared" si="27"/>
        <v>102.199462890625</v>
      </c>
    </row>
    <row r="134" spans="1:5">
      <c r="A134" s="10">
        <v>75</v>
      </c>
      <c r="B134" s="10">
        <v>125</v>
      </c>
      <c r="C134">
        <f t="shared" si="26"/>
        <v>115.1</v>
      </c>
      <c r="D134" s="5">
        <f t="shared" si="28"/>
        <v>98.0100000000001</v>
      </c>
      <c r="E134" s="5">
        <f t="shared" si="27"/>
        <v>228.293212890625</v>
      </c>
    </row>
    <row r="135" spans="1:5">
      <c r="A135" s="10">
        <v>77</v>
      </c>
      <c r="B135" s="10">
        <v>120.8</v>
      </c>
      <c r="C135">
        <f t="shared" si="26"/>
        <v>116.388</v>
      </c>
      <c r="D135" s="5">
        <f t="shared" si="28"/>
        <v>19.4657439999999</v>
      </c>
      <c r="E135" s="5">
        <f t="shared" si="27"/>
        <v>119.014462890625</v>
      </c>
    </row>
    <row r="136" spans="1:5">
      <c r="A136" s="10">
        <v>64</v>
      </c>
      <c r="B136" s="10">
        <v>109.2</v>
      </c>
      <c r="C136">
        <f t="shared" si="26"/>
        <v>108.016</v>
      </c>
      <c r="D136" s="5">
        <f t="shared" si="28"/>
        <v>1.40185600000003</v>
      </c>
      <c r="E136" s="5">
        <f t="shared" si="27"/>
        <v>0.476962890624996</v>
      </c>
    </row>
    <row r="137" spans="1:5">
      <c r="A137" s="10">
        <v>78</v>
      </c>
      <c r="B137" s="10">
        <v>120</v>
      </c>
      <c r="C137">
        <f t="shared" si="26"/>
        <v>117.032</v>
      </c>
      <c r="D137" s="5">
        <f t="shared" si="28"/>
        <v>8.80902400000002</v>
      </c>
      <c r="E137" s="5">
        <f t="shared" si="27"/>
        <v>102.199462890625</v>
      </c>
    </row>
    <row r="138" spans="1:5">
      <c r="A138" s="10">
        <v>77</v>
      </c>
      <c r="B138" s="10">
        <v>120.4</v>
      </c>
      <c r="C138">
        <f t="shared" si="26"/>
        <v>116.388</v>
      </c>
      <c r="D138" s="5">
        <f t="shared" si="28"/>
        <v>16.096144</v>
      </c>
      <c r="E138" s="5">
        <f t="shared" si="27"/>
        <v>110.446962890625</v>
      </c>
    </row>
    <row r="139" spans="1:5">
      <c r="A139" s="10">
        <v>66</v>
      </c>
      <c r="B139" s="10">
        <v>120.5</v>
      </c>
      <c r="C139">
        <f t="shared" si="26"/>
        <v>109.304</v>
      </c>
      <c r="D139" s="5">
        <f t="shared" si="28"/>
        <v>125.350416</v>
      </c>
      <c r="E139" s="5">
        <f t="shared" si="27"/>
        <v>112.558837890625</v>
      </c>
    </row>
    <row r="140" spans="1:5">
      <c r="A140" s="10">
        <v>74</v>
      </c>
      <c r="B140" s="10">
        <v>120.5</v>
      </c>
      <c r="C140">
        <f t="shared" si="26"/>
        <v>114.456</v>
      </c>
      <c r="D140" s="5">
        <f t="shared" si="28"/>
        <v>36.5299360000001</v>
      </c>
      <c r="E140" s="5">
        <f t="shared" si="27"/>
        <v>112.558837890625</v>
      </c>
    </row>
    <row r="141" spans="1:5">
      <c r="A141" s="10">
        <v>66</v>
      </c>
      <c r="B141" s="10">
        <v>108</v>
      </c>
      <c r="C141">
        <f t="shared" si="26"/>
        <v>109.304</v>
      </c>
      <c r="D141" s="5">
        <f t="shared" si="28"/>
        <v>1.70041600000001</v>
      </c>
      <c r="E141" s="5">
        <f t="shared" si="27"/>
        <v>3.574462890625</v>
      </c>
    </row>
    <row r="142" spans="1:5">
      <c r="A142" s="10">
        <v>68</v>
      </c>
      <c r="B142" s="10">
        <v>103.7</v>
      </c>
      <c r="C142">
        <f t="shared" si="26"/>
        <v>110.592</v>
      </c>
      <c r="D142" s="5">
        <f t="shared" si="28"/>
        <v>47.4996639999999</v>
      </c>
      <c r="E142" s="5">
        <f t="shared" si="27"/>
        <v>38.323837890625</v>
      </c>
    </row>
    <row r="143" spans="1:5">
      <c r="A143" s="10">
        <v>64</v>
      </c>
      <c r="B143" s="10">
        <v>109.2</v>
      </c>
      <c r="C143">
        <f t="shared" si="26"/>
        <v>108.016</v>
      </c>
      <c r="D143" s="5">
        <f t="shared" si="28"/>
        <v>1.40185600000003</v>
      </c>
      <c r="E143" s="5">
        <f t="shared" si="27"/>
        <v>0.476962890624996</v>
      </c>
    </row>
    <row r="144" spans="1:5">
      <c r="A144" s="10">
        <v>54</v>
      </c>
      <c r="B144" s="10">
        <v>102</v>
      </c>
      <c r="C144">
        <f t="shared" si="26"/>
        <v>101.576</v>
      </c>
      <c r="D144" s="5">
        <f t="shared" si="28"/>
        <v>0.179776000000006</v>
      </c>
      <c r="E144" s="5">
        <f t="shared" si="27"/>
        <v>62.261962890625</v>
      </c>
    </row>
    <row r="145" spans="1:5">
      <c r="A145" s="10">
        <v>80</v>
      </c>
      <c r="B145" s="10">
        <v>113.8</v>
      </c>
      <c r="C145">
        <f t="shared" si="26"/>
        <v>118.32</v>
      </c>
      <c r="D145" s="5">
        <f t="shared" si="28"/>
        <v>20.4304</v>
      </c>
      <c r="E145" s="5">
        <f t="shared" si="27"/>
        <v>15.283212890625</v>
      </c>
    </row>
    <row r="146" spans="1:5">
      <c r="A146" s="10">
        <v>77</v>
      </c>
      <c r="B146" s="10">
        <v>122.3</v>
      </c>
      <c r="C146">
        <f t="shared" si="26"/>
        <v>116.388</v>
      </c>
      <c r="D146" s="5">
        <f t="shared" si="28"/>
        <v>34.9517439999999</v>
      </c>
      <c r="E146" s="5">
        <f t="shared" si="27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29">(B151-Ybar_prod)^2</f>
        <v>3844</v>
      </c>
    </row>
    <row r="152" spans="1:5">
      <c r="A152" s="10">
        <v>6</v>
      </c>
      <c r="B152" s="10">
        <v>105</v>
      </c>
      <c r="C152">
        <f t="shared" ref="C152:C160" si="30">60+5*A152</f>
        <v>90</v>
      </c>
      <c r="D152" s="5">
        <f t="shared" ref="D152:D160" si="31">(B152-C152)^2</f>
        <v>225</v>
      </c>
      <c r="E152" s="5">
        <f t="shared" si="29"/>
        <v>225</v>
      </c>
    </row>
    <row r="153" spans="1:5">
      <c r="A153" s="10">
        <v>8</v>
      </c>
      <c r="B153" s="10">
        <v>88</v>
      </c>
      <c r="C153">
        <f t="shared" si="30"/>
        <v>100</v>
      </c>
      <c r="D153" s="5">
        <f t="shared" si="31"/>
        <v>144</v>
      </c>
      <c r="E153" s="5">
        <f t="shared" si="29"/>
        <v>1024</v>
      </c>
    </row>
    <row r="154" spans="1:5">
      <c r="A154" s="10">
        <v>8</v>
      </c>
      <c r="B154" s="10">
        <v>118</v>
      </c>
      <c r="C154">
        <f t="shared" si="30"/>
        <v>100</v>
      </c>
      <c r="D154" s="5">
        <f t="shared" si="31"/>
        <v>324</v>
      </c>
      <c r="E154" s="5">
        <f t="shared" si="29"/>
        <v>4</v>
      </c>
    </row>
    <row r="155" spans="1:5">
      <c r="A155" s="10">
        <v>12</v>
      </c>
      <c r="B155" s="10">
        <v>17</v>
      </c>
      <c r="C155">
        <f t="shared" si="30"/>
        <v>120</v>
      </c>
      <c r="D155" s="5">
        <f t="shared" si="31"/>
        <v>10609</v>
      </c>
      <c r="E155" s="5">
        <f t="shared" si="29"/>
        <v>10609</v>
      </c>
    </row>
    <row r="156" spans="1:5">
      <c r="A156" s="10">
        <v>16</v>
      </c>
      <c r="B156" s="10">
        <v>137</v>
      </c>
      <c r="C156">
        <f t="shared" si="30"/>
        <v>140</v>
      </c>
      <c r="D156" s="5">
        <f t="shared" si="31"/>
        <v>9</v>
      </c>
      <c r="E156" s="5">
        <f t="shared" si="29"/>
        <v>289</v>
      </c>
    </row>
    <row r="157" spans="1:5">
      <c r="A157" s="10">
        <v>20</v>
      </c>
      <c r="B157" s="10">
        <v>157</v>
      </c>
      <c r="C157">
        <f t="shared" si="30"/>
        <v>160</v>
      </c>
      <c r="D157" s="5">
        <f t="shared" si="31"/>
        <v>9</v>
      </c>
      <c r="E157" s="5">
        <f t="shared" si="29"/>
        <v>1369</v>
      </c>
    </row>
    <row r="158" spans="1:5">
      <c r="A158" s="10">
        <v>20</v>
      </c>
      <c r="B158" s="10">
        <v>169</v>
      </c>
      <c r="C158">
        <f t="shared" si="30"/>
        <v>160</v>
      </c>
      <c r="D158" s="5">
        <f t="shared" si="31"/>
        <v>81</v>
      </c>
      <c r="E158" s="5">
        <f t="shared" si="29"/>
        <v>2401</v>
      </c>
    </row>
    <row r="159" spans="1:5">
      <c r="A159" s="10">
        <v>22</v>
      </c>
      <c r="B159" s="10">
        <v>149</v>
      </c>
      <c r="C159">
        <f t="shared" si="30"/>
        <v>170</v>
      </c>
      <c r="D159" s="5">
        <f t="shared" si="31"/>
        <v>441</v>
      </c>
      <c r="E159" s="5">
        <f t="shared" si="29"/>
        <v>841</v>
      </c>
    </row>
    <row r="160" spans="1:5">
      <c r="A160" s="10">
        <v>26</v>
      </c>
      <c r="B160" s="10">
        <v>202</v>
      </c>
      <c r="C160">
        <f t="shared" si="30"/>
        <v>190</v>
      </c>
      <c r="D160" s="5">
        <f t="shared" si="31"/>
        <v>144</v>
      </c>
      <c r="E160" s="5">
        <f t="shared" si="29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2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3">-16.03+0.03*A172</f>
        <v>7.94</v>
      </c>
      <c r="D172" s="5">
        <f t="shared" ref="D172:D185" si="34">(B172-C172)^2</f>
        <v>0.102400000000001</v>
      </c>
      <c r="E172" s="5">
        <f t="shared" si="32"/>
        <v>4.8605551111111</v>
      </c>
    </row>
    <row r="173" spans="1:5">
      <c r="A173" s="10">
        <v>837</v>
      </c>
      <c r="B173" s="10">
        <v>7.48</v>
      </c>
      <c r="C173">
        <f t="shared" si="33"/>
        <v>9.08</v>
      </c>
      <c r="D173" s="5">
        <f t="shared" si="34"/>
        <v>2.55999999999999</v>
      </c>
      <c r="E173" s="5">
        <f t="shared" si="32"/>
        <v>8.90823511111109</v>
      </c>
    </row>
    <row r="174" spans="1:5">
      <c r="A174" s="10">
        <v>855</v>
      </c>
      <c r="B174" s="10">
        <v>9.08</v>
      </c>
      <c r="C174">
        <f t="shared" si="33"/>
        <v>9.62</v>
      </c>
      <c r="D174" s="5">
        <f t="shared" si="34"/>
        <v>0.291599999999997</v>
      </c>
      <c r="E174" s="5">
        <f t="shared" si="32"/>
        <v>1.91730177777777</v>
      </c>
    </row>
    <row r="175" spans="1:5">
      <c r="A175" s="10">
        <v>845</v>
      </c>
      <c r="B175" s="10">
        <v>9.83</v>
      </c>
      <c r="C175">
        <f t="shared" si="33"/>
        <v>9.32</v>
      </c>
      <c r="D175" s="5">
        <f t="shared" si="34"/>
        <v>0.260100000000003</v>
      </c>
      <c r="E175" s="5">
        <f t="shared" si="32"/>
        <v>0.402801777777775</v>
      </c>
    </row>
    <row r="176" spans="1:5">
      <c r="A176" s="10">
        <v>844</v>
      </c>
      <c r="B176" s="10">
        <v>10.09</v>
      </c>
      <c r="C176">
        <f t="shared" si="33"/>
        <v>9.29</v>
      </c>
      <c r="D176" s="5">
        <f t="shared" si="34"/>
        <v>0.640000000000001</v>
      </c>
      <c r="E176" s="5">
        <f t="shared" si="32"/>
        <v>0.140375111111109</v>
      </c>
    </row>
    <row r="177" spans="1:5">
      <c r="A177" s="10">
        <v>863</v>
      </c>
      <c r="B177" s="10">
        <v>11.01</v>
      </c>
      <c r="C177">
        <f t="shared" si="33"/>
        <v>9.86</v>
      </c>
      <c r="D177" s="5">
        <f t="shared" si="34"/>
        <v>1.3225</v>
      </c>
      <c r="E177" s="5">
        <f t="shared" si="32"/>
        <v>0.297388444444447</v>
      </c>
    </row>
    <row r="178" spans="1:5">
      <c r="A178" s="10">
        <v>875</v>
      </c>
      <c r="B178" s="10">
        <v>11.49</v>
      </c>
      <c r="C178">
        <f t="shared" si="33"/>
        <v>10.22</v>
      </c>
      <c r="D178" s="5">
        <f t="shared" si="34"/>
        <v>1.6129</v>
      </c>
      <c r="E178" s="5">
        <f t="shared" si="32"/>
        <v>1.05130844444445</v>
      </c>
    </row>
    <row r="179" spans="1:5">
      <c r="A179" s="10">
        <v>880</v>
      </c>
      <c r="B179" s="10">
        <v>12.07</v>
      </c>
      <c r="C179">
        <f t="shared" si="33"/>
        <v>10.37</v>
      </c>
      <c r="D179" s="5">
        <f t="shared" si="34"/>
        <v>2.89000000000001</v>
      </c>
      <c r="E179" s="5">
        <f t="shared" si="32"/>
        <v>2.57709511111112</v>
      </c>
    </row>
    <row r="180" spans="1:5">
      <c r="A180" s="10">
        <v>905</v>
      </c>
      <c r="B180" s="10">
        <v>12.55</v>
      </c>
      <c r="C180">
        <f t="shared" si="33"/>
        <v>11.12</v>
      </c>
      <c r="D180" s="5">
        <f t="shared" si="34"/>
        <v>2.04490000000001</v>
      </c>
      <c r="E180" s="5">
        <f t="shared" si="32"/>
        <v>4.34861511111112</v>
      </c>
    </row>
    <row r="181" spans="1:5">
      <c r="A181" s="10">
        <v>886</v>
      </c>
      <c r="B181" s="10">
        <v>11.92</v>
      </c>
      <c r="C181">
        <f t="shared" si="33"/>
        <v>10.55</v>
      </c>
      <c r="D181" s="5">
        <f t="shared" si="34"/>
        <v>1.87690000000001</v>
      </c>
      <c r="E181" s="5">
        <f t="shared" si="32"/>
        <v>2.11799511111112</v>
      </c>
    </row>
    <row r="182" spans="1:5">
      <c r="A182" s="10">
        <v>843</v>
      </c>
      <c r="B182" s="10">
        <v>10.27</v>
      </c>
      <c r="C182">
        <f t="shared" si="33"/>
        <v>9.26</v>
      </c>
      <c r="D182" s="5">
        <f t="shared" si="34"/>
        <v>1.0201</v>
      </c>
      <c r="E182" s="5">
        <f t="shared" si="32"/>
        <v>0.0378951111111104</v>
      </c>
    </row>
    <row r="183" spans="1:5">
      <c r="A183" s="10">
        <v>904</v>
      </c>
      <c r="B183" s="10">
        <v>11.8</v>
      </c>
      <c r="C183">
        <f t="shared" si="33"/>
        <v>11.09</v>
      </c>
      <c r="D183" s="5">
        <f t="shared" si="34"/>
        <v>0.504100000000006</v>
      </c>
      <c r="E183" s="5">
        <f t="shared" si="32"/>
        <v>1.78311511111112</v>
      </c>
    </row>
    <row r="184" spans="1:5">
      <c r="A184" s="10">
        <v>950</v>
      </c>
      <c r="B184" s="10">
        <v>12.15</v>
      </c>
      <c r="C184">
        <f t="shared" si="33"/>
        <v>12.47</v>
      </c>
      <c r="D184" s="5">
        <f t="shared" si="34"/>
        <v>0.102399999999999</v>
      </c>
      <c r="E184" s="5">
        <f t="shared" si="32"/>
        <v>2.84034844444445</v>
      </c>
    </row>
    <row r="185" spans="1:5">
      <c r="A185" s="10">
        <v>841</v>
      </c>
      <c r="B185" s="10">
        <v>9.64</v>
      </c>
      <c r="C185">
        <f t="shared" si="33"/>
        <v>9.2</v>
      </c>
      <c r="D185" s="5">
        <f t="shared" si="34"/>
        <v>0.193600000000001</v>
      </c>
      <c r="E185" s="5">
        <f t="shared" si="32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R12" workbookViewId="0">
      <selection activeCell="B42" sqref="B42"/>
    </sheetView>
  </sheetViews>
  <sheetFormatPr defaultColWidth="9" defaultRowHeight="14.2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>
        <v>3.41</v>
      </c>
      <c r="C22">
        <v>3.08084755756399</v>
      </c>
      <c r="D22" s="5">
        <f>(B22-C22)^2</f>
        <v>0.108341330361591</v>
      </c>
      <c r="E22" s="5">
        <f t="shared" ref="E22:E27" si="0">(B22-avgLogEff)^2</f>
        <v>0.0373777777777778</v>
      </c>
      <c r="F22" s="5"/>
      <c r="G22" s="5"/>
      <c r="H22">
        <v>3.41</v>
      </c>
      <c r="I22">
        <v>3.15924965502441</v>
      </c>
      <c r="J22" s="5">
        <f t="shared" ref="J22:J27" si="1">(H22-I22)^2</f>
        <v>0.0628757355053776</v>
      </c>
      <c r="K22" s="5">
        <f t="shared" ref="K22:K27" si="2">(H22-avgLogEff)^2</f>
        <v>0.0373777777777778</v>
      </c>
      <c r="L22" s="12"/>
      <c r="M22" s="12"/>
      <c r="N22">
        <v>3.41</v>
      </c>
      <c r="O22">
        <v>3.24822130452678</v>
      </c>
      <c r="P22" s="5">
        <f t="shared" ref="P22:P27" si="3">(N22-O22)^2</f>
        <v>0.026172346309017</v>
      </c>
      <c r="Q22" s="5">
        <f t="shared" ref="Q22:Q27" si="4">(N22-avgLogEff)^2</f>
        <v>0.0373777777777778</v>
      </c>
      <c r="R22" s="13"/>
      <c r="S22" s="13"/>
      <c r="T22">
        <v>3.41</v>
      </c>
      <c r="U22">
        <v>3.28400068481138</v>
      </c>
      <c r="V22" s="5">
        <f t="shared" ref="V22:V27" si="5">(T22-U22)^2</f>
        <v>0.0158758274280013</v>
      </c>
      <c r="W22" s="5">
        <f t="shared" ref="W22:W27" si="6">(T22-avgLogEff)^2</f>
        <v>0.0373777777777778</v>
      </c>
      <c r="X22" s="13"/>
      <c r="Y22" s="13"/>
      <c r="Z22">
        <v>3.41</v>
      </c>
      <c r="AA22">
        <v>3.30539333333333</v>
      </c>
      <c r="AB22" s="5">
        <f t="shared" ref="AB22:AB27" si="7">(Z22-AA22)^2</f>
        <v>0.0109425547111119</v>
      </c>
      <c r="AC22" s="5">
        <f t="shared" ref="AC22:AC27" si="8">(Z22-avgLogEff)^2</f>
        <v>0.0373777777777778</v>
      </c>
      <c r="AD22" s="13"/>
      <c r="AE22" s="13"/>
      <c r="AF22">
        <v>3.41</v>
      </c>
      <c r="AG22">
        <v>3.23096680641174</v>
      </c>
      <c r="AH22" s="5">
        <f t="shared" ref="AH22:AH27" si="9">(AF22-AG22)^2</f>
        <v>0.0320528844064114</v>
      </c>
      <c r="AI22" s="5">
        <f t="shared" ref="AI22:AI27" si="10">(AF22-avgLogEff)^2</f>
        <v>0.0373777777777778</v>
      </c>
      <c r="AJ22" s="13"/>
      <c r="AK22" s="13"/>
    </row>
    <row r="23" spans="2:37">
      <c r="B23">
        <v>3.06</v>
      </c>
      <c r="C23">
        <v>3.16798356948779</v>
      </c>
      <c r="D23" s="5">
        <f t="shared" ref="D23:D27" si="11">(B23-C23)^2</f>
        <v>0.0116604512793243</v>
      </c>
      <c r="E23" s="5">
        <f t="shared" si="0"/>
        <v>0.0245444444444445</v>
      </c>
      <c r="F23" s="5"/>
      <c r="G23" s="5"/>
      <c r="H23">
        <v>3.06</v>
      </c>
      <c r="I23">
        <v>3.378297315596</v>
      </c>
      <c r="J23" s="5">
        <f t="shared" si="1"/>
        <v>0.10131318111562</v>
      </c>
      <c r="K23" s="5">
        <f t="shared" si="2"/>
        <v>0.0245444444444445</v>
      </c>
      <c r="L23" s="12"/>
      <c r="M23" s="12"/>
      <c r="N23">
        <v>3.06</v>
      </c>
      <c r="O23">
        <v>3.30547813035544</v>
      </c>
      <c r="P23" s="5">
        <f t="shared" si="3"/>
        <v>0.0602595124828024</v>
      </c>
      <c r="Q23" s="5">
        <f t="shared" si="4"/>
        <v>0.0245444444444445</v>
      </c>
      <c r="R23" s="13"/>
      <c r="S23" s="13"/>
      <c r="T23">
        <v>3.06</v>
      </c>
      <c r="U23">
        <v>3.31681108019843</v>
      </c>
      <c r="V23" s="5">
        <f t="shared" si="5"/>
        <v>0.0659519309126845</v>
      </c>
      <c r="W23" s="5">
        <f t="shared" si="6"/>
        <v>0.0245444444444445</v>
      </c>
      <c r="X23" s="13"/>
      <c r="Y23" s="13"/>
      <c r="Z23">
        <v>3.06</v>
      </c>
      <c r="AA23">
        <v>3.34241733333333</v>
      </c>
      <c r="AB23" s="5">
        <f t="shared" si="7"/>
        <v>0.0797595501671092</v>
      </c>
      <c r="AC23" s="5">
        <f t="shared" si="8"/>
        <v>0.0245444444444445</v>
      </c>
      <c r="AD23" s="13"/>
      <c r="AE23" s="13"/>
      <c r="AF23">
        <v>3.06</v>
      </c>
      <c r="AG23">
        <v>3.35425567626953</v>
      </c>
      <c r="AH23" s="5">
        <f t="shared" si="9"/>
        <v>0.0865864030168384</v>
      </c>
      <c r="AI23" s="5">
        <f t="shared" si="10"/>
        <v>0.0245444444444445</v>
      </c>
      <c r="AJ23" s="13"/>
      <c r="AK23" s="13"/>
    </row>
    <row r="24" spans="2:37">
      <c r="B24">
        <v>2.74</v>
      </c>
      <c r="C24">
        <v>2.97409252536898</v>
      </c>
      <c r="D24" s="5">
        <f t="shared" si="11"/>
        <v>0.0547993104336265</v>
      </c>
      <c r="E24" s="5">
        <f t="shared" si="0"/>
        <v>0.227211111111111</v>
      </c>
      <c r="F24" s="5"/>
      <c r="G24" s="5"/>
      <c r="H24">
        <v>2.74</v>
      </c>
      <c r="I24">
        <v>3.28451466949557</v>
      </c>
      <c r="J24" s="5">
        <f t="shared" si="1"/>
        <v>0.296496225295869</v>
      </c>
      <c r="K24" s="5">
        <f t="shared" si="2"/>
        <v>0.227211111111111</v>
      </c>
      <c r="L24" s="12"/>
      <c r="M24" s="12"/>
      <c r="N24">
        <v>2.74</v>
      </c>
      <c r="O24">
        <v>3.08602491268655</v>
      </c>
      <c r="P24" s="5">
        <f t="shared" si="3"/>
        <v>0.119733240199734</v>
      </c>
      <c r="Q24" s="5">
        <f t="shared" si="4"/>
        <v>0.227211111111111</v>
      </c>
      <c r="R24" s="13"/>
      <c r="S24" s="13"/>
      <c r="T24">
        <v>2.74</v>
      </c>
      <c r="U24">
        <v>2.70297049697474</v>
      </c>
      <c r="V24" s="5">
        <f t="shared" si="5"/>
        <v>0.00137118409429775</v>
      </c>
      <c r="W24" s="5">
        <f t="shared" si="6"/>
        <v>0.227211111111111</v>
      </c>
      <c r="X24" s="13"/>
      <c r="Y24" s="13"/>
      <c r="Z24">
        <v>2.74</v>
      </c>
      <c r="AA24">
        <v>3.15506899999999</v>
      </c>
      <c r="AB24" s="5">
        <f t="shared" si="7"/>
        <v>0.172282274760991</v>
      </c>
      <c r="AC24" s="5">
        <f t="shared" si="8"/>
        <v>0.227211111111111</v>
      </c>
      <c r="AD24" s="13"/>
      <c r="AE24" s="13"/>
      <c r="AF24">
        <v>2.74</v>
      </c>
      <c r="AG24">
        <v>2.87797522544861</v>
      </c>
      <c r="AH24" s="5">
        <f t="shared" si="9"/>
        <v>0.0190371628375947</v>
      </c>
      <c r="AI24" s="5">
        <f t="shared" si="10"/>
        <v>0.227211111111111</v>
      </c>
      <c r="AJ24" s="13"/>
      <c r="AK24" s="13"/>
    </row>
    <row r="25" spans="2:37">
      <c r="B25">
        <v>3.36</v>
      </c>
      <c r="C25">
        <v>3.61144883638395</v>
      </c>
      <c r="D25" s="5">
        <f t="shared" si="11"/>
        <v>0.0632265173188424</v>
      </c>
      <c r="E25" s="5">
        <f t="shared" si="0"/>
        <v>0.0205444444444444</v>
      </c>
      <c r="F25" s="5"/>
      <c r="G25" s="5"/>
      <c r="H25">
        <v>3.36</v>
      </c>
      <c r="I25">
        <v>3.47873605029163</v>
      </c>
      <c r="J25" s="5">
        <f t="shared" si="1"/>
        <v>0.0140982496388565</v>
      </c>
      <c r="K25" s="5">
        <f t="shared" si="2"/>
        <v>0.0205444444444444</v>
      </c>
      <c r="L25" s="12"/>
      <c r="M25" s="12"/>
      <c r="N25">
        <v>3.36</v>
      </c>
      <c r="O25">
        <v>3.40757416624961</v>
      </c>
      <c r="P25" s="5">
        <f t="shared" si="3"/>
        <v>0.00226330129434554</v>
      </c>
      <c r="Q25" s="5">
        <f t="shared" si="4"/>
        <v>0.0205444444444444</v>
      </c>
      <c r="R25" s="13"/>
      <c r="S25" s="13"/>
      <c r="T25">
        <v>3.36</v>
      </c>
      <c r="U25">
        <v>3.44805266174664</v>
      </c>
      <c r="V25" s="5">
        <f t="shared" si="5"/>
        <v>0.00775327124066819</v>
      </c>
      <c r="W25" s="5">
        <f t="shared" si="6"/>
        <v>0.0205444444444444</v>
      </c>
      <c r="X25" s="13"/>
      <c r="Y25" s="13"/>
      <c r="Z25">
        <v>3.36</v>
      </c>
      <c r="AA25">
        <v>3.35133649999999</v>
      </c>
      <c r="AB25" s="5">
        <f t="shared" si="7"/>
        <v>7.50562322501682e-5</v>
      </c>
      <c r="AC25" s="5">
        <f t="shared" si="8"/>
        <v>0.0205444444444444</v>
      </c>
      <c r="AD25" s="13"/>
      <c r="AE25" s="13"/>
      <c r="AF25">
        <v>3.36</v>
      </c>
      <c r="AG25">
        <v>3.48874831199646</v>
      </c>
      <c r="AH25" s="5">
        <f t="shared" si="9"/>
        <v>0.0165761278419378</v>
      </c>
      <c r="AI25" s="5">
        <f t="shared" si="10"/>
        <v>0.0205444444444444</v>
      </c>
      <c r="AJ25" s="13"/>
      <c r="AK25" s="13"/>
    </row>
    <row r="26" spans="2:37">
      <c r="B26">
        <v>3.96</v>
      </c>
      <c r="C26">
        <v>4.00500106399761</v>
      </c>
      <c r="D26" s="5">
        <f t="shared" si="11"/>
        <v>0.00202509576091699</v>
      </c>
      <c r="E26" s="5">
        <f t="shared" si="0"/>
        <v>0.552544444444444</v>
      </c>
      <c r="F26" s="5"/>
      <c r="G26" s="5"/>
      <c r="H26">
        <v>3.96</v>
      </c>
      <c r="I26">
        <v>3.83684069132953</v>
      </c>
      <c r="J26" s="5">
        <f t="shared" si="1"/>
        <v>0.0151682153121881</v>
      </c>
      <c r="K26" s="5">
        <f t="shared" si="2"/>
        <v>0.552544444444444</v>
      </c>
      <c r="L26" s="12"/>
      <c r="M26" s="12"/>
      <c r="N26">
        <v>3.96</v>
      </c>
      <c r="O26">
        <v>3.98521262796129</v>
      </c>
      <c r="P26" s="5">
        <f t="shared" si="3"/>
        <v>0.000635676608714416</v>
      </c>
      <c r="Q26" s="5">
        <f t="shared" si="4"/>
        <v>0.552544444444444</v>
      </c>
      <c r="R26" s="13"/>
      <c r="S26" s="13"/>
      <c r="T26">
        <v>3.96</v>
      </c>
      <c r="U26">
        <v>4.03637313700575</v>
      </c>
      <c r="V26" s="5">
        <f t="shared" si="5"/>
        <v>0.00583285605609908</v>
      </c>
      <c r="W26" s="5">
        <f t="shared" si="6"/>
        <v>0.552544444444444</v>
      </c>
      <c r="X26" s="13"/>
      <c r="Y26" s="13"/>
      <c r="Z26">
        <v>3.96</v>
      </c>
      <c r="AA26">
        <v>4.07598416666666</v>
      </c>
      <c r="AB26" s="5">
        <f t="shared" si="7"/>
        <v>0.0134523269173596</v>
      </c>
      <c r="AC26" s="5">
        <f t="shared" si="8"/>
        <v>0.552544444444444</v>
      </c>
      <c r="AD26" s="13"/>
      <c r="AE26" s="13"/>
      <c r="AF26">
        <v>3.96</v>
      </c>
      <c r="AG26">
        <v>4.12193536758423</v>
      </c>
      <c r="AH26" s="5">
        <f t="shared" si="9"/>
        <v>0.0262230632746398</v>
      </c>
      <c r="AI26" s="5">
        <f t="shared" si="10"/>
        <v>0.552544444444444</v>
      </c>
      <c r="AJ26" s="13"/>
      <c r="AK26" s="13"/>
    </row>
    <row r="27" spans="2:37">
      <c r="B27">
        <v>2.77</v>
      </c>
      <c r="C27">
        <v>2.98165790604076</v>
      </c>
      <c r="D27" s="5">
        <f t="shared" si="11"/>
        <v>0.0447990691895592</v>
      </c>
      <c r="E27" s="5">
        <f t="shared" si="0"/>
        <v>0.199511111111111</v>
      </c>
      <c r="F27" s="5"/>
      <c r="G27" s="5"/>
      <c r="H27">
        <v>2.77</v>
      </c>
      <c r="I27">
        <v>3.31565371069003</v>
      </c>
      <c r="J27" s="5">
        <f t="shared" si="1"/>
        <v>0.297737971989799</v>
      </c>
      <c r="K27" s="5">
        <f t="shared" si="2"/>
        <v>0.199511111111111</v>
      </c>
      <c r="L27" s="12"/>
      <c r="M27" s="12"/>
      <c r="N27">
        <v>2.77</v>
      </c>
      <c r="O27">
        <v>3.16945198425022</v>
      </c>
      <c r="P27" s="5">
        <f t="shared" si="3"/>
        <v>0.159561887721438</v>
      </c>
      <c r="Q27" s="5">
        <f t="shared" si="4"/>
        <v>0.199511111111111</v>
      </c>
      <c r="R27" s="13"/>
      <c r="S27" s="13"/>
      <c r="T27">
        <v>2.77</v>
      </c>
      <c r="U27">
        <v>2.98732725699584</v>
      </c>
      <c r="V27" s="5">
        <f t="shared" si="5"/>
        <v>0.0472311366333358</v>
      </c>
      <c r="W27" s="5">
        <f t="shared" si="6"/>
        <v>0.199511111111111</v>
      </c>
      <c r="X27" s="13"/>
      <c r="Y27" s="13"/>
      <c r="Z27">
        <v>2.77</v>
      </c>
      <c r="AA27">
        <v>3.20823999999999</v>
      </c>
      <c r="AB27" s="5">
        <f t="shared" si="7"/>
        <v>0.192054297599991</v>
      </c>
      <c r="AC27" s="5">
        <f t="shared" si="8"/>
        <v>0.199511111111111</v>
      </c>
      <c r="AD27" s="13"/>
      <c r="AE27" s="13"/>
      <c r="AF27">
        <v>2.77</v>
      </c>
      <c r="AG27">
        <v>3.01732397079468</v>
      </c>
      <c r="AH27" s="5">
        <f t="shared" si="9"/>
        <v>0.0611691465296477</v>
      </c>
      <c r="AI27" s="5">
        <f t="shared" si="10"/>
        <v>0.199511111111111</v>
      </c>
      <c r="AJ27" s="13"/>
      <c r="AK27" s="13"/>
    </row>
    <row r="28" spans="1:37">
      <c r="A28" t="s">
        <v>9</v>
      </c>
      <c r="B28" s="8">
        <f>AVERAGE(B22:B27)</f>
        <v>3.21666666666667</v>
      </c>
      <c r="C28" s="6">
        <f>AVERAGE(C22:D27)</f>
        <v>1.67549026943224</v>
      </c>
      <c r="D28" s="6">
        <f>SUM(D22:D27)</f>
        <v>0.28485177434386</v>
      </c>
      <c r="E28" s="6">
        <f>SUM(E22:E27)</f>
        <v>1.06173333333333</v>
      </c>
      <c r="F28" s="6">
        <f>(CORREL(B22:B27,C22:C27))^2</f>
        <v>0.774871558709753</v>
      </c>
      <c r="G28" s="6">
        <f>SQRT(D28/6)</f>
        <v>0.217888264309891</v>
      </c>
      <c r="H28">
        <f>AVERAGE(H22:H27)</f>
        <v>3.21666666666667</v>
      </c>
      <c r="I28" s="14"/>
      <c r="J28" s="14">
        <f>SUM(J22:J27)</f>
        <v>0.78768957885771</v>
      </c>
      <c r="K28" s="14">
        <f>SUM(K22:K27)</f>
        <v>1.06173333333333</v>
      </c>
      <c r="L28" s="6">
        <f>(CORREL(H22:H27,I22:I27))^2</f>
        <v>0.508383965730525</v>
      </c>
      <c r="M28" s="6">
        <f>SQRT(J28/6)</f>
        <v>0.362328023310763</v>
      </c>
      <c r="N28">
        <f>AVERAGE(N22:N27)</f>
        <v>3.21666666666667</v>
      </c>
      <c r="O28" s="14"/>
      <c r="P28" s="14">
        <f>SUM(P22:P27)</f>
        <v>0.368625964616052</v>
      </c>
      <c r="Q28" s="14">
        <f>SUM(Q22:Q27)</f>
        <v>1.06173333333333</v>
      </c>
      <c r="R28" s="6">
        <f>(CORREL(N22:N27,O22:O27))^2</f>
        <v>0.823773125672483</v>
      </c>
      <c r="S28" s="6">
        <f>SQRT(P28/6)</f>
        <v>0.247866215465807</v>
      </c>
      <c r="T28">
        <f>AVERAGE(T22:T27)</f>
        <v>3.21666666666667</v>
      </c>
      <c r="U28" s="14"/>
      <c r="V28" s="14">
        <f>SUM(V22:V27)</f>
        <v>0.144016206365087</v>
      </c>
      <c r="W28" s="14">
        <f>SUM(W22:W27)</f>
        <v>1.06173333333333</v>
      </c>
      <c r="X28" s="6">
        <f>(CORREL(T22:T27,U22:U27))^2</f>
        <v>0.900784215389082</v>
      </c>
      <c r="Y28" s="6">
        <f>SQRT(V28/6)</f>
        <v>0.154928051239431</v>
      </c>
      <c r="Z28">
        <f>AVERAGE(Z22:Z27)</f>
        <v>3.21666666666667</v>
      </c>
      <c r="AA28" s="14"/>
      <c r="AB28" s="14">
        <f>SUM(AB22:AB27)</f>
        <v>0.468566060388814</v>
      </c>
      <c r="AC28" s="14">
        <f>SUM(AC22:AC27)</f>
        <v>1.06173333333333</v>
      </c>
      <c r="AD28" s="6">
        <f>(CORREL(Z22:Z27,AA22:AA27))^2</f>
        <v>0.786213201916349</v>
      </c>
      <c r="AE28" s="6">
        <f>SQRT(AB28/6)</f>
        <v>0.279453651609951</v>
      </c>
      <c r="AF28">
        <f>AVERAGE(AF22:AF27)</f>
        <v>3.21666666666667</v>
      </c>
      <c r="AG28" s="14"/>
      <c r="AH28" s="14">
        <f>SUM(AH22:AH27)</f>
        <v>0.24164478790707</v>
      </c>
      <c r="AI28" s="14">
        <f>SUM(AI22:AI27)</f>
        <v>1.06173333333333</v>
      </c>
      <c r="AJ28" s="6">
        <f>(CORREL(AF22:AF27,AG22:AG27))^2</f>
        <v>0.871033310737915</v>
      </c>
      <c r="AK28" s="6">
        <f>SQRT(AH28/6)</f>
        <v>0.200684158113801</v>
      </c>
    </row>
    <row r="31" spans="2:31">
      <c r="B31">
        <v>3.41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>
        <v>3.41</v>
      </c>
      <c r="C32">
        <v>3.23780843411944</v>
      </c>
      <c r="D32" s="5">
        <f>(B32-C32)^2</f>
        <v>0.0296499353603992</v>
      </c>
      <c r="E32" s="5">
        <f t="shared" ref="E32:E37" si="12">(B32-avgLogEff)^2</f>
        <v>0.0373777777777778</v>
      </c>
      <c r="F32" s="5"/>
      <c r="G32" s="5"/>
      <c r="H32">
        <v>3.41</v>
      </c>
      <c r="I32">
        <v>3.24588709030784</v>
      </c>
      <c r="J32" s="5">
        <f t="shared" ref="J32:J37" si="13">(H32-I32)^2</f>
        <v>0.0269330471276271</v>
      </c>
      <c r="K32" s="5">
        <f t="shared" ref="K32:K37" si="14">(H32-avgLogEff)^2</f>
        <v>0.0373777777777778</v>
      </c>
      <c r="L32" s="12"/>
      <c r="M32" s="12"/>
      <c r="N32">
        <v>3.41</v>
      </c>
      <c r="O32">
        <v>3.25904015968832</v>
      </c>
      <c r="P32" s="5">
        <f t="shared" ref="P32:P37" si="15">(N32-O32)^2</f>
        <v>0.0227888733869279</v>
      </c>
      <c r="Q32" s="5">
        <f t="shared" ref="Q32:Q37" si="16">(N32-avgLogEff)^2</f>
        <v>0.0373777777777778</v>
      </c>
      <c r="R32" s="13"/>
      <c r="S32" s="13"/>
      <c r="T32">
        <v>3.41</v>
      </c>
      <c r="U32">
        <v>3.33062332322713</v>
      </c>
      <c r="V32" s="5">
        <f t="shared" ref="V32:V37" si="17">(T32-U32)^2</f>
        <v>0.00630065681550469</v>
      </c>
      <c r="W32" s="5">
        <f t="shared" ref="W32:W37" si="18">(T32-avgLogEff)^2</f>
        <v>0.0373777777777778</v>
      </c>
      <c r="X32" s="12"/>
      <c r="Y32" s="12"/>
      <c r="Z32">
        <v>3.41</v>
      </c>
      <c r="AA32">
        <v>3.33079166426211</v>
      </c>
      <c r="AB32" s="5">
        <f t="shared" ref="AB32:AB37" si="19">(Z32-AA32)^2</f>
        <v>0.00627396045036635</v>
      </c>
      <c r="AC32" s="5">
        <f t="shared" ref="AC32:AC37" si="20">(Z32-avgLogEff)^2</f>
        <v>0.0373777777777778</v>
      </c>
      <c r="AD32" s="13"/>
      <c r="AE32" s="13"/>
    </row>
    <row r="33" spans="2:31">
      <c r="B33">
        <v>3.06</v>
      </c>
      <c r="C33">
        <v>3.17380020257747</v>
      </c>
      <c r="D33" s="5">
        <f t="shared" ref="D33:D37" si="21">(B33-C33)^2</f>
        <v>0.0129504861066732</v>
      </c>
      <c r="E33" s="5">
        <f t="shared" si="12"/>
        <v>0.0245444444444445</v>
      </c>
      <c r="F33" s="5"/>
      <c r="G33" s="5"/>
      <c r="H33">
        <v>3.06</v>
      </c>
      <c r="I33">
        <v>3.21166866646441</v>
      </c>
      <c r="J33" s="5">
        <f t="shared" si="13"/>
        <v>0.0230033843870924</v>
      </c>
      <c r="K33" s="5">
        <f t="shared" si="14"/>
        <v>0.0245444444444445</v>
      </c>
      <c r="L33" s="12"/>
      <c r="M33" s="12"/>
      <c r="N33">
        <v>3.06</v>
      </c>
      <c r="O33">
        <v>3.27987922552591</v>
      </c>
      <c r="P33" s="5">
        <f t="shared" si="15"/>
        <v>0.048346873817874</v>
      </c>
      <c r="Q33" s="5">
        <f t="shared" si="16"/>
        <v>0.0245444444444445</v>
      </c>
      <c r="R33" s="13"/>
      <c r="S33" s="13"/>
      <c r="T33">
        <v>3.06</v>
      </c>
      <c r="U33">
        <v>3.35227280859788</v>
      </c>
      <c r="V33" s="5">
        <f t="shared" si="17"/>
        <v>0.0854233946456929</v>
      </c>
      <c r="W33" s="5">
        <f t="shared" si="18"/>
        <v>0.0245444444444445</v>
      </c>
      <c r="X33" s="12"/>
      <c r="Y33" s="12"/>
      <c r="Z33">
        <v>3.06</v>
      </c>
      <c r="AA33">
        <v>3.35440466432488</v>
      </c>
      <c r="AB33" s="5">
        <f t="shared" si="19"/>
        <v>0.0866741063762453</v>
      </c>
      <c r="AC33" s="5">
        <f t="shared" si="20"/>
        <v>0.0245444444444445</v>
      </c>
      <c r="AD33" s="13"/>
      <c r="AE33" s="13"/>
    </row>
    <row r="34" spans="2:31">
      <c r="B34">
        <v>2.74</v>
      </c>
      <c r="C34">
        <v>3.0042071431588</v>
      </c>
      <c r="D34" s="5">
        <f t="shared" si="21"/>
        <v>0.0698054144961345</v>
      </c>
      <c r="E34" s="5">
        <f t="shared" si="12"/>
        <v>0.227211111111111</v>
      </c>
      <c r="F34" s="5"/>
      <c r="G34" s="5"/>
      <c r="H34">
        <v>2.74</v>
      </c>
      <c r="I34">
        <v>3.07046138567347</v>
      </c>
      <c r="J34" s="5">
        <f t="shared" si="13"/>
        <v>0.10920472742123</v>
      </c>
      <c r="K34" s="5">
        <f t="shared" si="14"/>
        <v>0.227211111111111</v>
      </c>
      <c r="L34" s="12"/>
      <c r="M34" s="12"/>
      <c r="N34">
        <v>2.74</v>
      </c>
      <c r="O34">
        <v>3.06093135774567</v>
      </c>
      <c r="P34" s="5">
        <f t="shared" si="15"/>
        <v>0.102996936384479</v>
      </c>
      <c r="Q34" s="5">
        <f t="shared" si="16"/>
        <v>0.227211111111111</v>
      </c>
      <c r="R34" s="13"/>
      <c r="S34" s="13"/>
      <c r="T34">
        <v>2.74</v>
      </c>
      <c r="U34">
        <v>3.32144927637122</v>
      </c>
      <c r="V34" s="5">
        <f t="shared" si="17"/>
        <v>0.338083260992615</v>
      </c>
      <c r="W34" s="5">
        <f t="shared" si="18"/>
        <v>0.227211111111111</v>
      </c>
      <c r="X34" s="12"/>
      <c r="Y34" s="12"/>
      <c r="Z34">
        <v>2.74</v>
      </c>
      <c r="AA34">
        <v>3.32388733825948</v>
      </c>
      <c r="AB34" s="5">
        <f t="shared" si="19"/>
        <v>0.34092442377974</v>
      </c>
      <c r="AC34" s="5">
        <f t="shared" si="20"/>
        <v>0.227211111111111</v>
      </c>
      <c r="AD34" s="13"/>
      <c r="AE34" s="13"/>
    </row>
    <row r="35" spans="2:31">
      <c r="B35">
        <v>3.36</v>
      </c>
      <c r="C35">
        <v>3.30598945100957</v>
      </c>
      <c r="D35" s="5">
        <f t="shared" si="21"/>
        <v>0.00291713940224763</v>
      </c>
      <c r="E35" s="5">
        <f t="shared" si="12"/>
        <v>0.0205444444444444</v>
      </c>
      <c r="F35" s="5"/>
      <c r="G35" s="5"/>
      <c r="H35">
        <v>3.36</v>
      </c>
      <c r="I35">
        <v>3.31957510098282</v>
      </c>
      <c r="J35" s="5">
        <f t="shared" si="13"/>
        <v>0.0016341724605492</v>
      </c>
      <c r="K35" s="5">
        <f t="shared" si="14"/>
        <v>0.0205444444444444</v>
      </c>
      <c r="L35" s="12"/>
      <c r="M35" s="12"/>
      <c r="N35">
        <v>3.36</v>
      </c>
      <c r="O35">
        <v>3.36487207238564</v>
      </c>
      <c r="P35" s="5">
        <f t="shared" si="15"/>
        <v>2.3737089330915e-5</v>
      </c>
      <c r="Q35" s="5">
        <f t="shared" si="16"/>
        <v>0.0205444444444444</v>
      </c>
      <c r="R35" s="13"/>
      <c r="S35" s="13"/>
      <c r="T35">
        <v>3.36</v>
      </c>
      <c r="U35">
        <v>3.41471284346602</v>
      </c>
      <c r="V35" s="5">
        <f t="shared" si="17"/>
        <v>0.00299349524013721</v>
      </c>
      <c r="W35" s="5">
        <f t="shared" si="18"/>
        <v>0.0205444444444444</v>
      </c>
      <c r="X35" s="12"/>
      <c r="Y35" s="12"/>
      <c r="Z35">
        <v>3.36</v>
      </c>
      <c r="AA35">
        <v>3.41686666958037</v>
      </c>
      <c r="AB35" s="5">
        <f t="shared" si="19"/>
        <v>0.00323381810916299</v>
      </c>
      <c r="AC35" s="5">
        <f t="shared" si="20"/>
        <v>0.0205444444444444</v>
      </c>
      <c r="AD35" s="13"/>
      <c r="AE35" s="13"/>
    </row>
    <row r="36" spans="2:31">
      <c r="B36">
        <v>3.96</v>
      </c>
      <c r="C36">
        <v>3.94028814682454</v>
      </c>
      <c r="D36" s="5">
        <f t="shared" si="21"/>
        <v>0.000388557155610896</v>
      </c>
      <c r="E36" s="5">
        <f t="shared" si="12"/>
        <v>0.552544444444444</v>
      </c>
      <c r="F36" s="5"/>
      <c r="G36" s="5"/>
      <c r="H36">
        <v>3.96</v>
      </c>
      <c r="I36">
        <v>3.87482565142307</v>
      </c>
      <c r="J36" s="5">
        <f t="shared" si="13"/>
        <v>0.00725466965550435</v>
      </c>
      <c r="K36" s="5">
        <f t="shared" si="14"/>
        <v>0.552544444444444</v>
      </c>
      <c r="L36" s="12"/>
      <c r="M36" s="12"/>
      <c r="N36">
        <v>3.96</v>
      </c>
      <c r="O36">
        <v>3.92892692623639</v>
      </c>
      <c r="P36" s="5">
        <f t="shared" si="15"/>
        <v>0.000965535913118749</v>
      </c>
      <c r="Q36" s="5">
        <f t="shared" si="16"/>
        <v>0.552544444444444</v>
      </c>
      <c r="R36" s="13"/>
      <c r="S36" s="13"/>
      <c r="T36">
        <v>3.96</v>
      </c>
      <c r="U36">
        <v>3.99100879267317</v>
      </c>
      <c r="V36" s="5">
        <f t="shared" si="17"/>
        <v>0.00096154522304765</v>
      </c>
      <c r="W36" s="5">
        <f t="shared" si="18"/>
        <v>0.552544444444444</v>
      </c>
      <c r="X36" s="12"/>
      <c r="Y36" s="12"/>
      <c r="Z36">
        <v>3.96</v>
      </c>
      <c r="AA36">
        <v>3.99427714834991</v>
      </c>
      <c r="AB36" s="5">
        <f t="shared" si="19"/>
        <v>0.00117492289900174</v>
      </c>
      <c r="AC36" s="5">
        <f t="shared" si="20"/>
        <v>0.552544444444444</v>
      </c>
      <c r="AD36" s="13"/>
      <c r="AE36" s="13"/>
    </row>
    <row r="37" spans="2:31">
      <c r="B37">
        <v>2.77</v>
      </c>
      <c r="C37">
        <v>3.05651854478941</v>
      </c>
      <c r="D37" s="5">
        <f t="shared" si="21"/>
        <v>0.0820928765082412</v>
      </c>
      <c r="E37" s="5">
        <f t="shared" si="12"/>
        <v>0.199511111111111</v>
      </c>
      <c r="F37" s="5"/>
      <c r="G37" s="5"/>
      <c r="H37">
        <v>2.77</v>
      </c>
      <c r="I37">
        <v>3.02660816532465</v>
      </c>
      <c r="J37" s="5">
        <f t="shared" si="13"/>
        <v>0.0658477505112829</v>
      </c>
      <c r="K37" s="5">
        <f t="shared" si="14"/>
        <v>0.199511111111111</v>
      </c>
      <c r="L37" s="12"/>
      <c r="M37" s="12"/>
      <c r="N37">
        <v>2.77</v>
      </c>
      <c r="O37">
        <v>3.14482490379747</v>
      </c>
      <c r="P37" s="5">
        <f t="shared" si="15"/>
        <v>0.140493708506783</v>
      </c>
      <c r="Q37" s="5">
        <f t="shared" si="16"/>
        <v>0.199511111111111</v>
      </c>
      <c r="R37" s="13"/>
      <c r="S37" s="13"/>
      <c r="T37">
        <v>2.77</v>
      </c>
      <c r="U37">
        <v>3.44233219599285</v>
      </c>
      <c r="V37" s="5">
        <f t="shared" si="17"/>
        <v>0.452030581768568</v>
      </c>
      <c r="W37" s="5">
        <f t="shared" si="18"/>
        <v>0.199511111111111</v>
      </c>
      <c r="X37" s="12"/>
      <c r="Y37" s="12"/>
      <c r="Z37">
        <v>2.77</v>
      </c>
      <c r="AA37">
        <v>3.4472669133107</v>
      </c>
      <c r="AB37" s="5">
        <f t="shared" si="19"/>
        <v>0.458690471865403</v>
      </c>
      <c r="AC37" s="5">
        <f t="shared" si="20"/>
        <v>0.199511111111111</v>
      </c>
      <c r="AD37" s="13"/>
      <c r="AE37" s="13"/>
    </row>
    <row r="38" spans="3:31">
      <c r="C38" s="6">
        <f>AVERAGE(C32:D37)</f>
        <v>1.65970136095904</v>
      </c>
      <c r="D38" s="6">
        <f>SUM(D32:D37)</f>
        <v>0.197804409029307</v>
      </c>
      <c r="E38" s="6">
        <f>SUM(E32:E37)</f>
        <v>1.06173333333333</v>
      </c>
      <c r="F38" s="6">
        <f>(CORREL(B32:B37,C32:C37))^2</f>
        <v>0.882493595541062</v>
      </c>
      <c r="G38" s="6">
        <f>SQRT(D38/6)</f>
        <v>0.181569274671913</v>
      </c>
      <c r="H38">
        <f>AVERAGE(H32:H37)</f>
        <v>3.21666666666667</v>
      </c>
      <c r="I38" s="14"/>
      <c r="J38" s="14">
        <f>SUM(J32:J37)</f>
        <v>0.233877751563286</v>
      </c>
      <c r="K38" s="14">
        <f>SUM(K32:K37)</f>
        <v>1.06173333333333</v>
      </c>
      <c r="L38" s="6">
        <f>(CORREL(H32:H37,I32:I37))^2</f>
        <v>0.888959412572847</v>
      </c>
      <c r="M38" s="6">
        <f>SQRT(J38/6)</f>
        <v>0.197432584090235</v>
      </c>
      <c r="N38">
        <f>AVERAGE(N32:N37)</f>
        <v>3.21666666666667</v>
      </c>
      <c r="O38" s="14"/>
      <c r="P38" s="14">
        <f>SUM(P32:P37)</f>
        <v>0.315615665098513</v>
      </c>
      <c r="Q38" s="14">
        <f>SUM(Q32:Q37)</f>
        <v>1.06173333333333</v>
      </c>
      <c r="R38" s="6">
        <f>(CORREL(N32:N37,O32:O37))^2</f>
        <v>0.854004439378814</v>
      </c>
      <c r="S38" s="6">
        <f>SQRT(P38/6)</f>
        <v>0.229352590675912</v>
      </c>
      <c r="T38">
        <f>AVERAGE(T32:T37)</f>
        <v>3.21666666666667</v>
      </c>
      <c r="U38" s="14"/>
      <c r="V38" s="14">
        <f>SUM(V32:V37)</f>
        <v>0.885792934685566</v>
      </c>
      <c r="W38" s="14">
        <f>SUM(W32:W37)</f>
        <v>1.06173333333333</v>
      </c>
      <c r="X38" s="6">
        <f>(CORREL(T32:T37,U32:U37))^2</f>
        <v>0.587538012405701</v>
      </c>
      <c r="Y38" s="6">
        <f>SQRT(V38/6)</f>
        <v>0.384229301044217</v>
      </c>
      <c r="Z38">
        <f>AVERAGE(Z32:Z37)</f>
        <v>3.21666666666667</v>
      </c>
      <c r="AA38" s="14"/>
      <c r="AB38" s="14">
        <f>SUM(AB32:AB37)</f>
        <v>0.89697170347992</v>
      </c>
      <c r="AC38" s="14">
        <f>SUM(AC32:AC37)</f>
        <v>1.06173333333333</v>
      </c>
      <c r="AD38" s="6">
        <f>(CORREL(Z32:Z37,AA32:AA37))^2</f>
        <v>0.582542463144459</v>
      </c>
      <c r="AE38" s="6">
        <f>SQRT(AB38/6)</f>
        <v>0.386646199920961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114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si="22"/>
        <v>104.796</v>
      </c>
      <c r="D83" s="5">
        <f t="shared" si="24"/>
        <v>25.9692159999999</v>
      </c>
      <c r="E83" s="5">
        <f t="shared" ref="E83:E114" si="25">(B83-Ybar_height)^2</f>
        <v>103.848837890625</v>
      </c>
    </row>
    <row r="84" spans="1:5">
      <c r="A84" s="10">
        <v>61</v>
      </c>
      <c r="B84" s="10">
        <v>107.5</v>
      </c>
      <c r="C84">
        <f t="shared" si="22"/>
        <v>106.084</v>
      </c>
      <c r="D84" s="5">
        <f t="shared" si="24"/>
        <v>2.00505599999999</v>
      </c>
      <c r="E84" s="5">
        <f t="shared" si="25"/>
        <v>5.715087890625</v>
      </c>
    </row>
    <row r="85" spans="1:5">
      <c r="A85" s="10">
        <v>59</v>
      </c>
      <c r="B85" s="10">
        <v>99.3</v>
      </c>
      <c r="C85">
        <f t="shared" si="22"/>
        <v>104.796</v>
      </c>
      <c r="D85" s="5">
        <f t="shared" si="24"/>
        <v>30.2060159999999</v>
      </c>
      <c r="E85" s="5">
        <f t="shared" si="25"/>
        <v>112.161337890625</v>
      </c>
    </row>
    <row r="86" spans="1:5">
      <c r="A86" s="10">
        <v>57</v>
      </c>
      <c r="B86" s="10">
        <v>105.7</v>
      </c>
      <c r="C86">
        <f t="shared" si="22"/>
        <v>103.508</v>
      </c>
      <c r="D86" s="5">
        <f t="shared" si="24"/>
        <v>4.80486400000003</v>
      </c>
      <c r="E86" s="5">
        <f t="shared" si="25"/>
        <v>17.561337890625</v>
      </c>
    </row>
    <row r="87" spans="1:5">
      <c r="A87" s="10">
        <v>57</v>
      </c>
      <c r="B87" s="10">
        <v>100.5</v>
      </c>
      <c r="C87">
        <f t="shared" si="22"/>
        <v>103.508</v>
      </c>
      <c r="D87" s="5">
        <f t="shared" si="24"/>
        <v>9.04806399999997</v>
      </c>
      <c r="E87" s="5">
        <f t="shared" si="25"/>
        <v>88.183837890625</v>
      </c>
    </row>
    <row r="88" spans="1:5">
      <c r="A88" s="10">
        <v>61</v>
      </c>
      <c r="B88" s="10">
        <v>102.5</v>
      </c>
      <c r="C88">
        <f t="shared" si="22"/>
        <v>106.084</v>
      </c>
      <c r="D88" s="5">
        <f t="shared" si="24"/>
        <v>12.845056</v>
      </c>
      <c r="E88" s="5">
        <f t="shared" si="25"/>
        <v>54.621337890625</v>
      </c>
    </row>
    <row r="89" spans="1:5">
      <c r="A89" s="10">
        <v>65</v>
      </c>
      <c r="B89" s="10">
        <v>110.5</v>
      </c>
      <c r="C89">
        <f t="shared" si="22"/>
        <v>108.66</v>
      </c>
      <c r="D89" s="5">
        <f t="shared" si="24"/>
        <v>3.38560000000001</v>
      </c>
      <c r="E89" s="5">
        <f t="shared" si="25"/>
        <v>0.371337890625</v>
      </c>
    </row>
    <row r="90" spans="1:5">
      <c r="A90" s="10">
        <v>65</v>
      </c>
      <c r="B90" s="10">
        <v>116.2</v>
      </c>
      <c r="C90">
        <f t="shared" si="22"/>
        <v>108.66</v>
      </c>
      <c r="D90" s="5">
        <f t="shared" si="24"/>
        <v>56.8516000000001</v>
      </c>
      <c r="E90" s="5">
        <f t="shared" si="25"/>
        <v>39.808212890625</v>
      </c>
    </row>
    <row r="91" spans="1:5">
      <c r="A91" s="10">
        <v>65</v>
      </c>
      <c r="B91" s="10">
        <v>106.8</v>
      </c>
      <c r="C91">
        <f t="shared" si="22"/>
        <v>108.66</v>
      </c>
      <c r="D91" s="5">
        <f t="shared" si="24"/>
        <v>3.4596</v>
      </c>
      <c r="E91" s="5">
        <f t="shared" si="25"/>
        <v>9.55196289062502</v>
      </c>
    </row>
    <row r="92" spans="1:5">
      <c r="A92" s="10">
        <v>68</v>
      </c>
      <c r="B92" s="10">
        <v>104.2</v>
      </c>
      <c r="C92">
        <f t="shared" si="22"/>
        <v>110.592</v>
      </c>
      <c r="D92" s="5">
        <f t="shared" si="24"/>
        <v>40.857664</v>
      </c>
      <c r="E92" s="5">
        <f t="shared" si="25"/>
        <v>32.383212890625</v>
      </c>
    </row>
    <row r="93" spans="1:5">
      <c r="A93" s="10">
        <v>64</v>
      </c>
      <c r="B93" s="10">
        <v>111.5</v>
      </c>
      <c r="C93">
        <f t="shared" si="22"/>
        <v>108.016</v>
      </c>
      <c r="D93" s="5">
        <f t="shared" si="24"/>
        <v>12.1382560000001</v>
      </c>
      <c r="E93" s="5">
        <f t="shared" si="25"/>
        <v>2.590087890625</v>
      </c>
    </row>
    <row r="94" spans="1:5">
      <c r="A94" s="10">
        <v>60</v>
      </c>
      <c r="B94" s="10">
        <v>109.3</v>
      </c>
      <c r="C94">
        <f t="shared" si="22"/>
        <v>105.44</v>
      </c>
      <c r="D94" s="5">
        <f t="shared" si="24"/>
        <v>14.8996</v>
      </c>
      <c r="E94" s="5">
        <f t="shared" si="25"/>
        <v>0.348837890625003</v>
      </c>
    </row>
    <row r="95" spans="1:5">
      <c r="A95" s="10">
        <v>65</v>
      </c>
      <c r="B95" s="10">
        <v>109.3</v>
      </c>
      <c r="C95">
        <f t="shared" si="22"/>
        <v>108.66</v>
      </c>
      <c r="D95" s="5">
        <f t="shared" si="24"/>
        <v>0.409600000000001</v>
      </c>
      <c r="E95" s="5">
        <f t="shared" si="25"/>
        <v>0.348837890625003</v>
      </c>
    </row>
    <row r="96" spans="1:5">
      <c r="A96" s="10">
        <v>66</v>
      </c>
      <c r="B96" s="10">
        <v>107.5</v>
      </c>
      <c r="C96">
        <f t="shared" si="22"/>
        <v>109.304</v>
      </c>
      <c r="D96" s="5">
        <f t="shared" si="24"/>
        <v>3.25441600000001</v>
      </c>
      <c r="E96" s="5">
        <f t="shared" si="25"/>
        <v>5.715087890625</v>
      </c>
    </row>
    <row r="97" spans="1:5">
      <c r="A97" s="10">
        <v>66</v>
      </c>
      <c r="B97" s="10">
        <v>109.2</v>
      </c>
      <c r="C97">
        <f t="shared" si="22"/>
        <v>109.304</v>
      </c>
      <c r="D97" s="5">
        <f t="shared" si="24"/>
        <v>0.0108159999999998</v>
      </c>
      <c r="E97" s="5">
        <f t="shared" si="25"/>
        <v>0.476962890624996</v>
      </c>
    </row>
    <row r="98" spans="1:5">
      <c r="A98" s="10">
        <v>66</v>
      </c>
      <c r="B98" s="10">
        <v>109.4</v>
      </c>
      <c r="C98">
        <f t="shared" si="22"/>
        <v>109.304</v>
      </c>
      <c r="D98" s="5">
        <f t="shared" si="24"/>
        <v>0.0092160000000007</v>
      </c>
      <c r="E98" s="5">
        <f t="shared" si="25"/>
        <v>0.240712890624994</v>
      </c>
    </row>
    <row r="99" spans="1:5">
      <c r="A99" s="10">
        <v>60</v>
      </c>
      <c r="B99" s="10">
        <v>101.7</v>
      </c>
      <c r="C99">
        <f t="shared" si="22"/>
        <v>105.44</v>
      </c>
      <c r="D99" s="5">
        <f t="shared" si="24"/>
        <v>13.9876</v>
      </c>
      <c r="E99" s="5">
        <f t="shared" si="25"/>
        <v>67.0863378906249</v>
      </c>
    </row>
    <row r="100" spans="1:5">
      <c r="A100" s="10">
        <v>50</v>
      </c>
      <c r="B100" s="10">
        <v>105.7</v>
      </c>
      <c r="C100">
        <f t="shared" si="22"/>
        <v>99</v>
      </c>
      <c r="D100" s="5">
        <f t="shared" si="24"/>
        <v>44.89</v>
      </c>
      <c r="E100" s="5">
        <f t="shared" si="25"/>
        <v>17.561337890625</v>
      </c>
    </row>
    <row r="101" spans="1:5">
      <c r="A101" s="10">
        <v>74</v>
      </c>
      <c r="B101" s="10">
        <v>112.1</v>
      </c>
      <c r="C101">
        <f t="shared" si="22"/>
        <v>114.456</v>
      </c>
      <c r="D101" s="5">
        <f t="shared" si="24"/>
        <v>5.55073599999997</v>
      </c>
      <c r="E101" s="5">
        <f t="shared" si="25"/>
        <v>4.88133789062497</v>
      </c>
    </row>
    <row r="102" spans="1:5">
      <c r="A102" s="10">
        <v>74</v>
      </c>
      <c r="B102" s="10">
        <v>118.6</v>
      </c>
      <c r="C102">
        <f t="shared" si="22"/>
        <v>114.456</v>
      </c>
      <c r="D102" s="5">
        <f t="shared" si="24"/>
        <v>17.172736</v>
      </c>
      <c r="E102" s="5">
        <f t="shared" si="25"/>
        <v>75.8532128906249</v>
      </c>
    </row>
    <row r="103" spans="1:5">
      <c r="A103" s="10">
        <v>63</v>
      </c>
      <c r="B103" s="10">
        <v>109.6</v>
      </c>
      <c r="C103">
        <f t="shared" si="22"/>
        <v>107.372</v>
      </c>
      <c r="D103" s="5">
        <f t="shared" si="24"/>
        <v>4.96398399999998</v>
      </c>
      <c r="E103" s="5">
        <f t="shared" si="25"/>
        <v>0.0844628906250033</v>
      </c>
    </row>
    <row r="104" spans="1:5">
      <c r="A104" s="10">
        <v>73</v>
      </c>
      <c r="B104" s="10">
        <v>115</v>
      </c>
      <c r="C104">
        <f t="shared" si="22"/>
        <v>113.812</v>
      </c>
      <c r="D104" s="5">
        <f t="shared" si="24"/>
        <v>1.41134400000001</v>
      </c>
      <c r="E104" s="5">
        <f t="shared" si="25"/>
        <v>26.105712890625</v>
      </c>
    </row>
    <row r="105" spans="1:5">
      <c r="A105" s="10">
        <v>64</v>
      </c>
      <c r="B105" s="10">
        <v>106.8</v>
      </c>
      <c r="C105">
        <f t="shared" si="22"/>
        <v>108.016</v>
      </c>
      <c r="D105" s="5">
        <f t="shared" si="24"/>
        <v>1.47865599999999</v>
      </c>
      <c r="E105" s="5">
        <f t="shared" si="25"/>
        <v>9.55196289062502</v>
      </c>
    </row>
    <row r="106" spans="1:5">
      <c r="A106" s="10">
        <v>70</v>
      </c>
      <c r="B106" s="10">
        <v>112.2</v>
      </c>
      <c r="C106">
        <f t="shared" si="22"/>
        <v>111.88</v>
      </c>
      <c r="D106" s="5">
        <f t="shared" si="24"/>
        <v>0.102400000000005</v>
      </c>
      <c r="E106" s="5">
        <f t="shared" si="25"/>
        <v>5.33321289062501</v>
      </c>
    </row>
    <row r="107" spans="1:5">
      <c r="A107" s="10">
        <v>66</v>
      </c>
      <c r="B107" s="10">
        <v>108.8</v>
      </c>
      <c r="C107">
        <f t="shared" si="22"/>
        <v>109.304</v>
      </c>
      <c r="D107" s="5">
        <f t="shared" si="24"/>
        <v>0.254016000000005</v>
      </c>
      <c r="E107" s="5">
        <f t="shared" si="25"/>
        <v>1.18946289062501</v>
      </c>
    </row>
    <row r="108" spans="1:5">
      <c r="A108" s="10">
        <v>76</v>
      </c>
      <c r="B108" s="10">
        <v>119.1</v>
      </c>
      <c r="C108">
        <f t="shared" si="22"/>
        <v>115.744</v>
      </c>
      <c r="D108" s="5">
        <f t="shared" si="24"/>
        <v>11.262736</v>
      </c>
      <c r="E108" s="5">
        <f t="shared" si="25"/>
        <v>84.8125878906249</v>
      </c>
    </row>
    <row r="109" spans="1:5">
      <c r="A109" s="10">
        <v>76</v>
      </c>
      <c r="B109" s="10">
        <v>112.6</v>
      </c>
      <c r="C109">
        <f t="shared" si="22"/>
        <v>115.744</v>
      </c>
      <c r="D109" s="5">
        <f t="shared" si="24"/>
        <v>9.88473600000003</v>
      </c>
      <c r="E109" s="5">
        <f t="shared" si="25"/>
        <v>7.34071289062497</v>
      </c>
    </row>
    <row r="110" spans="1:5">
      <c r="A110" s="10">
        <v>66</v>
      </c>
      <c r="B110" s="10">
        <v>109.5</v>
      </c>
      <c r="C110">
        <f t="shared" si="22"/>
        <v>109.304</v>
      </c>
      <c r="D110" s="5">
        <f t="shared" si="24"/>
        <v>0.0384159999999992</v>
      </c>
      <c r="E110" s="5">
        <f t="shared" si="25"/>
        <v>0.152587890625</v>
      </c>
    </row>
    <row r="111" spans="1:5">
      <c r="A111" s="10">
        <v>68</v>
      </c>
      <c r="B111" s="10">
        <v>109</v>
      </c>
      <c r="C111">
        <f t="shared" si="22"/>
        <v>110.592</v>
      </c>
      <c r="D111" s="5">
        <f t="shared" si="24"/>
        <v>2.534464</v>
      </c>
      <c r="E111" s="5">
        <f t="shared" si="25"/>
        <v>0.793212890625</v>
      </c>
    </row>
    <row r="112" spans="1:5">
      <c r="A112" s="10">
        <v>62</v>
      </c>
      <c r="B112" s="10">
        <v>103.5</v>
      </c>
      <c r="C112">
        <f t="shared" si="22"/>
        <v>106.728</v>
      </c>
      <c r="D112" s="5">
        <f t="shared" si="24"/>
        <v>10.4199840000001</v>
      </c>
      <c r="E112" s="5">
        <f t="shared" si="25"/>
        <v>40.840087890625</v>
      </c>
    </row>
    <row r="113" spans="1:5">
      <c r="A113" s="10">
        <v>65</v>
      </c>
      <c r="B113" s="10">
        <v>115.8</v>
      </c>
      <c r="C113">
        <f t="shared" si="22"/>
        <v>108.66</v>
      </c>
      <c r="D113" s="5">
        <f t="shared" si="24"/>
        <v>50.9796</v>
      </c>
      <c r="E113" s="5">
        <f t="shared" si="25"/>
        <v>34.920712890625</v>
      </c>
    </row>
    <row r="114" spans="1:5">
      <c r="A114" s="10">
        <v>65</v>
      </c>
      <c r="B114" s="10">
        <v>109.8</v>
      </c>
      <c r="C114">
        <f t="shared" si="22"/>
        <v>108.66</v>
      </c>
      <c r="D114" s="5">
        <f t="shared" si="24"/>
        <v>1.2996</v>
      </c>
      <c r="E114" s="5">
        <f t="shared" si="25"/>
        <v>0.00821289062500052</v>
      </c>
    </row>
    <row r="115" spans="1:5">
      <c r="A115" s="10">
        <v>73</v>
      </c>
      <c r="B115" s="10">
        <v>109.5</v>
      </c>
      <c r="C115">
        <f t="shared" ref="C115:C146" si="26">66.8+0.644*A115</f>
        <v>113.812</v>
      </c>
      <c r="D115" s="5">
        <f t="shared" si="24"/>
        <v>18.593344</v>
      </c>
      <c r="E115" s="5">
        <f t="shared" ref="E115:E146" si="27">(B115-Ybar_height)^2</f>
        <v>0.152587890625</v>
      </c>
    </row>
    <row r="116" spans="1:5">
      <c r="A116" s="10">
        <v>75</v>
      </c>
      <c r="B116" s="10">
        <v>114</v>
      </c>
      <c r="C116">
        <f t="shared" si="26"/>
        <v>115.1</v>
      </c>
      <c r="D116" s="5">
        <f t="shared" ref="D116:D146" si="28">(B116-C116)^2</f>
        <v>1.20999999999999</v>
      </c>
      <c r="E116" s="5">
        <f t="shared" si="27"/>
        <v>16.886962890625</v>
      </c>
    </row>
    <row r="117" spans="1:5">
      <c r="A117" s="10">
        <v>75</v>
      </c>
      <c r="B117" s="10">
        <v>117</v>
      </c>
      <c r="C117">
        <f t="shared" si="26"/>
        <v>115.1</v>
      </c>
      <c r="D117" s="5">
        <f t="shared" si="28"/>
        <v>3.61000000000002</v>
      </c>
      <c r="E117" s="5">
        <f t="shared" si="27"/>
        <v>50.543212890625</v>
      </c>
    </row>
    <row r="118" spans="1:5">
      <c r="A118" s="10">
        <v>74</v>
      </c>
      <c r="B118" s="10">
        <v>113.2</v>
      </c>
      <c r="C118">
        <f t="shared" si="26"/>
        <v>114.456</v>
      </c>
      <c r="D118" s="5">
        <f t="shared" si="28"/>
        <v>1.57753599999996</v>
      </c>
      <c r="E118" s="5">
        <f t="shared" si="27"/>
        <v>10.951962890625</v>
      </c>
    </row>
    <row r="119" spans="1:5">
      <c r="A119" s="10">
        <v>64</v>
      </c>
      <c r="B119" s="10">
        <v>110.8</v>
      </c>
      <c r="C119">
        <f t="shared" si="26"/>
        <v>108.016</v>
      </c>
      <c r="D119" s="5">
        <f t="shared" si="28"/>
        <v>7.75065600000003</v>
      </c>
      <c r="E119" s="5">
        <f t="shared" si="27"/>
        <v>0.826962890624995</v>
      </c>
    </row>
    <row r="120" spans="1:5">
      <c r="A120" s="10">
        <v>73</v>
      </c>
      <c r="B120" s="10">
        <v>118.5</v>
      </c>
      <c r="C120">
        <f t="shared" si="26"/>
        <v>113.812</v>
      </c>
      <c r="D120" s="5">
        <f t="shared" si="28"/>
        <v>21.977344</v>
      </c>
      <c r="E120" s="5">
        <f t="shared" si="27"/>
        <v>74.121337890625</v>
      </c>
    </row>
    <row r="121" spans="1:5">
      <c r="A121" s="10">
        <v>65</v>
      </c>
      <c r="B121" s="10">
        <v>108.8</v>
      </c>
      <c r="C121">
        <f t="shared" si="26"/>
        <v>108.66</v>
      </c>
      <c r="D121" s="5">
        <f t="shared" si="28"/>
        <v>0.0196000000000002</v>
      </c>
      <c r="E121" s="5">
        <f t="shared" si="27"/>
        <v>1.18946289062501</v>
      </c>
    </row>
    <row r="122" spans="1:5">
      <c r="A122" s="10">
        <v>75</v>
      </c>
      <c r="B122" s="10">
        <v>115.3</v>
      </c>
      <c r="C122">
        <f t="shared" si="26"/>
        <v>115.1</v>
      </c>
      <c r="D122" s="5">
        <f t="shared" si="28"/>
        <v>0.0400000000000011</v>
      </c>
      <c r="E122" s="5">
        <f t="shared" si="27"/>
        <v>29.261337890625</v>
      </c>
    </row>
    <row r="123" spans="1:5">
      <c r="A123" s="10">
        <v>71</v>
      </c>
      <c r="B123" s="10">
        <v>110.8</v>
      </c>
      <c r="C123">
        <f t="shared" si="26"/>
        <v>112.524</v>
      </c>
      <c r="D123" s="5">
        <f t="shared" si="28"/>
        <v>2.97217600000001</v>
      </c>
      <c r="E123" s="5">
        <f t="shared" si="27"/>
        <v>0.826962890624995</v>
      </c>
    </row>
    <row r="124" spans="1:5">
      <c r="A124" s="10">
        <v>72</v>
      </c>
      <c r="B124" s="10">
        <v>116.2</v>
      </c>
      <c r="C124">
        <f t="shared" si="26"/>
        <v>113.168</v>
      </c>
      <c r="D124" s="5">
        <f t="shared" si="28"/>
        <v>9.19302399999998</v>
      </c>
      <c r="E124" s="5">
        <f t="shared" si="27"/>
        <v>39.808212890625</v>
      </c>
    </row>
    <row r="125" spans="1:5">
      <c r="A125" s="10">
        <v>73</v>
      </c>
      <c r="B125" s="10">
        <v>114.3</v>
      </c>
      <c r="C125">
        <f t="shared" si="26"/>
        <v>113.812</v>
      </c>
      <c r="D125" s="5">
        <f t="shared" si="28"/>
        <v>0.238144</v>
      </c>
      <c r="E125" s="5">
        <f t="shared" si="27"/>
        <v>19.442587890625</v>
      </c>
    </row>
    <row r="126" spans="1:5">
      <c r="A126" s="10">
        <v>75</v>
      </c>
      <c r="B126" s="10">
        <v>116.4</v>
      </c>
      <c r="C126">
        <f t="shared" si="26"/>
        <v>115.1</v>
      </c>
      <c r="D126" s="5">
        <f t="shared" si="28"/>
        <v>1.69000000000003</v>
      </c>
      <c r="E126" s="5">
        <f t="shared" si="27"/>
        <v>42.3719628906251</v>
      </c>
    </row>
    <row r="127" spans="1:5">
      <c r="A127" s="10">
        <v>77</v>
      </c>
      <c r="B127" s="10">
        <v>117.5</v>
      </c>
      <c r="C127">
        <f t="shared" si="26"/>
        <v>116.388</v>
      </c>
      <c r="D127" s="5">
        <f t="shared" si="28"/>
        <v>1.23654399999999</v>
      </c>
      <c r="E127" s="5">
        <f t="shared" si="27"/>
        <v>57.902587890625</v>
      </c>
    </row>
    <row r="128" spans="1:5">
      <c r="A128" s="10">
        <v>67</v>
      </c>
      <c r="B128" s="10">
        <v>119</v>
      </c>
      <c r="C128">
        <f t="shared" si="26"/>
        <v>109.948</v>
      </c>
      <c r="D128" s="5">
        <f t="shared" si="28"/>
        <v>81.9387039999999</v>
      </c>
      <c r="E128" s="5">
        <f t="shared" si="27"/>
        <v>82.980712890625</v>
      </c>
    </row>
    <row r="129" spans="1:5">
      <c r="A129" s="10">
        <v>78</v>
      </c>
      <c r="B129" s="10">
        <v>112.8</v>
      </c>
      <c r="C129">
        <f t="shared" si="26"/>
        <v>117.032</v>
      </c>
      <c r="D129" s="5">
        <f t="shared" si="28"/>
        <v>17.909824</v>
      </c>
      <c r="E129" s="5">
        <f t="shared" si="27"/>
        <v>8.46446289062498</v>
      </c>
    </row>
    <row r="130" spans="1:5">
      <c r="A130" s="10">
        <v>73</v>
      </c>
      <c r="B130" s="10">
        <v>113.6</v>
      </c>
      <c r="C130">
        <f t="shared" si="26"/>
        <v>113.812</v>
      </c>
      <c r="D130" s="5">
        <f t="shared" si="28"/>
        <v>0.0449440000000014</v>
      </c>
      <c r="E130" s="5">
        <f t="shared" si="27"/>
        <v>13.759462890625</v>
      </c>
    </row>
    <row r="131" spans="1:5">
      <c r="A131" s="10">
        <v>76</v>
      </c>
      <c r="B131" s="10">
        <v>119.9</v>
      </c>
      <c r="C131">
        <f t="shared" si="26"/>
        <v>115.744</v>
      </c>
      <c r="D131" s="5">
        <f t="shared" si="28"/>
        <v>17.272336</v>
      </c>
      <c r="E131" s="5">
        <f t="shared" si="27"/>
        <v>100.187587890625</v>
      </c>
    </row>
    <row r="132" spans="1:5">
      <c r="A132" s="10">
        <v>74</v>
      </c>
      <c r="B132" s="10">
        <v>108.2</v>
      </c>
      <c r="C132">
        <f t="shared" si="26"/>
        <v>114.456</v>
      </c>
      <c r="D132" s="5">
        <f t="shared" si="28"/>
        <v>39.1375359999998</v>
      </c>
      <c r="E132" s="5">
        <f t="shared" si="27"/>
        <v>2.85821289062499</v>
      </c>
    </row>
    <row r="133" spans="1:5">
      <c r="A133" s="10">
        <v>77</v>
      </c>
      <c r="B133" s="10">
        <v>120</v>
      </c>
      <c r="C133">
        <f t="shared" si="26"/>
        <v>116.388</v>
      </c>
      <c r="D133" s="5">
        <f t="shared" si="28"/>
        <v>13.046544</v>
      </c>
      <c r="E133" s="5">
        <f t="shared" si="27"/>
        <v>102.199462890625</v>
      </c>
    </row>
    <row r="134" spans="1:5">
      <c r="A134" s="10">
        <v>75</v>
      </c>
      <c r="B134" s="10">
        <v>125</v>
      </c>
      <c r="C134">
        <f t="shared" si="26"/>
        <v>115.1</v>
      </c>
      <c r="D134" s="5">
        <f t="shared" si="28"/>
        <v>98.0100000000001</v>
      </c>
      <c r="E134" s="5">
        <f t="shared" si="27"/>
        <v>228.293212890625</v>
      </c>
    </row>
    <row r="135" spans="1:5">
      <c r="A135" s="10">
        <v>77</v>
      </c>
      <c r="B135" s="10">
        <v>120.8</v>
      </c>
      <c r="C135">
        <f t="shared" si="26"/>
        <v>116.388</v>
      </c>
      <c r="D135" s="5">
        <f t="shared" si="28"/>
        <v>19.4657439999999</v>
      </c>
      <c r="E135" s="5">
        <f t="shared" si="27"/>
        <v>119.014462890625</v>
      </c>
    </row>
    <row r="136" spans="1:5">
      <c r="A136" s="10">
        <v>64</v>
      </c>
      <c r="B136" s="10">
        <v>109.2</v>
      </c>
      <c r="C136">
        <f t="shared" si="26"/>
        <v>108.016</v>
      </c>
      <c r="D136" s="5">
        <f t="shared" si="28"/>
        <v>1.40185600000003</v>
      </c>
      <c r="E136" s="5">
        <f t="shared" si="27"/>
        <v>0.476962890624996</v>
      </c>
    </row>
    <row r="137" spans="1:5">
      <c r="A137" s="10">
        <v>78</v>
      </c>
      <c r="B137" s="10">
        <v>120</v>
      </c>
      <c r="C137">
        <f t="shared" si="26"/>
        <v>117.032</v>
      </c>
      <c r="D137" s="5">
        <f t="shared" si="28"/>
        <v>8.80902400000002</v>
      </c>
      <c r="E137" s="5">
        <f t="shared" si="27"/>
        <v>102.199462890625</v>
      </c>
    </row>
    <row r="138" spans="1:5">
      <c r="A138" s="10">
        <v>77</v>
      </c>
      <c r="B138" s="10">
        <v>120.4</v>
      </c>
      <c r="C138">
        <f t="shared" si="26"/>
        <v>116.388</v>
      </c>
      <c r="D138" s="5">
        <f t="shared" si="28"/>
        <v>16.096144</v>
      </c>
      <c r="E138" s="5">
        <f t="shared" si="27"/>
        <v>110.446962890625</v>
      </c>
    </row>
    <row r="139" spans="1:5">
      <c r="A139" s="10">
        <v>66</v>
      </c>
      <c r="B139" s="10">
        <v>120.5</v>
      </c>
      <c r="C139">
        <f t="shared" si="26"/>
        <v>109.304</v>
      </c>
      <c r="D139" s="5">
        <f t="shared" si="28"/>
        <v>125.350416</v>
      </c>
      <c r="E139" s="5">
        <f t="shared" si="27"/>
        <v>112.558837890625</v>
      </c>
    </row>
    <row r="140" spans="1:5">
      <c r="A140" s="10">
        <v>74</v>
      </c>
      <c r="B140" s="10">
        <v>120.5</v>
      </c>
      <c r="C140">
        <f t="shared" si="26"/>
        <v>114.456</v>
      </c>
      <c r="D140" s="5">
        <f t="shared" si="28"/>
        <v>36.5299360000001</v>
      </c>
      <c r="E140" s="5">
        <f t="shared" si="27"/>
        <v>112.558837890625</v>
      </c>
    </row>
    <row r="141" spans="1:5">
      <c r="A141" s="10">
        <v>66</v>
      </c>
      <c r="B141" s="10">
        <v>108</v>
      </c>
      <c r="C141">
        <f t="shared" si="26"/>
        <v>109.304</v>
      </c>
      <c r="D141" s="5">
        <f t="shared" si="28"/>
        <v>1.70041600000001</v>
      </c>
      <c r="E141" s="5">
        <f t="shared" si="27"/>
        <v>3.574462890625</v>
      </c>
    </row>
    <row r="142" spans="1:5">
      <c r="A142" s="10">
        <v>68</v>
      </c>
      <c r="B142" s="10">
        <v>103.7</v>
      </c>
      <c r="C142">
        <f t="shared" si="26"/>
        <v>110.592</v>
      </c>
      <c r="D142" s="5">
        <f t="shared" si="28"/>
        <v>47.4996639999999</v>
      </c>
      <c r="E142" s="5">
        <f t="shared" si="27"/>
        <v>38.323837890625</v>
      </c>
    </row>
    <row r="143" spans="1:5">
      <c r="A143" s="10">
        <v>64</v>
      </c>
      <c r="B143" s="10">
        <v>109.2</v>
      </c>
      <c r="C143">
        <f t="shared" si="26"/>
        <v>108.016</v>
      </c>
      <c r="D143" s="5">
        <f t="shared" si="28"/>
        <v>1.40185600000003</v>
      </c>
      <c r="E143" s="5">
        <f t="shared" si="27"/>
        <v>0.476962890624996</v>
      </c>
    </row>
    <row r="144" spans="1:5">
      <c r="A144" s="10">
        <v>54</v>
      </c>
      <c r="B144" s="10">
        <v>102</v>
      </c>
      <c r="C144">
        <f t="shared" si="26"/>
        <v>101.576</v>
      </c>
      <c r="D144" s="5">
        <f t="shared" si="28"/>
        <v>0.179776000000006</v>
      </c>
      <c r="E144" s="5">
        <f t="shared" si="27"/>
        <v>62.261962890625</v>
      </c>
    </row>
    <row r="145" spans="1:5">
      <c r="A145" s="10">
        <v>80</v>
      </c>
      <c r="B145" s="10">
        <v>113.8</v>
      </c>
      <c r="C145">
        <f t="shared" si="26"/>
        <v>118.32</v>
      </c>
      <c r="D145" s="5">
        <f t="shared" si="28"/>
        <v>20.4304</v>
      </c>
      <c r="E145" s="5">
        <f t="shared" si="27"/>
        <v>15.283212890625</v>
      </c>
    </row>
    <row r="146" spans="1:5">
      <c r="A146" s="10">
        <v>77</v>
      </c>
      <c r="B146" s="10">
        <v>122.3</v>
      </c>
      <c r="C146">
        <f t="shared" si="26"/>
        <v>116.388</v>
      </c>
      <c r="D146" s="5">
        <f t="shared" si="28"/>
        <v>34.9517439999999</v>
      </c>
      <c r="E146" s="5">
        <f t="shared" si="27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29">(B151-Ybar_prod)^2</f>
        <v>3844</v>
      </c>
    </row>
    <row r="152" spans="1:5">
      <c r="A152" s="10">
        <v>6</v>
      </c>
      <c r="B152" s="10">
        <v>105</v>
      </c>
      <c r="C152">
        <f t="shared" ref="C152:C160" si="30">60+5*A152</f>
        <v>90</v>
      </c>
      <c r="D152" s="5">
        <f t="shared" ref="D152:D160" si="31">(B152-C152)^2</f>
        <v>225</v>
      </c>
      <c r="E152" s="5">
        <f t="shared" si="29"/>
        <v>225</v>
      </c>
    </row>
    <row r="153" spans="1:5">
      <c r="A153" s="10">
        <v>8</v>
      </c>
      <c r="B153" s="10">
        <v>88</v>
      </c>
      <c r="C153">
        <f t="shared" si="30"/>
        <v>100</v>
      </c>
      <c r="D153" s="5">
        <f t="shared" si="31"/>
        <v>144</v>
      </c>
      <c r="E153" s="5">
        <f t="shared" si="29"/>
        <v>1024</v>
      </c>
    </row>
    <row r="154" spans="1:5">
      <c r="A154" s="10">
        <v>8</v>
      </c>
      <c r="B154" s="10">
        <v>118</v>
      </c>
      <c r="C154">
        <f t="shared" si="30"/>
        <v>100</v>
      </c>
      <c r="D154" s="5">
        <f t="shared" si="31"/>
        <v>324</v>
      </c>
      <c r="E154" s="5">
        <f t="shared" si="29"/>
        <v>4</v>
      </c>
    </row>
    <row r="155" spans="1:5">
      <c r="A155" s="10">
        <v>12</v>
      </c>
      <c r="B155" s="10">
        <v>17</v>
      </c>
      <c r="C155">
        <f t="shared" si="30"/>
        <v>120</v>
      </c>
      <c r="D155" s="5">
        <f t="shared" si="31"/>
        <v>10609</v>
      </c>
      <c r="E155" s="5">
        <f t="shared" si="29"/>
        <v>10609</v>
      </c>
    </row>
    <row r="156" spans="1:5">
      <c r="A156" s="10">
        <v>16</v>
      </c>
      <c r="B156" s="10">
        <v>137</v>
      </c>
      <c r="C156">
        <f t="shared" si="30"/>
        <v>140</v>
      </c>
      <c r="D156" s="5">
        <f t="shared" si="31"/>
        <v>9</v>
      </c>
      <c r="E156" s="5">
        <f t="shared" si="29"/>
        <v>289</v>
      </c>
    </row>
    <row r="157" spans="1:5">
      <c r="A157" s="10">
        <v>20</v>
      </c>
      <c r="B157" s="10">
        <v>157</v>
      </c>
      <c r="C157">
        <f t="shared" si="30"/>
        <v>160</v>
      </c>
      <c r="D157" s="5">
        <f t="shared" si="31"/>
        <v>9</v>
      </c>
      <c r="E157" s="5">
        <f t="shared" si="29"/>
        <v>1369</v>
      </c>
    </row>
    <row r="158" spans="1:5">
      <c r="A158" s="10">
        <v>20</v>
      </c>
      <c r="B158" s="10">
        <v>169</v>
      </c>
      <c r="C158">
        <f t="shared" si="30"/>
        <v>160</v>
      </c>
      <c r="D158" s="5">
        <f t="shared" si="31"/>
        <v>81</v>
      </c>
      <c r="E158" s="5">
        <f t="shared" si="29"/>
        <v>2401</v>
      </c>
    </row>
    <row r="159" spans="1:5">
      <c r="A159" s="10">
        <v>22</v>
      </c>
      <c r="B159" s="10">
        <v>149</v>
      </c>
      <c r="C159">
        <f t="shared" si="30"/>
        <v>170</v>
      </c>
      <c r="D159" s="5">
        <f t="shared" si="31"/>
        <v>441</v>
      </c>
      <c r="E159" s="5">
        <f t="shared" si="29"/>
        <v>841</v>
      </c>
    </row>
    <row r="160" spans="1:5">
      <c r="A160" s="10">
        <v>26</v>
      </c>
      <c r="B160" s="10">
        <v>202</v>
      </c>
      <c r="C160">
        <f t="shared" si="30"/>
        <v>190</v>
      </c>
      <c r="D160" s="5">
        <f t="shared" si="31"/>
        <v>144</v>
      </c>
      <c r="E160" s="5">
        <f t="shared" si="29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2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3">-16.03+0.03*A172</f>
        <v>7.94</v>
      </c>
      <c r="D172" s="5">
        <f t="shared" ref="D172:D185" si="34">(B172-C172)^2</f>
        <v>0.102400000000001</v>
      </c>
      <c r="E172" s="5">
        <f t="shared" si="32"/>
        <v>4.8605551111111</v>
      </c>
    </row>
    <row r="173" spans="1:5">
      <c r="A173" s="10">
        <v>837</v>
      </c>
      <c r="B173" s="10">
        <v>7.48</v>
      </c>
      <c r="C173">
        <f t="shared" si="33"/>
        <v>9.08</v>
      </c>
      <c r="D173" s="5">
        <f t="shared" si="34"/>
        <v>2.55999999999999</v>
      </c>
      <c r="E173" s="5">
        <f t="shared" si="32"/>
        <v>8.90823511111109</v>
      </c>
    </row>
    <row r="174" spans="1:5">
      <c r="A174" s="10">
        <v>855</v>
      </c>
      <c r="B174" s="10">
        <v>9.08</v>
      </c>
      <c r="C174">
        <f t="shared" si="33"/>
        <v>9.62</v>
      </c>
      <c r="D174" s="5">
        <f t="shared" si="34"/>
        <v>0.291599999999997</v>
      </c>
      <c r="E174" s="5">
        <f t="shared" si="32"/>
        <v>1.91730177777777</v>
      </c>
    </row>
    <row r="175" spans="1:5">
      <c r="A175" s="10">
        <v>845</v>
      </c>
      <c r="B175" s="10">
        <v>9.83</v>
      </c>
      <c r="C175">
        <f t="shared" si="33"/>
        <v>9.32</v>
      </c>
      <c r="D175" s="5">
        <f t="shared" si="34"/>
        <v>0.260100000000003</v>
      </c>
      <c r="E175" s="5">
        <f t="shared" si="32"/>
        <v>0.402801777777775</v>
      </c>
    </row>
    <row r="176" spans="1:5">
      <c r="A176" s="10">
        <v>844</v>
      </c>
      <c r="B176" s="10">
        <v>10.09</v>
      </c>
      <c r="C176">
        <f t="shared" si="33"/>
        <v>9.29</v>
      </c>
      <c r="D176" s="5">
        <f t="shared" si="34"/>
        <v>0.640000000000001</v>
      </c>
      <c r="E176" s="5">
        <f t="shared" si="32"/>
        <v>0.140375111111109</v>
      </c>
    </row>
    <row r="177" spans="1:5">
      <c r="A177" s="10">
        <v>863</v>
      </c>
      <c r="B177" s="10">
        <v>11.01</v>
      </c>
      <c r="C177">
        <f t="shared" si="33"/>
        <v>9.86</v>
      </c>
      <c r="D177" s="5">
        <f t="shared" si="34"/>
        <v>1.3225</v>
      </c>
      <c r="E177" s="5">
        <f t="shared" si="32"/>
        <v>0.297388444444447</v>
      </c>
    </row>
    <row r="178" spans="1:5">
      <c r="A178" s="10">
        <v>875</v>
      </c>
      <c r="B178" s="10">
        <v>11.49</v>
      </c>
      <c r="C178">
        <f t="shared" si="33"/>
        <v>10.22</v>
      </c>
      <c r="D178" s="5">
        <f t="shared" si="34"/>
        <v>1.6129</v>
      </c>
      <c r="E178" s="5">
        <f t="shared" si="32"/>
        <v>1.05130844444445</v>
      </c>
    </row>
    <row r="179" spans="1:5">
      <c r="A179" s="10">
        <v>880</v>
      </c>
      <c r="B179" s="10">
        <v>12.07</v>
      </c>
      <c r="C179">
        <f t="shared" si="33"/>
        <v>10.37</v>
      </c>
      <c r="D179" s="5">
        <f t="shared" si="34"/>
        <v>2.89000000000001</v>
      </c>
      <c r="E179" s="5">
        <f t="shared" si="32"/>
        <v>2.57709511111112</v>
      </c>
    </row>
    <row r="180" spans="1:5">
      <c r="A180" s="10">
        <v>905</v>
      </c>
      <c r="B180" s="10">
        <v>12.55</v>
      </c>
      <c r="C180">
        <f t="shared" si="33"/>
        <v>11.12</v>
      </c>
      <c r="D180" s="5">
        <f t="shared" si="34"/>
        <v>2.04490000000001</v>
      </c>
      <c r="E180" s="5">
        <f t="shared" si="32"/>
        <v>4.34861511111112</v>
      </c>
    </row>
    <row r="181" spans="1:5">
      <c r="A181" s="10">
        <v>886</v>
      </c>
      <c r="B181" s="10">
        <v>11.92</v>
      </c>
      <c r="C181">
        <f t="shared" si="33"/>
        <v>10.55</v>
      </c>
      <c r="D181" s="5">
        <f t="shared" si="34"/>
        <v>1.87690000000001</v>
      </c>
      <c r="E181" s="5">
        <f t="shared" si="32"/>
        <v>2.11799511111112</v>
      </c>
    </row>
    <row r="182" spans="1:5">
      <c r="A182" s="10">
        <v>843</v>
      </c>
      <c r="B182" s="10">
        <v>10.27</v>
      </c>
      <c r="C182">
        <f t="shared" si="33"/>
        <v>9.26</v>
      </c>
      <c r="D182" s="5">
        <f t="shared" si="34"/>
        <v>1.0201</v>
      </c>
      <c r="E182" s="5">
        <f t="shared" si="32"/>
        <v>0.0378951111111104</v>
      </c>
    </row>
    <row r="183" spans="1:5">
      <c r="A183" s="10">
        <v>904</v>
      </c>
      <c r="B183" s="10">
        <v>11.8</v>
      </c>
      <c r="C183">
        <f t="shared" si="33"/>
        <v>11.09</v>
      </c>
      <c r="D183" s="5">
        <f t="shared" si="34"/>
        <v>0.504100000000006</v>
      </c>
      <c r="E183" s="5">
        <f t="shared" si="32"/>
        <v>1.78311511111112</v>
      </c>
    </row>
    <row r="184" spans="1:5">
      <c r="A184" s="10">
        <v>950</v>
      </c>
      <c r="B184" s="10">
        <v>12.15</v>
      </c>
      <c r="C184">
        <f t="shared" si="33"/>
        <v>12.47</v>
      </c>
      <c r="D184" s="5">
        <f t="shared" si="34"/>
        <v>0.102399999999999</v>
      </c>
      <c r="E184" s="5">
        <f t="shared" si="32"/>
        <v>2.84034844444445</v>
      </c>
    </row>
    <row r="185" spans="1:5">
      <c r="A185" s="10">
        <v>841</v>
      </c>
      <c r="B185" s="10">
        <v>9.64</v>
      </c>
      <c r="C185">
        <f t="shared" si="33"/>
        <v>9.2</v>
      </c>
      <c r="D185" s="5">
        <f t="shared" si="34"/>
        <v>0.193600000000001</v>
      </c>
      <c r="E185" s="5">
        <f t="shared" si="32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11"/>
  <sheetViews>
    <sheetView workbookViewId="0">
      <selection activeCell="G11" sqref="G11"/>
    </sheetView>
  </sheetViews>
  <sheetFormatPr defaultColWidth="9" defaultRowHeight="14.25" outlineLevelCol="5"/>
  <cols>
    <col min="5" max="5" width="14.625" customWidth="1"/>
  </cols>
  <sheetData>
    <row r="5" spans="3:5">
      <c r="C5">
        <v>3.41</v>
      </c>
      <c r="D5">
        <v>3.23780843411944</v>
      </c>
      <c r="E5">
        <f>(C5-D5)^2</f>
        <v>0.0296499353603992</v>
      </c>
    </row>
    <row r="6" spans="3:5">
      <c r="C6">
        <v>3.06</v>
      </c>
      <c r="D6">
        <v>3.17380020257747</v>
      </c>
      <c r="E6">
        <f t="shared" ref="E6:E10" si="0">(C6-D6)^2</f>
        <v>0.0129504861066732</v>
      </c>
    </row>
    <row r="7" spans="3:5">
      <c r="C7">
        <v>2.74</v>
      </c>
      <c r="D7">
        <v>3.0042071431588</v>
      </c>
      <c r="E7">
        <f t="shared" si="0"/>
        <v>0.0698054144961345</v>
      </c>
    </row>
    <row r="8" spans="3:5">
      <c r="C8">
        <v>3.36</v>
      </c>
      <c r="D8">
        <v>3.30598945100957</v>
      </c>
      <c r="E8">
        <f t="shared" si="0"/>
        <v>0.00291713940224763</v>
      </c>
    </row>
    <row r="9" spans="3:5">
      <c r="C9">
        <v>3.96</v>
      </c>
      <c r="D9">
        <v>3.94028814682454</v>
      </c>
      <c r="E9">
        <f t="shared" si="0"/>
        <v>0.000388557155610896</v>
      </c>
    </row>
    <row r="10" spans="3:5">
      <c r="C10">
        <v>2.77</v>
      </c>
      <c r="D10">
        <v>3.05651854478941</v>
      </c>
      <c r="E10">
        <f t="shared" si="0"/>
        <v>0.0820928765082412</v>
      </c>
    </row>
    <row r="11" spans="5:6">
      <c r="E11">
        <f>SUM(E5:E10)/6</f>
        <v>0.0329674015048844</v>
      </c>
      <c r="F11">
        <f>SQRT(E11)</f>
        <v>0.181569274671913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A16" workbookViewId="0">
      <selection activeCell="B22" sqref="B22"/>
    </sheetView>
  </sheetViews>
  <sheetFormatPr defaultColWidth="9" defaultRowHeight="14.25"/>
  <cols>
    <col min="1" max="2" width="12.125" customWidth="1"/>
    <col min="3" max="3" width="14.5" customWidth="1"/>
    <col min="4" max="4" width="15.375" customWidth="1"/>
    <col min="5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 s="7">
        <v>3.71</v>
      </c>
      <c r="C22" s="7">
        <v>23600</v>
      </c>
      <c r="D22" s="5">
        <f>(B22-C22)^2</f>
        <v>556784901.7641</v>
      </c>
      <c r="E22" s="5">
        <f t="shared" ref="E22:E27" si="0">(B22-avgLogEff)^2</f>
        <v>0.0650249999999999</v>
      </c>
      <c r="F22" s="5"/>
      <c r="G22" s="5"/>
      <c r="H22">
        <v>3.71</v>
      </c>
      <c r="I22" s="7">
        <v>3.66798892620724</v>
      </c>
      <c r="J22" s="5">
        <f t="shared" ref="J22:J27" si="1">(H22-I22)^2</f>
        <v>0.00176493032122072</v>
      </c>
      <c r="K22" s="5">
        <f t="shared" ref="K22:K27" si="2">(H22-avgLogEff)^2</f>
        <v>0.0650249999999999</v>
      </c>
      <c r="L22" s="12"/>
      <c r="M22" s="12"/>
      <c r="N22">
        <v>3.71</v>
      </c>
      <c r="O22" s="7">
        <v>3.65351453284294</v>
      </c>
      <c r="P22" s="5">
        <f t="shared" ref="P22:P27" si="3">(N22-O22)^2</f>
        <v>0.00319060799995131</v>
      </c>
      <c r="Q22" s="5">
        <f t="shared" ref="Q22:Q27" si="4">(N22-avgLogEff)^2</f>
        <v>0.0650249999999999</v>
      </c>
      <c r="R22" s="13"/>
      <c r="S22" s="13"/>
      <c r="T22">
        <v>3.71</v>
      </c>
      <c r="U22" s="7">
        <v>3.70319508433653</v>
      </c>
      <c r="V22" s="5">
        <f t="shared" ref="V22:V27" si="5">(T22-U22)^2</f>
        <v>4.63068771869359e-5</v>
      </c>
      <c r="W22" s="5">
        <f t="shared" ref="W22:W27" si="6">(T22-avgLogEff)^2</f>
        <v>0.0650249999999999</v>
      </c>
      <c r="X22" s="13"/>
      <c r="Y22" s="13"/>
      <c r="Z22">
        <v>3.71</v>
      </c>
      <c r="AA22" s="7">
        <v>3.62994683333332</v>
      </c>
      <c r="AB22" s="5">
        <f t="shared" ref="AB22:AB27" si="7">(Z22-AA22)^2</f>
        <v>0.00640850949336324</v>
      </c>
      <c r="AC22" s="5">
        <f t="shared" ref="AC22:AC27" si="8">(Z22-avgLogEff)^2</f>
        <v>0.0650249999999999</v>
      </c>
      <c r="AD22" s="13"/>
      <c r="AE22" s="13"/>
      <c r="AF22">
        <v>3.71</v>
      </c>
      <c r="AG22" s="7">
        <v>3.82578015327454</v>
      </c>
      <c r="AH22" s="5">
        <f t="shared" ref="AH22:AH27" si="9">(AF22-AG22)^2</f>
        <v>0.013405043892276</v>
      </c>
      <c r="AI22" s="5">
        <f t="shared" ref="AI22:AI27" si="10">(AF22-avgLogEff)^2</f>
        <v>0.0650249999999999</v>
      </c>
      <c r="AJ22" s="13"/>
      <c r="AK22" s="13"/>
    </row>
    <row r="23" spans="2:37">
      <c r="B23" s="7">
        <v>3.75</v>
      </c>
      <c r="C23" s="7">
        <v>18826</v>
      </c>
      <c r="D23" s="5">
        <f t="shared" ref="D23:D27" si="11">(B23-C23)^2</f>
        <v>354277095.0625</v>
      </c>
      <c r="E23" s="5">
        <f t="shared" si="0"/>
        <v>0.087025</v>
      </c>
      <c r="F23" s="5"/>
      <c r="G23" s="5"/>
      <c r="H23">
        <v>3.75</v>
      </c>
      <c r="I23" s="7">
        <v>3.64657403305651</v>
      </c>
      <c r="J23" s="5">
        <f t="shared" si="1"/>
        <v>0.0106969306381958</v>
      </c>
      <c r="K23" s="5">
        <f t="shared" si="2"/>
        <v>0.087025</v>
      </c>
      <c r="L23" s="12"/>
      <c r="M23" s="12"/>
      <c r="N23">
        <v>3.75</v>
      </c>
      <c r="O23" s="7">
        <v>3.5327776141224</v>
      </c>
      <c r="P23" s="5">
        <f t="shared" si="3"/>
        <v>0.047185564926357</v>
      </c>
      <c r="Q23" s="5">
        <f t="shared" si="4"/>
        <v>0.087025</v>
      </c>
      <c r="R23" s="13"/>
      <c r="S23" s="13"/>
      <c r="T23">
        <v>3.75</v>
      </c>
      <c r="U23" s="7">
        <v>3.70319508433653</v>
      </c>
      <c r="V23" s="5">
        <f t="shared" si="5"/>
        <v>0.00219070013026452</v>
      </c>
      <c r="W23" s="5">
        <f t="shared" si="6"/>
        <v>0.087025</v>
      </c>
      <c r="X23" s="13"/>
      <c r="Y23" s="13"/>
      <c r="Z23">
        <v>3.75</v>
      </c>
      <c r="AA23" s="7">
        <v>3.75085266666666</v>
      </c>
      <c r="AB23" s="5">
        <f t="shared" si="7"/>
        <v>7.27040444433371e-7</v>
      </c>
      <c r="AC23" s="5">
        <f t="shared" si="8"/>
        <v>0.087025</v>
      </c>
      <c r="AD23" s="13"/>
      <c r="AE23" s="13"/>
      <c r="AF23">
        <v>3.75</v>
      </c>
      <c r="AG23" s="7">
        <v>3.85684990882874</v>
      </c>
      <c r="AH23" s="5">
        <f t="shared" si="9"/>
        <v>0.01141690301671</v>
      </c>
      <c r="AI23" s="5">
        <f t="shared" si="10"/>
        <v>0.087025</v>
      </c>
      <c r="AJ23" s="13"/>
      <c r="AK23" s="13"/>
    </row>
    <row r="24" spans="2:37">
      <c r="B24" s="7">
        <v>2.91</v>
      </c>
      <c r="C24" s="7">
        <v>100201</v>
      </c>
      <c r="D24" s="5">
        <f t="shared" si="11"/>
        <v>10039657239.6481</v>
      </c>
      <c r="E24" s="5">
        <f t="shared" si="0"/>
        <v>0.297025</v>
      </c>
      <c r="F24" s="5"/>
      <c r="G24" s="5"/>
      <c r="H24">
        <v>2.91</v>
      </c>
      <c r="I24" s="7">
        <v>3.43096989188601</v>
      </c>
      <c r="J24" s="5">
        <f t="shared" si="1"/>
        <v>0.271409628251721</v>
      </c>
      <c r="K24" s="5">
        <f t="shared" si="2"/>
        <v>0.297025</v>
      </c>
      <c r="L24" s="12"/>
      <c r="M24" s="12"/>
      <c r="N24">
        <v>2.91</v>
      </c>
      <c r="O24" s="7">
        <v>3.47173194434373</v>
      </c>
      <c r="P24" s="5">
        <f t="shared" si="3"/>
        <v>0.315542777296187</v>
      </c>
      <c r="Q24" s="5">
        <f t="shared" si="4"/>
        <v>0.297025</v>
      </c>
      <c r="R24" s="13"/>
      <c r="S24" s="13"/>
      <c r="T24">
        <v>2.91</v>
      </c>
      <c r="U24" s="7">
        <v>3.23791844482968</v>
      </c>
      <c r="V24" s="5">
        <f t="shared" si="5"/>
        <v>0.107530506459516</v>
      </c>
      <c r="W24" s="5">
        <f t="shared" si="6"/>
        <v>0.297025</v>
      </c>
      <c r="X24" s="13"/>
      <c r="Y24" s="13"/>
      <c r="Z24">
        <v>2.91</v>
      </c>
      <c r="AA24" s="7">
        <v>3.20686700000001</v>
      </c>
      <c r="AB24" s="5">
        <f t="shared" si="7"/>
        <v>0.0881300156890059</v>
      </c>
      <c r="AC24" s="5">
        <f t="shared" si="8"/>
        <v>0.297025</v>
      </c>
      <c r="AD24" s="13"/>
      <c r="AE24" s="13"/>
      <c r="AF24">
        <v>2.91</v>
      </c>
      <c r="AG24" s="7">
        <v>3.30237007141113</v>
      </c>
      <c r="AH24" s="5">
        <f t="shared" si="9"/>
        <v>0.153954272939175</v>
      </c>
      <c r="AI24" s="5">
        <f t="shared" si="10"/>
        <v>0.297025</v>
      </c>
      <c r="AJ24" s="13"/>
      <c r="AK24" s="13"/>
    </row>
    <row r="25" spans="2:37">
      <c r="B25" s="7">
        <v>3.58</v>
      </c>
      <c r="C25" s="7">
        <v>62009</v>
      </c>
      <c r="D25" s="5">
        <f t="shared" si="11"/>
        <v>3844672109.3764</v>
      </c>
      <c r="E25" s="5">
        <f t="shared" si="0"/>
        <v>0.015625</v>
      </c>
      <c r="F25" s="5"/>
      <c r="G25" s="5"/>
      <c r="H25">
        <v>3.58</v>
      </c>
      <c r="I25" s="7">
        <v>3.64075245653282</v>
      </c>
      <c r="J25" s="5">
        <f t="shared" si="1"/>
        <v>0.00369086097477217</v>
      </c>
      <c r="K25" s="5">
        <f t="shared" si="2"/>
        <v>0.015625</v>
      </c>
      <c r="L25" s="12"/>
      <c r="M25" s="12"/>
      <c r="N25">
        <v>3.58</v>
      </c>
      <c r="O25" s="7">
        <v>3.53551442307217</v>
      </c>
      <c r="P25" s="5">
        <f t="shared" si="3"/>
        <v>0.00197896655460191</v>
      </c>
      <c r="Q25" s="5">
        <f t="shared" si="4"/>
        <v>0.015625</v>
      </c>
      <c r="R25" s="13"/>
      <c r="S25" s="13"/>
      <c r="T25">
        <v>3.58</v>
      </c>
      <c r="U25" s="7">
        <v>3.70319508433653</v>
      </c>
      <c r="V25" s="5">
        <f t="shared" si="5"/>
        <v>0.0151770288046848</v>
      </c>
      <c r="W25" s="5">
        <f t="shared" si="6"/>
        <v>0.015625</v>
      </c>
      <c r="X25" s="13"/>
      <c r="Y25" s="13"/>
      <c r="Z25">
        <v>3.58</v>
      </c>
      <c r="AA25" s="7">
        <v>3.75321066666666</v>
      </c>
      <c r="AB25" s="5">
        <f t="shared" si="7"/>
        <v>0.0300019350471087</v>
      </c>
      <c r="AC25" s="5">
        <f t="shared" si="8"/>
        <v>0.015625</v>
      </c>
      <c r="AD25" s="13"/>
      <c r="AE25" s="13"/>
      <c r="AF25">
        <v>3.58</v>
      </c>
      <c r="AG25" s="7">
        <v>3.82817006111145</v>
      </c>
      <c r="AH25" s="5">
        <f t="shared" si="9"/>
        <v>0.0615883792320609</v>
      </c>
      <c r="AI25" s="5">
        <f t="shared" si="10"/>
        <v>0.015625</v>
      </c>
      <c r="AJ25" s="13"/>
      <c r="AK25" s="13"/>
    </row>
    <row r="26" spans="2:37">
      <c r="B26" s="7">
        <v>3.33</v>
      </c>
      <c r="C26" s="7">
        <v>23166</v>
      </c>
      <c r="D26" s="5">
        <f t="shared" si="11"/>
        <v>536509281.5289</v>
      </c>
      <c r="E26" s="5">
        <f t="shared" si="0"/>
        <v>0.015625</v>
      </c>
      <c r="F26" s="5"/>
      <c r="G26" s="5"/>
      <c r="H26">
        <v>3.33</v>
      </c>
      <c r="I26" s="7">
        <v>3.54580439994491</v>
      </c>
      <c r="J26" s="5">
        <f t="shared" si="1"/>
        <v>0.0465715390355827</v>
      </c>
      <c r="K26" s="5">
        <f t="shared" si="2"/>
        <v>0.015625</v>
      </c>
      <c r="L26" s="12"/>
      <c r="M26" s="12"/>
      <c r="N26">
        <v>3.33</v>
      </c>
      <c r="O26" s="7">
        <v>3.47301204903861</v>
      </c>
      <c r="P26" s="5">
        <f t="shared" si="3"/>
        <v>0.0204524461702217</v>
      </c>
      <c r="Q26" s="5">
        <f t="shared" si="4"/>
        <v>0.015625</v>
      </c>
      <c r="R26" s="13"/>
      <c r="S26" s="13"/>
      <c r="T26">
        <v>3.33</v>
      </c>
      <c r="U26" s="7">
        <v>3.67520851955417</v>
      </c>
      <c r="V26" s="5">
        <f t="shared" si="5"/>
        <v>0.119168921972782</v>
      </c>
      <c r="W26" s="5">
        <f t="shared" si="6"/>
        <v>0.015625</v>
      </c>
      <c r="X26" s="13"/>
      <c r="Y26" s="13"/>
      <c r="Z26">
        <v>3.33</v>
      </c>
      <c r="AA26" s="7">
        <v>3.73491683333333</v>
      </c>
      <c r="AB26" s="5">
        <f t="shared" si="7"/>
        <v>0.163957641916692</v>
      </c>
      <c r="AC26" s="5">
        <f t="shared" si="8"/>
        <v>0.015625</v>
      </c>
      <c r="AD26" s="13"/>
      <c r="AE26" s="13"/>
      <c r="AF26">
        <v>3.33</v>
      </c>
      <c r="AG26" s="7">
        <v>3.60111999511719</v>
      </c>
      <c r="AH26" s="5">
        <f t="shared" si="9"/>
        <v>0.0735060517523452</v>
      </c>
      <c r="AI26" s="5">
        <f t="shared" si="10"/>
        <v>0.015625</v>
      </c>
      <c r="AJ26" s="13"/>
      <c r="AK26" s="13"/>
    </row>
    <row r="27" spans="2:37">
      <c r="B27" s="7">
        <v>3.45</v>
      </c>
      <c r="C27" s="7">
        <v>64613</v>
      </c>
      <c r="D27" s="5">
        <f t="shared" si="11"/>
        <v>4174393951.2025</v>
      </c>
      <c r="E27" s="5">
        <f t="shared" si="0"/>
        <v>2.49999999999989e-5</v>
      </c>
      <c r="F27" s="5"/>
      <c r="G27" s="5"/>
      <c r="H27">
        <v>3.45</v>
      </c>
      <c r="I27" s="7">
        <v>3.50836208033783</v>
      </c>
      <c r="J27" s="5">
        <f t="shared" si="1"/>
        <v>0.00340613242135932</v>
      </c>
      <c r="K27" s="5">
        <f t="shared" si="2"/>
        <v>2.49999999999989e-5</v>
      </c>
      <c r="L27" s="12"/>
      <c r="M27" s="12"/>
      <c r="N27">
        <v>3.45</v>
      </c>
      <c r="O27" s="7">
        <v>3.45320846704528</v>
      </c>
      <c r="P27" s="5">
        <f t="shared" si="3"/>
        <v>1.02942607806456e-5</v>
      </c>
      <c r="Q27" s="5">
        <f t="shared" si="4"/>
        <v>2.49999999999989e-5</v>
      </c>
      <c r="R27" s="13"/>
      <c r="S27" s="13"/>
      <c r="T27">
        <v>3.45</v>
      </c>
      <c r="U27" s="7">
        <v>3.61923538998943</v>
      </c>
      <c r="V27" s="5">
        <f t="shared" si="5"/>
        <v>0.0286406172248743</v>
      </c>
      <c r="W27" s="5">
        <f t="shared" si="6"/>
        <v>2.49999999999989e-5</v>
      </c>
      <c r="X27" s="13"/>
      <c r="Y27" s="13"/>
      <c r="Z27">
        <v>3.45</v>
      </c>
      <c r="AA27" s="7">
        <v>3.7071245</v>
      </c>
      <c r="AB27" s="5">
        <f t="shared" si="7"/>
        <v>0.0661130085002499</v>
      </c>
      <c r="AC27" s="5">
        <f t="shared" si="8"/>
        <v>2.49999999999989e-5</v>
      </c>
      <c r="AD27" s="13"/>
      <c r="AE27" s="13"/>
      <c r="AF27">
        <v>3.45</v>
      </c>
      <c r="AG27" s="7">
        <v>3.56288003921509</v>
      </c>
      <c r="AH27" s="5">
        <f t="shared" si="9"/>
        <v>0.0127419032532002</v>
      </c>
      <c r="AI27" s="5">
        <f t="shared" si="10"/>
        <v>2.49999999999989e-5</v>
      </c>
      <c r="AJ27" s="13"/>
      <c r="AK27" s="13"/>
    </row>
    <row r="28" spans="1:37">
      <c r="A28" t="s">
        <v>9</v>
      </c>
      <c r="B28" s="8">
        <f>AVERAGE(B22:B27)</f>
        <v>3.455</v>
      </c>
      <c r="C28" s="6">
        <f>AVERAGE(C22:D27)</f>
        <v>1625548916.13188</v>
      </c>
      <c r="D28" s="6">
        <f>SUM(D22:D27)</f>
        <v>19506294578.5825</v>
      </c>
      <c r="E28" s="6">
        <f>SUM(E22:E27)</f>
        <v>0.48035</v>
      </c>
      <c r="F28" s="6">
        <f>(CORREL(B22:B27,C22:C27))^2</f>
        <v>0.58713624104238</v>
      </c>
      <c r="G28" s="6">
        <f>SQRT(D28/6)</f>
        <v>57017.9716969169</v>
      </c>
      <c r="H28">
        <f>AVERAGE(H22:H27)</f>
        <v>3.455</v>
      </c>
      <c r="I28" s="14"/>
      <c r="J28" s="14">
        <f>SUM(J22:J27)</f>
        <v>0.337540021642852</v>
      </c>
      <c r="K28" s="14">
        <f>SUM(K22:K27)</f>
        <v>0.48035</v>
      </c>
      <c r="L28" s="6">
        <f>(CORREL(H22:H27,I22:I27))^2</f>
        <v>0.866734369971246</v>
      </c>
      <c r="M28" s="6">
        <f>SQRT(J28/6)</f>
        <v>0.237184886267672</v>
      </c>
      <c r="N28">
        <f>AVERAGE(N22:N27)</f>
        <v>3.455</v>
      </c>
      <c r="O28" s="14"/>
      <c r="P28" s="14">
        <f>SUM(P22:P27)</f>
        <v>0.3883606572081</v>
      </c>
      <c r="Q28" s="14">
        <f>SUM(Q22:Q27)</f>
        <v>0.48035</v>
      </c>
      <c r="R28" s="6">
        <f>(CORREL(N22:N27,O22:O27))^2</f>
        <v>0.399309896262883</v>
      </c>
      <c r="S28" s="6">
        <f>SQRT(P28/6)</f>
        <v>0.254414575449894</v>
      </c>
      <c r="T28">
        <f>AVERAGE(T22:T27)</f>
        <v>3.455</v>
      </c>
      <c r="U28" s="14"/>
      <c r="V28" s="14">
        <f>SUM(V22:V27)</f>
        <v>0.272754081469308</v>
      </c>
      <c r="W28" s="14">
        <f>SUM(W22:W27)</f>
        <v>0.48035</v>
      </c>
      <c r="X28" s="6">
        <f>(CORREL(T22:T27,U22:U27))^2</f>
        <v>0.81779666522435</v>
      </c>
      <c r="Y28" s="6">
        <f>SQRT(V28/6)</f>
        <v>0.213211194776958</v>
      </c>
      <c r="Z28">
        <f>AVERAGE(Z22:Z27)</f>
        <v>3.455</v>
      </c>
      <c r="AA28" s="14"/>
      <c r="AB28" s="14">
        <f>SUM(AB22:AB27)</f>
        <v>0.354611837686864</v>
      </c>
      <c r="AC28" s="14">
        <f>SUM(AC22:AC27)</f>
        <v>0.48035</v>
      </c>
      <c r="AD28" s="6">
        <f>(CORREL(Z22:Z27,AA22:AA27))^2</f>
        <v>0.662975105369577</v>
      </c>
      <c r="AE28" s="6">
        <f>SQRT(AB28/6)</f>
        <v>0.243108973400429</v>
      </c>
      <c r="AF28">
        <f>AVERAGE(AF22:AF27)</f>
        <v>3.455</v>
      </c>
      <c r="AG28" s="14"/>
      <c r="AH28" s="14">
        <f>SUM(AH22:AH27)</f>
        <v>0.326612554085768</v>
      </c>
      <c r="AI28" s="14">
        <f>SUM(AI22:AI27)</f>
        <v>0.48035</v>
      </c>
      <c r="AJ28" s="6">
        <f>(CORREL(AF22:AF27,AG22:AG27))^2</f>
        <v>0.929606717602686</v>
      </c>
      <c r="AK28" s="6">
        <f>SQRT(AH28/6)</f>
        <v>0.233314006611179</v>
      </c>
    </row>
    <row r="31" spans="2:31">
      <c r="B31" t="s">
        <v>0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 s="7">
        <v>3.71</v>
      </c>
      <c r="C32" s="7">
        <v>3.69967342376607</v>
      </c>
      <c r="D32" s="5">
        <f>(B32-C32)^2</f>
        <v>0.000106638176715167</v>
      </c>
      <c r="E32" s="5">
        <f t="shared" ref="E32:E37" si="12">(B32-avgLogEff)^2</f>
        <v>0.0650249999999999</v>
      </c>
      <c r="F32" s="5"/>
      <c r="G32" s="5"/>
      <c r="H32">
        <v>3.71</v>
      </c>
      <c r="I32" s="7">
        <v>3.7840931386337</v>
      </c>
      <c r="J32" s="5">
        <f t="shared" ref="J32:J37" si="13">(H32-I32)^2</f>
        <v>0.00548979319259269</v>
      </c>
      <c r="K32" s="5">
        <f t="shared" ref="K32:K37" si="14">(H32-avgLogEff)^2</f>
        <v>0.0650249999999999</v>
      </c>
      <c r="L32" s="12"/>
      <c r="M32" s="12"/>
      <c r="N32">
        <v>3.71</v>
      </c>
      <c r="O32" s="7">
        <v>3.67314418176488</v>
      </c>
      <c r="P32" s="5">
        <f t="shared" ref="P32:P37" si="15">(N32-O32)^2</f>
        <v>0.00135835133778022</v>
      </c>
      <c r="Q32" s="5">
        <f t="shared" ref="Q32:Q37" si="16">(N32-avgLogEff)^2</f>
        <v>0.0650249999999999</v>
      </c>
      <c r="R32" s="13"/>
      <c r="S32" s="13"/>
      <c r="T32">
        <v>3.71</v>
      </c>
      <c r="U32" s="7">
        <v>3.6934010981446</v>
      </c>
      <c r="V32" s="5">
        <f t="shared" ref="V32:V37" si="17">(T32-U32)^2</f>
        <v>0.000275523542805195</v>
      </c>
      <c r="W32" s="5">
        <f t="shared" ref="W32:W37" si="18">(T32-avgLogEff)^2</f>
        <v>0.0650249999999999</v>
      </c>
      <c r="X32" s="12"/>
      <c r="Y32" s="12"/>
      <c r="Z32">
        <v>3.71</v>
      </c>
      <c r="AA32" s="7">
        <v>3.69954634899421</v>
      </c>
      <c r="AB32" s="5">
        <f t="shared" ref="AB32:AB37" si="19">(Z32-AA32)^2</f>
        <v>0.000109278819350849</v>
      </c>
      <c r="AC32" s="5">
        <f t="shared" ref="AC32:AC37" si="20">(Z32-avgLogEff)^2</f>
        <v>0.0650249999999999</v>
      </c>
      <c r="AD32" s="13"/>
      <c r="AE32" s="13"/>
    </row>
    <row r="33" spans="2:31">
      <c r="B33" s="7">
        <v>3.75</v>
      </c>
      <c r="C33" s="7">
        <v>3.61007841270015</v>
      </c>
      <c r="D33" s="5">
        <f t="shared" ref="D33:D37" si="21">(B33-C33)^2</f>
        <v>0.0195780505925095</v>
      </c>
      <c r="E33" s="5">
        <f t="shared" si="12"/>
        <v>0.087025</v>
      </c>
      <c r="F33" s="5"/>
      <c r="G33" s="5"/>
      <c r="H33">
        <v>3.75</v>
      </c>
      <c r="I33" s="7">
        <v>3.63332704282997</v>
      </c>
      <c r="J33" s="5">
        <f t="shared" si="13"/>
        <v>0.0136125789347996</v>
      </c>
      <c r="K33" s="5">
        <f t="shared" si="14"/>
        <v>0.087025</v>
      </c>
      <c r="L33" s="12"/>
      <c r="M33" s="12"/>
      <c r="N33">
        <v>3.75</v>
      </c>
      <c r="O33" s="7">
        <v>3.58137131239799</v>
      </c>
      <c r="P33" s="5">
        <f t="shared" si="15"/>
        <v>0.0284356342823763</v>
      </c>
      <c r="Q33" s="5">
        <f t="shared" si="16"/>
        <v>0.087025</v>
      </c>
      <c r="R33" s="13"/>
      <c r="S33" s="13"/>
      <c r="T33">
        <v>3.75</v>
      </c>
      <c r="U33" s="7">
        <v>3.69000274909459</v>
      </c>
      <c r="V33" s="5">
        <f t="shared" si="17"/>
        <v>0.0035996701162067</v>
      </c>
      <c r="W33" s="5">
        <f t="shared" si="18"/>
        <v>0.087025</v>
      </c>
      <c r="X33" s="12"/>
      <c r="Y33" s="12"/>
      <c r="Z33">
        <v>3.75</v>
      </c>
      <c r="AA33" s="7">
        <v>3.69024554108686</v>
      </c>
      <c r="AB33" s="5">
        <f t="shared" si="19"/>
        <v>0.00357059536000211</v>
      </c>
      <c r="AC33" s="5">
        <f t="shared" si="20"/>
        <v>0.087025</v>
      </c>
      <c r="AD33" s="13"/>
      <c r="AE33" s="13"/>
    </row>
    <row r="34" spans="2:31">
      <c r="B34" s="7">
        <v>2.91</v>
      </c>
      <c r="C34" s="7">
        <v>3.3122634943169</v>
      </c>
      <c r="D34" s="5">
        <f t="shared" si="21"/>
        <v>0.161815918860043</v>
      </c>
      <c r="E34" s="5">
        <f t="shared" si="12"/>
        <v>0.297025</v>
      </c>
      <c r="F34" s="5"/>
      <c r="G34" s="5"/>
      <c r="H34">
        <v>2.91</v>
      </c>
      <c r="I34" s="7">
        <v>3.25449222544394</v>
      </c>
      <c r="J34" s="5">
        <f t="shared" si="13"/>
        <v>0.118674893391318</v>
      </c>
      <c r="K34" s="5">
        <f t="shared" si="14"/>
        <v>0.297025</v>
      </c>
      <c r="L34" s="12"/>
      <c r="M34" s="12"/>
      <c r="N34">
        <v>2.91</v>
      </c>
      <c r="O34" s="7">
        <v>3.37896977594326</v>
      </c>
      <c r="P34" s="5">
        <f t="shared" si="15"/>
        <v>0.219932650748271</v>
      </c>
      <c r="Q34" s="5">
        <f t="shared" si="16"/>
        <v>0.297025</v>
      </c>
      <c r="R34" s="13"/>
      <c r="S34" s="13"/>
      <c r="T34">
        <v>2.91</v>
      </c>
      <c r="U34" s="7">
        <v>3.44340799664812</v>
      </c>
      <c r="V34" s="5">
        <f t="shared" si="17"/>
        <v>0.284524090888161</v>
      </c>
      <c r="W34" s="5">
        <f t="shared" si="18"/>
        <v>0.297025</v>
      </c>
      <c r="X34" s="12"/>
      <c r="Y34" s="12"/>
      <c r="Z34">
        <v>2.91</v>
      </c>
      <c r="AA34" s="7">
        <v>3.44629090436514</v>
      </c>
      <c r="AB34" s="5">
        <f t="shared" si="19"/>
        <v>0.28760793410478</v>
      </c>
      <c r="AC34" s="5">
        <f t="shared" si="20"/>
        <v>0.297025</v>
      </c>
      <c r="AD34" s="13"/>
      <c r="AE34" s="13"/>
    </row>
    <row r="35" spans="2:31">
      <c r="B35" s="7">
        <v>3.58</v>
      </c>
      <c r="C35" s="7">
        <v>3.62391562404277</v>
      </c>
      <c r="D35" s="5">
        <f t="shared" si="21"/>
        <v>0.00192858203506592</v>
      </c>
      <c r="E35" s="5">
        <f t="shared" si="12"/>
        <v>0.015625</v>
      </c>
      <c r="F35" s="5"/>
      <c r="G35" s="5"/>
      <c r="H35">
        <v>3.58</v>
      </c>
      <c r="I35" s="7">
        <v>3.61913585178126</v>
      </c>
      <c r="J35" s="5">
        <f t="shared" si="13"/>
        <v>0.00153161489464476</v>
      </c>
      <c r="K35" s="5">
        <f t="shared" si="14"/>
        <v>0.015625</v>
      </c>
      <c r="L35" s="12"/>
      <c r="M35" s="12"/>
      <c r="N35">
        <v>3.58</v>
      </c>
      <c r="O35" s="7">
        <v>3.58656125098622</v>
      </c>
      <c r="P35" s="5">
        <f t="shared" si="15"/>
        <v>4.30500145041709e-5</v>
      </c>
      <c r="Q35" s="5">
        <f t="shared" si="16"/>
        <v>0.015625</v>
      </c>
      <c r="R35" s="13"/>
      <c r="S35" s="13"/>
      <c r="T35">
        <v>3.58</v>
      </c>
      <c r="U35" s="7">
        <v>3.68216977422039</v>
      </c>
      <c r="V35" s="5">
        <f t="shared" si="17"/>
        <v>0.0104386627642455</v>
      </c>
      <c r="W35" s="5">
        <f t="shared" si="18"/>
        <v>0.015625</v>
      </c>
      <c r="X35" s="12"/>
      <c r="Y35" s="12"/>
      <c r="Z35">
        <v>3.58</v>
      </c>
      <c r="AA35" s="7">
        <v>3.68303660897057</v>
      </c>
      <c r="AB35" s="5">
        <f t="shared" si="19"/>
        <v>0.0106165427881541</v>
      </c>
      <c r="AC35" s="5">
        <f t="shared" si="20"/>
        <v>0.015625</v>
      </c>
      <c r="AD35" s="13"/>
      <c r="AE35" s="13"/>
    </row>
    <row r="36" spans="2:31">
      <c r="B36" s="7">
        <v>3.33</v>
      </c>
      <c r="C36" s="7">
        <v>3.54835213754046</v>
      </c>
      <c r="D36" s="5">
        <f t="shared" si="21"/>
        <v>0.0476776559684879</v>
      </c>
      <c r="E36" s="5">
        <f t="shared" si="12"/>
        <v>0.015625</v>
      </c>
      <c r="F36" s="5"/>
      <c r="G36" s="5"/>
      <c r="H36">
        <v>3.33</v>
      </c>
      <c r="I36" s="7">
        <v>3.5181648563671</v>
      </c>
      <c r="J36" s="5">
        <f t="shared" si="13"/>
        <v>0.0354060131716513</v>
      </c>
      <c r="K36" s="5">
        <f t="shared" si="14"/>
        <v>0.015625</v>
      </c>
      <c r="L36" s="12"/>
      <c r="M36" s="12"/>
      <c r="N36">
        <v>3.33</v>
      </c>
      <c r="O36" s="7">
        <v>3.51220559160341</v>
      </c>
      <c r="P36" s="5">
        <f t="shared" si="15"/>
        <v>0.0331988776115486</v>
      </c>
      <c r="Q36" s="5">
        <f t="shared" si="16"/>
        <v>0.015625</v>
      </c>
      <c r="R36" s="13"/>
      <c r="S36" s="13"/>
      <c r="T36">
        <v>3.33</v>
      </c>
      <c r="U36" s="7">
        <v>3.58344974344212</v>
      </c>
      <c r="V36" s="5">
        <f t="shared" si="17"/>
        <v>0.0642367724508765</v>
      </c>
      <c r="W36" s="5">
        <f t="shared" si="18"/>
        <v>0.015625</v>
      </c>
      <c r="X36" s="12"/>
      <c r="Y36" s="12"/>
      <c r="Z36">
        <v>3.33</v>
      </c>
      <c r="AA36" s="7">
        <v>3.58549379891097</v>
      </c>
      <c r="AB36" s="5">
        <f t="shared" si="19"/>
        <v>0.0652770812819591</v>
      </c>
      <c r="AC36" s="5">
        <f t="shared" si="20"/>
        <v>0.015625</v>
      </c>
      <c r="AD36" s="13"/>
      <c r="AE36" s="13"/>
    </row>
    <row r="37" spans="2:31">
      <c r="B37" s="7">
        <v>3.45</v>
      </c>
      <c r="C37" s="7">
        <v>3.5162324635813</v>
      </c>
      <c r="D37" s="5">
        <f t="shared" si="21"/>
        <v>0.00438673923204821</v>
      </c>
      <c r="E37" s="5">
        <f t="shared" si="12"/>
        <v>2.49999999999989e-5</v>
      </c>
      <c r="F37" s="5"/>
      <c r="G37" s="5"/>
      <c r="H37">
        <v>3.45</v>
      </c>
      <c r="I37" s="7">
        <v>3.59478080830921</v>
      </c>
      <c r="J37" s="5">
        <f t="shared" si="13"/>
        <v>0.0209614824546681</v>
      </c>
      <c r="K37" s="5">
        <f t="shared" si="14"/>
        <v>2.49999999999989e-5</v>
      </c>
      <c r="L37" s="12"/>
      <c r="M37" s="12"/>
      <c r="N37">
        <v>3.45</v>
      </c>
      <c r="O37" s="7">
        <v>3.50186305391451</v>
      </c>
      <c r="P37" s="5">
        <f t="shared" si="15"/>
        <v>0.00268977636133934</v>
      </c>
      <c r="Q37" s="5">
        <f t="shared" si="16"/>
        <v>2.49999999999989e-5</v>
      </c>
      <c r="R37" s="13"/>
      <c r="S37" s="13"/>
      <c r="T37">
        <v>3.45</v>
      </c>
      <c r="U37" s="7">
        <v>3.55121459971857</v>
      </c>
      <c r="V37" s="5">
        <f t="shared" si="17"/>
        <v>0.0102443951961903</v>
      </c>
      <c r="W37" s="5">
        <f t="shared" si="18"/>
        <v>2.49999999999989e-5</v>
      </c>
      <c r="X37" s="12"/>
      <c r="Y37" s="12"/>
      <c r="Z37">
        <v>3.45</v>
      </c>
      <c r="AA37" s="7">
        <v>3.55227960128687</v>
      </c>
      <c r="AB37" s="5">
        <f t="shared" si="19"/>
        <v>0.0104611168394011</v>
      </c>
      <c r="AC37" s="5">
        <f t="shared" si="20"/>
        <v>2.49999999999989e-5</v>
      </c>
      <c r="AD37" s="13"/>
      <c r="AE37" s="13"/>
    </row>
    <row r="38" spans="3:31">
      <c r="C38" s="6">
        <f>AVERAGE(C32:D37)</f>
        <v>1.79550076173438</v>
      </c>
      <c r="D38" s="6">
        <f>SUM(D32:D37)</f>
        <v>0.235493584864869</v>
      </c>
      <c r="E38" s="6">
        <f>SUM(E32:E37)</f>
        <v>0.48035</v>
      </c>
      <c r="F38" s="6">
        <f>(CORREL(B32:B37,C32:C37))^2</f>
        <v>0.888912202251703</v>
      </c>
      <c r="G38" s="6">
        <f>SQRT(D38/6)</f>
        <v>0.198113429153128</v>
      </c>
      <c r="H38">
        <f>AVERAGE(H32:H37)</f>
        <v>3.455</v>
      </c>
      <c r="I38" s="14"/>
      <c r="J38" s="14">
        <f>SUM(J32:J37)</f>
        <v>0.195676376039675</v>
      </c>
      <c r="K38" s="14">
        <f>SUM(K32:K37)</f>
        <v>0.48035</v>
      </c>
      <c r="L38" s="6">
        <f>(CORREL(H32:H37,I32:I37))^2</f>
        <v>0.891748872103039</v>
      </c>
      <c r="M38" s="6">
        <f>SQRT(J38/6)</f>
        <v>0.180589948058982</v>
      </c>
      <c r="N38">
        <f>AVERAGE(N32:N37)</f>
        <v>3.455</v>
      </c>
      <c r="O38" s="14"/>
      <c r="P38" s="14">
        <f>SUM(P32:P37)</f>
        <v>0.28565834035582</v>
      </c>
      <c r="Q38" s="14">
        <f>SUM(Q32:Q37)</f>
        <v>0.48035</v>
      </c>
      <c r="R38" s="6">
        <f>(CORREL(N32:N37,O32:O37))^2</f>
        <v>0.860375546040273</v>
      </c>
      <c r="S38" s="6">
        <f>SQRT(P38/6)</f>
        <v>0.218196524703389</v>
      </c>
      <c r="T38">
        <f>AVERAGE(T32:T37)</f>
        <v>3.455</v>
      </c>
      <c r="U38" s="14"/>
      <c r="V38" s="14">
        <f>SUM(V32:V37)</f>
        <v>0.373319114958485</v>
      </c>
      <c r="W38" s="14">
        <f>SUM(W32:W37)</f>
        <v>0.48035</v>
      </c>
      <c r="X38" s="6">
        <f>(CORREL(T32:T37,U32:U37))^2</f>
        <v>0.907764348441132</v>
      </c>
      <c r="Y38" s="6">
        <f>SQRT(V38/6)</f>
        <v>0.249439075714052</v>
      </c>
      <c r="Z38">
        <f>AVERAGE(Z32:Z37)</f>
        <v>3.455</v>
      </c>
      <c r="AA38" s="14"/>
      <c r="AB38" s="14">
        <f>SUM(AB32:AB37)</f>
        <v>0.377642549193647</v>
      </c>
      <c r="AC38" s="14">
        <f>SUM(AC32:AC37)</f>
        <v>0.48035</v>
      </c>
      <c r="AD38" s="6">
        <f>(CORREL(Z32:Z37,AA32:AA37))^2</f>
        <v>0.905110974818334</v>
      </c>
      <c r="AE38" s="6">
        <f>SQRT(AB38/6)</f>
        <v>0.250879303382339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114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si="22"/>
        <v>104.796</v>
      </c>
      <c r="D83" s="5">
        <f t="shared" si="24"/>
        <v>25.9692159999999</v>
      </c>
      <c r="E83" s="5">
        <f t="shared" ref="E83:E114" si="25">(B83-Ybar_height)^2</f>
        <v>103.848837890625</v>
      </c>
    </row>
    <row r="84" spans="1:5">
      <c r="A84" s="10">
        <v>61</v>
      </c>
      <c r="B84" s="10">
        <v>107.5</v>
      </c>
      <c r="C84">
        <f t="shared" si="22"/>
        <v>106.084</v>
      </c>
      <c r="D84" s="5">
        <f t="shared" si="24"/>
        <v>2.00505599999999</v>
      </c>
      <c r="E84" s="5">
        <f t="shared" si="25"/>
        <v>5.715087890625</v>
      </c>
    </row>
    <row r="85" spans="1:5">
      <c r="A85" s="10">
        <v>59</v>
      </c>
      <c r="B85" s="10">
        <v>99.3</v>
      </c>
      <c r="C85">
        <f t="shared" si="22"/>
        <v>104.796</v>
      </c>
      <c r="D85" s="5">
        <f t="shared" si="24"/>
        <v>30.2060159999999</v>
      </c>
      <c r="E85" s="5">
        <f t="shared" si="25"/>
        <v>112.161337890625</v>
      </c>
    </row>
    <row r="86" spans="1:5">
      <c r="A86" s="10">
        <v>57</v>
      </c>
      <c r="B86" s="10">
        <v>105.7</v>
      </c>
      <c r="C86">
        <f t="shared" si="22"/>
        <v>103.508</v>
      </c>
      <c r="D86" s="5">
        <f t="shared" si="24"/>
        <v>4.80486400000003</v>
      </c>
      <c r="E86" s="5">
        <f t="shared" si="25"/>
        <v>17.561337890625</v>
      </c>
    </row>
    <row r="87" spans="1:5">
      <c r="A87" s="10">
        <v>57</v>
      </c>
      <c r="B87" s="10">
        <v>100.5</v>
      </c>
      <c r="C87">
        <f t="shared" si="22"/>
        <v>103.508</v>
      </c>
      <c r="D87" s="5">
        <f t="shared" si="24"/>
        <v>9.04806399999997</v>
      </c>
      <c r="E87" s="5">
        <f t="shared" si="25"/>
        <v>88.183837890625</v>
      </c>
    </row>
    <row r="88" spans="1:5">
      <c r="A88" s="10">
        <v>61</v>
      </c>
      <c r="B88" s="10">
        <v>102.5</v>
      </c>
      <c r="C88">
        <f t="shared" si="22"/>
        <v>106.084</v>
      </c>
      <c r="D88" s="5">
        <f t="shared" si="24"/>
        <v>12.845056</v>
      </c>
      <c r="E88" s="5">
        <f t="shared" si="25"/>
        <v>54.621337890625</v>
      </c>
    </row>
    <row r="89" spans="1:5">
      <c r="A89" s="10">
        <v>65</v>
      </c>
      <c r="B89" s="10">
        <v>110.5</v>
      </c>
      <c r="C89">
        <f t="shared" si="22"/>
        <v>108.66</v>
      </c>
      <c r="D89" s="5">
        <f t="shared" si="24"/>
        <v>3.38560000000001</v>
      </c>
      <c r="E89" s="5">
        <f t="shared" si="25"/>
        <v>0.371337890625</v>
      </c>
    </row>
    <row r="90" spans="1:5">
      <c r="A90" s="10">
        <v>65</v>
      </c>
      <c r="B90" s="10">
        <v>116.2</v>
      </c>
      <c r="C90">
        <f t="shared" si="22"/>
        <v>108.66</v>
      </c>
      <c r="D90" s="5">
        <f t="shared" si="24"/>
        <v>56.8516000000001</v>
      </c>
      <c r="E90" s="5">
        <f t="shared" si="25"/>
        <v>39.808212890625</v>
      </c>
    </row>
    <row r="91" spans="1:5">
      <c r="A91" s="10">
        <v>65</v>
      </c>
      <c r="B91" s="10">
        <v>106.8</v>
      </c>
      <c r="C91">
        <f t="shared" si="22"/>
        <v>108.66</v>
      </c>
      <c r="D91" s="5">
        <f t="shared" si="24"/>
        <v>3.4596</v>
      </c>
      <c r="E91" s="5">
        <f t="shared" si="25"/>
        <v>9.55196289062502</v>
      </c>
    </row>
    <row r="92" spans="1:5">
      <c r="A92" s="10">
        <v>68</v>
      </c>
      <c r="B92" s="10">
        <v>104.2</v>
      </c>
      <c r="C92">
        <f t="shared" si="22"/>
        <v>110.592</v>
      </c>
      <c r="D92" s="5">
        <f t="shared" si="24"/>
        <v>40.857664</v>
      </c>
      <c r="E92" s="5">
        <f t="shared" si="25"/>
        <v>32.383212890625</v>
      </c>
    </row>
    <row r="93" spans="1:5">
      <c r="A93" s="10">
        <v>64</v>
      </c>
      <c r="B93" s="10">
        <v>111.5</v>
      </c>
      <c r="C93">
        <f t="shared" si="22"/>
        <v>108.016</v>
      </c>
      <c r="D93" s="5">
        <f t="shared" si="24"/>
        <v>12.1382560000001</v>
      </c>
      <c r="E93" s="5">
        <f t="shared" si="25"/>
        <v>2.590087890625</v>
      </c>
    </row>
    <row r="94" spans="1:5">
      <c r="A94" s="10">
        <v>60</v>
      </c>
      <c r="B94" s="10">
        <v>109.3</v>
      </c>
      <c r="C94">
        <f t="shared" si="22"/>
        <v>105.44</v>
      </c>
      <c r="D94" s="5">
        <f t="shared" si="24"/>
        <v>14.8996</v>
      </c>
      <c r="E94" s="5">
        <f t="shared" si="25"/>
        <v>0.348837890625003</v>
      </c>
    </row>
    <row r="95" spans="1:5">
      <c r="A95" s="10">
        <v>65</v>
      </c>
      <c r="B95" s="10">
        <v>109.3</v>
      </c>
      <c r="C95">
        <f t="shared" si="22"/>
        <v>108.66</v>
      </c>
      <c r="D95" s="5">
        <f t="shared" si="24"/>
        <v>0.409600000000001</v>
      </c>
      <c r="E95" s="5">
        <f t="shared" si="25"/>
        <v>0.348837890625003</v>
      </c>
    </row>
    <row r="96" spans="1:5">
      <c r="A96" s="10">
        <v>66</v>
      </c>
      <c r="B96" s="10">
        <v>107.5</v>
      </c>
      <c r="C96">
        <f t="shared" si="22"/>
        <v>109.304</v>
      </c>
      <c r="D96" s="5">
        <f t="shared" si="24"/>
        <v>3.25441600000001</v>
      </c>
      <c r="E96" s="5">
        <f t="shared" si="25"/>
        <v>5.715087890625</v>
      </c>
    </row>
    <row r="97" spans="1:5">
      <c r="A97" s="10">
        <v>66</v>
      </c>
      <c r="B97" s="10">
        <v>109.2</v>
      </c>
      <c r="C97">
        <f t="shared" si="22"/>
        <v>109.304</v>
      </c>
      <c r="D97" s="5">
        <f t="shared" si="24"/>
        <v>0.0108159999999998</v>
      </c>
      <c r="E97" s="5">
        <f t="shared" si="25"/>
        <v>0.476962890624996</v>
      </c>
    </row>
    <row r="98" spans="1:5">
      <c r="A98" s="10">
        <v>66</v>
      </c>
      <c r="B98" s="10">
        <v>109.4</v>
      </c>
      <c r="C98">
        <f t="shared" si="22"/>
        <v>109.304</v>
      </c>
      <c r="D98" s="5">
        <f t="shared" si="24"/>
        <v>0.0092160000000007</v>
      </c>
      <c r="E98" s="5">
        <f t="shared" si="25"/>
        <v>0.240712890624994</v>
      </c>
    </row>
    <row r="99" spans="1:5">
      <c r="A99" s="10">
        <v>60</v>
      </c>
      <c r="B99" s="10">
        <v>101.7</v>
      </c>
      <c r="C99">
        <f t="shared" si="22"/>
        <v>105.44</v>
      </c>
      <c r="D99" s="5">
        <f t="shared" si="24"/>
        <v>13.9876</v>
      </c>
      <c r="E99" s="5">
        <f t="shared" si="25"/>
        <v>67.0863378906249</v>
      </c>
    </row>
    <row r="100" spans="1:5">
      <c r="A100" s="10">
        <v>50</v>
      </c>
      <c r="B100" s="10">
        <v>105.7</v>
      </c>
      <c r="C100">
        <f t="shared" si="22"/>
        <v>99</v>
      </c>
      <c r="D100" s="5">
        <f t="shared" si="24"/>
        <v>44.89</v>
      </c>
      <c r="E100" s="5">
        <f t="shared" si="25"/>
        <v>17.561337890625</v>
      </c>
    </row>
    <row r="101" spans="1:5">
      <c r="A101" s="10">
        <v>74</v>
      </c>
      <c r="B101" s="10">
        <v>112.1</v>
      </c>
      <c r="C101">
        <f t="shared" si="22"/>
        <v>114.456</v>
      </c>
      <c r="D101" s="5">
        <f t="shared" si="24"/>
        <v>5.55073599999997</v>
      </c>
      <c r="E101" s="5">
        <f t="shared" si="25"/>
        <v>4.88133789062497</v>
      </c>
    </row>
    <row r="102" spans="1:5">
      <c r="A102" s="10">
        <v>74</v>
      </c>
      <c r="B102" s="10">
        <v>118.6</v>
      </c>
      <c r="C102">
        <f t="shared" si="22"/>
        <v>114.456</v>
      </c>
      <c r="D102" s="5">
        <f t="shared" si="24"/>
        <v>17.172736</v>
      </c>
      <c r="E102" s="5">
        <f t="shared" si="25"/>
        <v>75.8532128906249</v>
      </c>
    </row>
    <row r="103" spans="1:5">
      <c r="A103" s="10">
        <v>63</v>
      </c>
      <c r="B103" s="10">
        <v>109.6</v>
      </c>
      <c r="C103">
        <f t="shared" si="22"/>
        <v>107.372</v>
      </c>
      <c r="D103" s="5">
        <f t="shared" si="24"/>
        <v>4.96398399999998</v>
      </c>
      <c r="E103" s="5">
        <f t="shared" si="25"/>
        <v>0.0844628906250033</v>
      </c>
    </row>
    <row r="104" spans="1:5">
      <c r="A104" s="10">
        <v>73</v>
      </c>
      <c r="B104" s="10">
        <v>115</v>
      </c>
      <c r="C104">
        <f t="shared" si="22"/>
        <v>113.812</v>
      </c>
      <c r="D104" s="5">
        <f t="shared" si="24"/>
        <v>1.41134400000001</v>
      </c>
      <c r="E104" s="5">
        <f t="shared" si="25"/>
        <v>26.105712890625</v>
      </c>
    </row>
    <row r="105" spans="1:5">
      <c r="A105" s="10">
        <v>64</v>
      </c>
      <c r="B105" s="10">
        <v>106.8</v>
      </c>
      <c r="C105">
        <f t="shared" si="22"/>
        <v>108.016</v>
      </c>
      <c r="D105" s="5">
        <f t="shared" si="24"/>
        <v>1.47865599999999</v>
      </c>
      <c r="E105" s="5">
        <f t="shared" si="25"/>
        <v>9.55196289062502</v>
      </c>
    </row>
    <row r="106" spans="1:5">
      <c r="A106" s="10">
        <v>70</v>
      </c>
      <c r="B106" s="10">
        <v>112.2</v>
      </c>
      <c r="C106">
        <f t="shared" si="22"/>
        <v>111.88</v>
      </c>
      <c r="D106" s="5">
        <f t="shared" si="24"/>
        <v>0.102400000000005</v>
      </c>
      <c r="E106" s="5">
        <f t="shared" si="25"/>
        <v>5.33321289062501</v>
      </c>
    </row>
    <row r="107" spans="1:5">
      <c r="A107" s="10">
        <v>66</v>
      </c>
      <c r="B107" s="10">
        <v>108.8</v>
      </c>
      <c r="C107">
        <f t="shared" si="22"/>
        <v>109.304</v>
      </c>
      <c r="D107" s="5">
        <f t="shared" si="24"/>
        <v>0.254016000000005</v>
      </c>
      <c r="E107" s="5">
        <f t="shared" si="25"/>
        <v>1.18946289062501</v>
      </c>
    </row>
    <row r="108" spans="1:5">
      <c r="A108" s="10">
        <v>76</v>
      </c>
      <c r="B108" s="10">
        <v>119.1</v>
      </c>
      <c r="C108">
        <f t="shared" si="22"/>
        <v>115.744</v>
      </c>
      <c r="D108" s="5">
        <f t="shared" si="24"/>
        <v>11.262736</v>
      </c>
      <c r="E108" s="5">
        <f t="shared" si="25"/>
        <v>84.8125878906249</v>
      </c>
    </row>
    <row r="109" spans="1:5">
      <c r="A109" s="10">
        <v>76</v>
      </c>
      <c r="B109" s="10">
        <v>112.6</v>
      </c>
      <c r="C109">
        <f t="shared" si="22"/>
        <v>115.744</v>
      </c>
      <c r="D109" s="5">
        <f t="shared" si="24"/>
        <v>9.88473600000003</v>
      </c>
      <c r="E109" s="5">
        <f t="shared" si="25"/>
        <v>7.34071289062497</v>
      </c>
    </row>
    <row r="110" spans="1:5">
      <c r="A110" s="10">
        <v>66</v>
      </c>
      <c r="B110" s="10">
        <v>109.5</v>
      </c>
      <c r="C110">
        <f t="shared" si="22"/>
        <v>109.304</v>
      </c>
      <c r="D110" s="5">
        <f t="shared" si="24"/>
        <v>0.0384159999999992</v>
      </c>
      <c r="E110" s="5">
        <f t="shared" si="25"/>
        <v>0.152587890625</v>
      </c>
    </row>
    <row r="111" spans="1:5">
      <c r="A111" s="10">
        <v>68</v>
      </c>
      <c r="B111" s="10">
        <v>109</v>
      </c>
      <c r="C111">
        <f t="shared" si="22"/>
        <v>110.592</v>
      </c>
      <c r="D111" s="5">
        <f t="shared" si="24"/>
        <v>2.534464</v>
      </c>
      <c r="E111" s="5">
        <f t="shared" si="25"/>
        <v>0.793212890625</v>
      </c>
    </row>
    <row r="112" spans="1:5">
      <c r="A112" s="10">
        <v>62</v>
      </c>
      <c r="B112" s="10">
        <v>103.5</v>
      </c>
      <c r="C112">
        <f t="shared" si="22"/>
        <v>106.728</v>
      </c>
      <c r="D112" s="5">
        <f t="shared" si="24"/>
        <v>10.4199840000001</v>
      </c>
      <c r="E112" s="5">
        <f t="shared" si="25"/>
        <v>40.840087890625</v>
      </c>
    </row>
    <row r="113" spans="1:5">
      <c r="A113" s="10">
        <v>65</v>
      </c>
      <c r="B113" s="10">
        <v>115.8</v>
      </c>
      <c r="C113">
        <f t="shared" si="22"/>
        <v>108.66</v>
      </c>
      <c r="D113" s="5">
        <f t="shared" si="24"/>
        <v>50.9796</v>
      </c>
      <c r="E113" s="5">
        <f t="shared" si="25"/>
        <v>34.920712890625</v>
      </c>
    </row>
    <row r="114" spans="1:5">
      <c r="A114" s="10">
        <v>65</v>
      </c>
      <c r="B114" s="10">
        <v>109.8</v>
      </c>
      <c r="C114">
        <f t="shared" si="22"/>
        <v>108.66</v>
      </c>
      <c r="D114" s="5">
        <f t="shared" si="24"/>
        <v>1.2996</v>
      </c>
      <c r="E114" s="5">
        <f t="shared" si="25"/>
        <v>0.00821289062500052</v>
      </c>
    </row>
    <row r="115" spans="1:5">
      <c r="A115" s="10">
        <v>73</v>
      </c>
      <c r="B115" s="10">
        <v>109.5</v>
      </c>
      <c r="C115">
        <f t="shared" ref="C115:C146" si="26">66.8+0.644*A115</f>
        <v>113.812</v>
      </c>
      <c r="D115" s="5">
        <f t="shared" si="24"/>
        <v>18.593344</v>
      </c>
      <c r="E115" s="5">
        <f t="shared" ref="E115:E146" si="27">(B115-Ybar_height)^2</f>
        <v>0.152587890625</v>
      </c>
    </row>
    <row r="116" spans="1:5">
      <c r="A116" s="10">
        <v>75</v>
      </c>
      <c r="B116" s="10">
        <v>114</v>
      </c>
      <c r="C116">
        <f t="shared" si="26"/>
        <v>115.1</v>
      </c>
      <c r="D116" s="5">
        <f t="shared" ref="D116:D146" si="28">(B116-C116)^2</f>
        <v>1.20999999999999</v>
      </c>
      <c r="E116" s="5">
        <f t="shared" si="27"/>
        <v>16.886962890625</v>
      </c>
    </row>
    <row r="117" spans="1:5">
      <c r="A117" s="10">
        <v>75</v>
      </c>
      <c r="B117" s="10">
        <v>117</v>
      </c>
      <c r="C117">
        <f t="shared" si="26"/>
        <v>115.1</v>
      </c>
      <c r="D117" s="5">
        <f t="shared" si="28"/>
        <v>3.61000000000002</v>
      </c>
      <c r="E117" s="5">
        <f t="shared" si="27"/>
        <v>50.543212890625</v>
      </c>
    </row>
    <row r="118" spans="1:5">
      <c r="A118" s="10">
        <v>74</v>
      </c>
      <c r="B118" s="10">
        <v>113.2</v>
      </c>
      <c r="C118">
        <f t="shared" si="26"/>
        <v>114.456</v>
      </c>
      <c r="D118" s="5">
        <f t="shared" si="28"/>
        <v>1.57753599999996</v>
      </c>
      <c r="E118" s="5">
        <f t="shared" si="27"/>
        <v>10.951962890625</v>
      </c>
    </row>
    <row r="119" spans="1:5">
      <c r="A119" s="10">
        <v>64</v>
      </c>
      <c r="B119" s="10">
        <v>110.8</v>
      </c>
      <c r="C119">
        <f t="shared" si="26"/>
        <v>108.016</v>
      </c>
      <c r="D119" s="5">
        <f t="shared" si="28"/>
        <v>7.75065600000003</v>
      </c>
      <c r="E119" s="5">
        <f t="shared" si="27"/>
        <v>0.826962890624995</v>
      </c>
    </row>
    <row r="120" spans="1:5">
      <c r="A120" s="10">
        <v>73</v>
      </c>
      <c r="B120" s="10">
        <v>118.5</v>
      </c>
      <c r="C120">
        <f t="shared" si="26"/>
        <v>113.812</v>
      </c>
      <c r="D120" s="5">
        <f t="shared" si="28"/>
        <v>21.977344</v>
      </c>
      <c r="E120" s="5">
        <f t="shared" si="27"/>
        <v>74.121337890625</v>
      </c>
    </row>
    <row r="121" spans="1:5">
      <c r="A121" s="10">
        <v>65</v>
      </c>
      <c r="B121" s="10">
        <v>108.8</v>
      </c>
      <c r="C121">
        <f t="shared" si="26"/>
        <v>108.66</v>
      </c>
      <c r="D121" s="5">
        <f t="shared" si="28"/>
        <v>0.0196000000000002</v>
      </c>
      <c r="E121" s="5">
        <f t="shared" si="27"/>
        <v>1.18946289062501</v>
      </c>
    </row>
    <row r="122" spans="1:5">
      <c r="A122" s="10">
        <v>75</v>
      </c>
      <c r="B122" s="10">
        <v>115.3</v>
      </c>
      <c r="C122">
        <f t="shared" si="26"/>
        <v>115.1</v>
      </c>
      <c r="D122" s="5">
        <f t="shared" si="28"/>
        <v>0.0400000000000011</v>
      </c>
      <c r="E122" s="5">
        <f t="shared" si="27"/>
        <v>29.261337890625</v>
      </c>
    </row>
    <row r="123" spans="1:5">
      <c r="A123" s="10">
        <v>71</v>
      </c>
      <c r="B123" s="10">
        <v>110.8</v>
      </c>
      <c r="C123">
        <f t="shared" si="26"/>
        <v>112.524</v>
      </c>
      <c r="D123" s="5">
        <f t="shared" si="28"/>
        <v>2.97217600000001</v>
      </c>
      <c r="E123" s="5">
        <f t="shared" si="27"/>
        <v>0.826962890624995</v>
      </c>
    </row>
    <row r="124" spans="1:5">
      <c r="A124" s="10">
        <v>72</v>
      </c>
      <c r="B124" s="10">
        <v>116.2</v>
      </c>
      <c r="C124">
        <f t="shared" si="26"/>
        <v>113.168</v>
      </c>
      <c r="D124" s="5">
        <f t="shared" si="28"/>
        <v>9.19302399999998</v>
      </c>
      <c r="E124" s="5">
        <f t="shared" si="27"/>
        <v>39.808212890625</v>
      </c>
    </row>
    <row r="125" spans="1:5">
      <c r="A125" s="10">
        <v>73</v>
      </c>
      <c r="B125" s="10">
        <v>114.3</v>
      </c>
      <c r="C125">
        <f t="shared" si="26"/>
        <v>113.812</v>
      </c>
      <c r="D125" s="5">
        <f t="shared" si="28"/>
        <v>0.238144</v>
      </c>
      <c r="E125" s="5">
        <f t="shared" si="27"/>
        <v>19.442587890625</v>
      </c>
    </row>
    <row r="126" spans="1:5">
      <c r="A126" s="10">
        <v>75</v>
      </c>
      <c r="B126" s="10">
        <v>116.4</v>
      </c>
      <c r="C126">
        <f t="shared" si="26"/>
        <v>115.1</v>
      </c>
      <c r="D126" s="5">
        <f t="shared" si="28"/>
        <v>1.69000000000003</v>
      </c>
      <c r="E126" s="5">
        <f t="shared" si="27"/>
        <v>42.3719628906251</v>
      </c>
    </row>
    <row r="127" spans="1:5">
      <c r="A127" s="10">
        <v>77</v>
      </c>
      <c r="B127" s="10">
        <v>117.5</v>
      </c>
      <c r="C127">
        <f t="shared" si="26"/>
        <v>116.388</v>
      </c>
      <c r="D127" s="5">
        <f t="shared" si="28"/>
        <v>1.23654399999999</v>
      </c>
      <c r="E127" s="5">
        <f t="shared" si="27"/>
        <v>57.902587890625</v>
      </c>
    </row>
    <row r="128" spans="1:5">
      <c r="A128" s="10">
        <v>67</v>
      </c>
      <c r="B128" s="10">
        <v>119</v>
      </c>
      <c r="C128">
        <f t="shared" si="26"/>
        <v>109.948</v>
      </c>
      <c r="D128" s="5">
        <f t="shared" si="28"/>
        <v>81.9387039999999</v>
      </c>
      <c r="E128" s="5">
        <f t="shared" si="27"/>
        <v>82.980712890625</v>
      </c>
    </row>
    <row r="129" spans="1:5">
      <c r="A129" s="10">
        <v>78</v>
      </c>
      <c r="B129" s="10">
        <v>112.8</v>
      </c>
      <c r="C129">
        <f t="shared" si="26"/>
        <v>117.032</v>
      </c>
      <c r="D129" s="5">
        <f t="shared" si="28"/>
        <v>17.909824</v>
      </c>
      <c r="E129" s="5">
        <f t="shared" si="27"/>
        <v>8.46446289062498</v>
      </c>
    </row>
    <row r="130" spans="1:5">
      <c r="A130" s="10">
        <v>73</v>
      </c>
      <c r="B130" s="10">
        <v>113.6</v>
      </c>
      <c r="C130">
        <f t="shared" si="26"/>
        <v>113.812</v>
      </c>
      <c r="D130" s="5">
        <f t="shared" si="28"/>
        <v>0.0449440000000014</v>
      </c>
      <c r="E130" s="5">
        <f t="shared" si="27"/>
        <v>13.759462890625</v>
      </c>
    </row>
    <row r="131" spans="1:5">
      <c r="A131" s="10">
        <v>76</v>
      </c>
      <c r="B131" s="10">
        <v>119.9</v>
      </c>
      <c r="C131">
        <f t="shared" si="26"/>
        <v>115.744</v>
      </c>
      <c r="D131" s="5">
        <f t="shared" si="28"/>
        <v>17.272336</v>
      </c>
      <c r="E131" s="5">
        <f t="shared" si="27"/>
        <v>100.187587890625</v>
      </c>
    </row>
    <row r="132" spans="1:5">
      <c r="A132" s="10">
        <v>74</v>
      </c>
      <c r="B132" s="10">
        <v>108.2</v>
      </c>
      <c r="C132">
        <f t="shared" si="26"/>
        <v>114.456</v>
      </c>
      <c r="D132" s="5">
        <f t="shared" si="28"/>
        <v>39.1375359999998</v>
      </c>
      <c r="E132" s="5">
        <f t="shared" si="27"/>
        <v>2.85821289062499</v>
      </c>
    </row>
    <row r="133" spans="1:5">
      <c r="A133" s="10">
        <v>77</v>
      </c>
      <c r="B133" s="10">
        <v>120</v>
      </c>
      <c r="C133">
        <f t="shared" si="26"/>
        <v>116.388</v>
      </c>
      <c r="D133" s="5">
        <f t="shared" si="28"/>
        <v>13.046544</v>
      </c>
      <c r="E133" s="5">
        <f t="shared" si="27"/>
        <v>102.199462890625</v>
      </c>
    </row>
    <row r="134" spans="1:5">
      <c r="A134" s="10">
        <v>75</v>
      </c>
      <c r="B134" s="10">
        <v>125</v>
      </c>
      <c r="C134">
        <f t="shared" si="26"/>
        <v>115.1</v>
      </c>
      <c r="D134" s="5">
        <f t="shared" si="28"/>
        <v>98.0100000000001</v>
      </c>
      <c r="E134" s="5">
        <f t="shared" si="27"/>
        <v>228.293212890625</v>
      </c>
    </row>
    <row r="135" spans="1:5">
      <c r="A135" s="10">
        <v>77</v>
      </c>
      <c r="B135" s="10">
        <v>120.8</v>
      </c>
      <c r="C135">
        <f t="shared" si="26"/>
        <v>116.388</v>
      </c>
      <c r="D135" s="5">
        <f t="shared" si="28"/>
        <v>19.4657439999999</v>
      </c>
      <c r="E135" s="5">
        <f t="shared" si="27"/>
        <v>119.014462890625</v>
      </c>
    </row>
    <row r="136" spans="1:5">
      <c r="A136" s="10">
        <v>64</v>
      </c>
      <c r="B136" s="10">
        <v>109.2</v>
      </c>
      <c r="C136">
        <f t="shared" si="26"/>
        <v>108.016</v>
      </c>
      <c r="D136" s="5">
        <f t="shared" si="28"/>
        <v>1.40185600000003</v>
      </c>
      <c r="E136" s="5">
        <f t="shared" si="27"/>
        <v>0.476962890624996</v>
      </c>
    </row>
    <row r="137" spans="1:5">
      <c r="A137" s="10">
        <v>78</v>
      </c>
      <c r="B137" s="10">
        <v>120</v>
      </c>
      <c r="C137">
        <f t="shared" si="26"/>
        <v>117.032</v>
      </c>
      <c r="D137" s="5">
        <f t="shared" si="28"/>
        <v>8.80902400000002</v>
      </c>
      <c r="E137" s="5">
        <f t="shared" si="27"/>
        <v>102.199462890625</v>
      </c>
    </row>
    <row r="138" spans="1:5">
      <c r="A138" s="10">
        <v>77</v>
      </c>
      <c r="B138" s="10">
        <v>120.4</v>
      </c>
      <c r="C138">
        <f t="shared" si="26"/>
        <v>116.388</v>
      </c>
      <c r="D138" s="5">
        <f t="shared" si="28"/>
        <v>16.096144</v>
      </c>
      <c r="E138" s="5">
        <f t="shared" si="27"/>
        <v>110.446962890625</v>
      </c>
    </row>
    <row r="139" spans="1:5">
      <c r="A139" s="10">
        <v>66</v>
      </c>
      <c r="B139" s="10">
        <v>120.5</v>
      </c>
      <c r="C139">
        <f t="shared" si="26"/>
        <v>109.304</v>
      </c>
      <c r="D139" s="5">
        <f t="shared" si="28"/>
        <v>125.350416</v>
      </c>
      <c r="E139" s="5">
        <f t="shared" si="27"/>
        <v>112.558837890625</v>
      </c>
    </row>
    <row r="140" spans="1:5">
      <c r="A140" s="10">
        <v>74</v>
      </c>
      <c r="B140" s="10">
        <v>120.5</v>
      </c>
      <c r="C140">
        <f t="shared" si="26"/>
        <v>114.456</v>
      </c>
      <c r="D140" s="5">
        <f t="shared" si="28"/>
        <v>36.5299360000001</v>
      </c>
      <c r="E140" s="5">
        <f t="shared" si="27"/>
        <v>112.558837890625</v>
      </c>
    </row>
    <row r="141" spans="1:5">
      <c r="A141" s="10">
        <v>66</v>
      </c>
      <c r="B141" s="10">
        <v>108</v>
      </c>
      <c r="C141">
        <f t="shared" si="26"/>
        <v>109.304</v>
      </c>
      <c r="D141" s="5">
        <f t="shared" si="28"/>
        <v>1.70041600000001</v>
      </c>
      <c r="E141" s="5">
        <f t="shared" si="27"/>
        <v>3.574462890625</v>
      </c>
    </row>
    <row r="142" spans="1:5">
      <c r="A142" s="10">
        <v>68</v>
      </c>
      <c r="B142" s="10">
        <v>103.7</v>
      </c>
      <c r="C142">
        <f t="shared" si="26"/>
        <v>110.592</v>
      </c>
      <c r="D142" s="5">
        <f t="shared" si="28"/>
        <v>47.4996639999999</v>
      </c>
      <c r="E142" s="5">
        <f t="shared" si="27"/>
        <v>38.323837890625</v>
      </c>
    </row>
    <row r="143" spans="1:5">
      <c r="A143" s="10">
        <v>64</v>
      </c>
      <c r="B143" s="10">
        <v>109.2</v>
      </c>
      <c r="C143">
        <f t="shared" si="26"/>
        <v>108.016</v>
      </c>
      <c r="D143" s="5">
        <f t="shared" si="28"/>
        <v>1.40185600000003</v>
      </c>
      <c r="E143" s="5">
        <f t="shared" si="27"/>
        <v>0.476962890624996</v>
      </c>
    </row>
    <row r="144" spans="1:5">
      <c r="A144" s="10">
        <v>54</v>
      </c>
      <c r="B144" s="10">
        <v>102</v>
      </c>
      <c r="C144">
        <f t="shared" si="26"/>
        <v>101.576</v>
      </c>
      <c r="D144" s="5">
        <f t="shared" si="28"/>
        <v>0.179776000000006</v>
      </c>
      <c r="E144" s="5">
        <f t="shared" si="27"/>
        <v>62.261962890625</v>
      </c>
    </row>
    <row r="145" spans="1:5">
      <c r="A145" s="10">
        <v>80</v>
      </c>
      <c r="B145" s="10">
        <v>113.8</v>
      </c>
      <c r="C145">
        <f t="shared" si="26"/>
        <v>118.32</v>
      </c>
      <c r="D145" s="5">
        <f t="shared" si="28"/>
        <v>20.4304</v>
      </c>
      <c r="E145" s="5">
        <f t="shared" si="27"/>
        <v>15.283212890625</v>
      </c>
    </row>
    <row r="146" spans="1:5">
      <c r="A146" s="10">
        <v>77</v>
      </c>
      <c r="B146" s="10">
        <v>122.3</v>
      </c>
      <c r="C146">
        <f t="shared" si="26"/>
        <v>116.388</v>
      </c>
      <c r="D146" s="5">
        <f t="shared" si="28"/>
        <v>34.9517439999999</v>
      </c>
      <c r="E146" s="5">
        <f t="shared" si="27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29">(B151-Ybar_prod)^2</f>
        <v>3844</v>
      </c>
    </row>
    <row r="152" spans="1:5">
      <c r="A152" s="10">
        <v>6</v>
      </c>
      <c r="B152" s="10">
        <v>105</v>
      </c>
      <c r="C152">
        <f t="shared" ref="C152:C160" si="30">60+5*A152</f>
        <v>90</v>
      </c>
      <c r="D152" s="5">
        <f t="shared" ref="D152:D160" si="31">(B152-C152)^2</f>
        <v>225</v>
      </c>
      <c r="E152" s="5">
        <f t="shared" si="29"/>
        <v>225</v>
      </c>
    </row>
    <row r="153" spans="1:5">
      <c r="A153" s="10">
        <v>8</v>
      </c>
      <c r="B153" s="10">
        <v>88</v>
      </c>
      <c r="C153">
        <f t="shared" si="30"/>
        <v>100</v>
      </c>
      <c r="D153" s="5">
        <f t="shared" si="31"/>
        <v>144</v>
      </c>
      <c r="E153" s="5">
        <f t="shared" si="29"/>
        <v>1024</v>
      </c>
    </row>
    <row r="154" spans="1:5">
      <c r="A154" s="10">
        <v>8</v>
      </c>
      <c r="B154" s="10">
        <v>118</v>
      </c>
      <c r="C154">
        <f t="shared" si="30"/>
        <v>100</v>
      </c>
      <c r="D154" s="5">
        <f t="shared" si="31"/>
        <v>324</v>
      </c>
      <c r="E154" s="5">
        <f t="shared" si="29"/>
        <v>4</v>
      </c>
    </row>
    <row r="155" spans="1:5">
      <c r="A155" s="10">
        <v>12</v>
      </c>
      <c r="B155" s="10">
        <v>17</v>
      </c>
      <c r="C155">
        <f t="shared" si="30"/>
        <v>120</v>
      </c>
      <c r="D155" s="5">
        <f t="shared" si="31"/>
        <v>10609</v>
      </c>
      <c r="E155" s="5">
        <f t="shared" si="29"/>
        <v>10609</v>
      </c>
    </row>
    <row r="156" spans="1:5">
      <c r="A156" s="10">
        <v>16</v>
      </c>
      <c r="B156" s="10">
        <v>137</v>
      </c>
      <c r="C156">
        <f t="shared" si="30"/>
        <v>140</v>
      </c>
      <c r="D156" s="5">
        <f t="shared" si="31"/>
        <v>9</v>
      </c>
      <c r="E156" s="5">
        <f t="shared" si="29"/>
        <v>289</v>
      </c>
    </row>
    <row r="157" spans="1:5">
      <c r="A157" s="10">
        <v>20</v>
      </c>
      <c r="B157" s="10">
        <v>157</v>
      </c>
      <c r="C157">
        <f t="shared" si="30"/>
        <v>160</v>
      </c>
      <c r="D157" s="5">
        <f t="shared" si="31"/>
        <v>9</v>
      </c>
      <c r="E157" s="5">
        <f t="shared" si="29"/>
        <v>1369</v>
      </c>
    </row>
    <row r="158" spans="1:5">
      <c r="A158" s="10">
        <v>20</v>
      </c>
      <c r="B158" s="10">
        <v>169</v>
      </c>
      <c r="C158">
        <f t="shared" si="30"/>
        <v>160</v>
      </c>
      <c r="D158" s="5">
        <f t="shared" si="31"/>
        <v>81</v>
      </c>
      <c r="E158" s="5">
        <f t="shared" si="29"/>
        <v>2401</v>
      </c>
    </row>
    <row r="159" spans="1:5">
      <c r="A159" s="10">
        <v>22</v>
      </c>
      <c r="B159" s="10">
        <v>149</v>
      </c>
      <c r="C159">
        <f t="shared" si="30"/>
        <v>170</v>
      </c>
      <c r="D159" s="5">
        <f t="shared" si="31"/>
        <v>441</v>
      </c>
      <c r="E159" s="5">
        <f t="shared" si="29"/>
        <v>841</v>
      </c>
    </row>
    <row r="160" spans="1:5">
      <c r="A160" s="10">
        <v>26</v>
      </c>
      <c r="B160" s="10">
        <v>202</v>
      </c>
      <c r="C160">
        <f t="shared" si="30"/>
        <v>190</v>
      </c>
      <c r="D160" s="5">
        <f t="shared" si="31"/>
        <v>144</v>
      </c>
      <c r="E160" s="5">
        <f t="shared" si="29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2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3">-16.03+0.03*A172</f>
        <v>7.94</v>
      </c>
      <c r="D172" s="5">
        <f t="shared" ref="D172:D185" si="34">(B172-C172)^2</f>
        <v>0.102400000000001</v>
      </c>
      <c r="E172" s="5">
        <f t="shared" si="32"/>
        <v>4.8605551111111</v>
      </c>
    </row>
    <row r="173" spans="1:5">
      <c r="A173" s="10">
        <v>837</v>
      </c>
      <c r="B173" s="10">
        <v>7.48</v>
      </c>
      <c r="C173">
        <f t="shared" si="33"/>
        <v>9.08</v>
      </c>
      <c r="D173" s="5">
        <f t="shared" si="34"/>
        <v>2.55999999999999</v>
      </c>
      <c r="E173" s="5">
        <f t="shared" si="32"/>
        <v>8.90823511111109</v>
      </c>
    </row>
    <row r="174" spans="1:5">
      <c r="A174" s="10">
        <v>855</v>
      </c>
      <c r="B174" s="10">
        <v>9.08</v>
      </c>
      <c r="C174">
        <f t="shared" si="33"/>
        <v>9.62</v>
      </c>
      <c r="D174" s="5">
        <f t="shared" si="34"/>
        <v>0.291599999999997</v>
      </c>
      <c r="E174" s="5">
        <f t="shared" si="32"/>
        <v>1.91730177777777</v>
      </c>
    </row>
    <row r="175" spans="1:5">
      <c r="A175" s="10">
        <v>845</v>
      </c>
      <c r="B175" s="10">
        <v>9.83</v>
      </c>
      <c r="C175">
        <f t="shared" si="33"/>
        <v>9.32</v>
      </c>
      <c r="D175" s="5">
        <f t="shared" si="34"/>
        <v>0.260100000000003</v>
      </c>
      <c r="E175" s="5">
        <f t="shared" si="32"/>
        <v>0.402801777777775</v>
      </c>
    </row>
    <row r="176" spans="1:5">
      <c r="A176" s="10">
        <v>844</v>
      </c>
      <c r="B176" s="10">
        <v>10.09</v>
      </c>
      <c r="C176">
        <f t="shared" si="33"/>
        <v>9.29</v>
      </c>
      <c r="D176" s="5">
        <f t="shared" si="34"/>
        <v>0.640000000000001</v>
      </c>
      <c r="E176" s="5">
        <f t="shared" si="32"/>
        <v>0.140375111111109</v>
      </c>
    </row>
    <row r="177" spans="1:5">
      <c r="A177" s="10">
        <v>863</v>
      </c>
      <c r="B177" s="10">
        <v>11.01</v>
      </c>
      <c r="C177">
        <f t="shared" si="33"/>
        <v>9.86</v>
      </c>
      <c r="D177" s="5">
        <f t="shared" si="34"/>
        <v>1.3225</v>
      </c>
      <c r="E177" s="5">
        <f t="shared" si="32"/>
        <v>0.297388444444447</v>
      </c>
    </row>
    <row r="178" spans="1:5">
      <c r="A178" s="10">
        <v>875</v>
      </c>
      <c r="B178" s="10">
        <v>11.49</v>
      </c>
      <c r="C178">
        <f t="shared" si="33"/>
        <v>10.22</v>
      </c>
      <c r="D178" s="5">
        <f t="shared" si="34"/>
        <v>1.6129</v>
      </c>
      <c r="E178" s="5">
        <f t="shared" si="32"/>
        <v>1.05130844444445</v>
      </c>
    </row>
    <row r="179" spans="1:5">
      <c r="A179" s="10">
        <v>880</v>
      </c>
      <c r="B179" s="10">
        <v>12.07</v>
      </c>
      <c r="C179">
        <f t="shared" si="33"/>
        <v>10.37</v>
      </c>
      <c r="D179" s="5">
        <f t="shared" si="34"/>
        <v>2.89000000000001</v>
      </c>
      <c r="E179" s="5">
        <f t="shared" si="32"/>
        <v>2.57709511111112</v>
      </c>
    </row>
    <row r="180" spans="1:5">
      <c r="A180" s="10">
        <v>905</v>
      </c>
      <c r="B180" s="10">
        <v>12.55</v>
      </c>
      <c r="C180">
        <f t="shared" si="33"/>
        <v>11.12</v>
      </c>
      <c r="D180" s="5">
        <f t="shared" si="34"/>
        <v>2.04490000000001</v>
      </c>
      <c r="E180" s="5">
        <f t="shared" si="32"/>
        <v>4.34861511111112</v>
      </c>
    </row>
    <row r="181" spans="1:5">
      <c r="A181" s="10">
        <v>886</v>
      </c>
      <c r="B181" s="10">
        <v>11.92</v>
      </c>
      <c r="C181">
        <f t="shared" si="33"/>
        <v>10.55</v>
      </c>
      <c r="D181" s="5">
        <f t="shared" si="34"/>
        <v>1.87690000000001</v>
      </c>
      <c r="E181" s="5">
        <f t="shared" si="32"/>
        <v>2.11799511111112</v>
      </c>
    </row>
    <row r="182" spans="1:5">
      <c r="A182" s="10">
        <v>843</v>
      </c>
      <c r="B182" s="10">
        <v>10.27</v>
      </c>
      <c r="C182">
        <f t="shared" si="33"/>
        <v>9.26</v>
      </c>
      <c r="D182" s="5">
        <f t="shared" si="34"/>
        <v>1.0201</v>
      </c>
      <c r="E182" s="5">
        <f t="shared" si="32"/>
        <v>0.0378951111111104</v>
      </c>
    </row>
    <row r="183" spans="1:5">
      <c r="A183" s="10">
        <v>904</v>
      </c>
      <c r="B183" s="10">
        <v>11.8</v>
      </c>
      <c r="C183">
        <f t="shared" si="33"/>
        <v>11.09</v>
      </c>
      <c r="D183" s="5">
        <f t="shared" si="34"/>
        <v>0.504100000000006</v>
      </c>
      <c r="E183" s="5">
        <f t="shared" si="32"/>
        <v>1.78311511111112</v>
      </c>
    </row>
    <row r="184" spans="1:5">
      <c r="A184" s="10">
        <v>950</v>
      </c>
      <c r="B184" s="10">
        <v>12.15</v>
      </c>
      <c r="C184">
        <f t="shared" si="33"/>
        <v>12.47</v>
      </c>
      <c r="D184" s="5">
        <f t="shared" si="34"/>
        <v>0.102399999999999</v>
      </c>
      <c r="E184" s="5">
        <f t="shared" si="32"/>
        <v>2.84034844444445</v>
      </c>
    </row>
    <row r="185" spans="1:5">
      <c r="A185" s="10">
        <v>841</v>
      </c>
      <c r="B185" s="10">
        <v>9.64</v>
      </c>
      <c r="C185">
        <f t="shared" si="33"/>
        <v>9.2</v>
      </c>
      <c r="D185" s="5">
        <f t="shared" si="34"/>
        <v>0.193600000000001</v>
      </c>
      <c r="E185" s="5">
        <f t="shared" si="32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9"/>
  <sheetViews>
    <sheetView topLeftCell="A10" workbookViewId="0">
      <selection activeCell="C15" sqref="C15:C20"/>
    </sheetView>
  </sheetViews>
  <sheetFormatPr defaultColWidth="9" defaultRowHeight="14.25"/>
  <cols>
    <col min="2" max="2" width="11.125" customWidth="1"/>
    <col min="3" max="3" width="12.625" customWidth="1"/>
    <col min="7" max="7" width="14.625" customWidth="1"/>
    <col min="9" max="9" width="10.375"/>
    <col min="10" max="10" width="14.875" customWidth="1"/>
    <col min="12" max="12" width="9.375"/>
  </cols>
  <sheetData>
    <row r="2" spans="1:1">
      <c r="A2" t="s">
        <v>54</v>
      </c>
    </row>
    <row r="3" spans="1:11">
      <c r="A3" t="s">
        <v>55</v>
      </c>
      <c r="E3" t="s">
        <v>56</v>
      </c>
      <c r="H3" t="s">
        <v>57</v>
      </c>
      <c r="K3" t="s">
        <v>58</v>
      </c>
    </row>
    <row r="5" spans="2:12">
      <c r="B5" s="1" t="s">
        <v>59</v>
      </c>
      <c r="C5" t="s">
        <v>60</v>
      </c>
      <c r="E5" s="1" t="s">
        <v>59</v>
      </c>
      <c r="F5" t="s">
        <v>61</v>
      </c>
      <c r="H5" s="1" t="s">
        <v>59</v>
      </c>
      <c r="I5" t="s">
        <v>62</v>
      </c>
      <c r="K5" s="1" t="s">
        <v>59</v>
      </c>
      <c r="L5" t="s">
        <v>63</v>
      </c>
    </row>
    <row r="6" spans="2:12">
      <c r="B6" s="1">
        <v>108</v>
      </c>
      <c r="C6">
        <f>164+217*B6</f>
        <v>23600</v>
      </c>
      <c r="E6" s="1">
        <v>108</v>
      </c>
      <c r="F6">
        <f>2.22+0.00171*E6</f>
        <v>2.40468</v>
      </c>
      <c r="H6" s="1">
        <v>108</v>
      </c>
      <c r="I6">
        <f>85.7+0.000148*H6</f>
        <v>85.715984</v>
      </c>
      <c r="K6" s="1">
        <v>108</v>
      </c>
      <c r="L6">
        <f>3.53+0.0272*K6</f>
        <v>6.4676</v>
      </c>
    </row>
    <row r="7" spans="2:12">
      <c r="B7" s="1">
        <v>86</v>
      </c>
      <c r="C7">
        <f>164+217*B7</f>
        <v>18826</v>
      </c>
      <c r="E7" s="1">
        <v>86</v>
      </c>
      <c r="F7">
        <f>2.22+0.00171*E7</f>
        <v>2.36706</v>
      </c>
      <c r="H7" s="1">
        <v>86</v>
      </c>
      <c r="I7">
        <f>85.7+0.000148*H7</f>
        <v>85.712728</v>
      </c>
      <c r="K7" s="1">
        <v>86</v>
      </c>
      <c r="L7">
        <f>3.53+0.0272*K7</f>
        <v>5.8692</v>
      </c>
    </row>
    <row r="8" spans="2:12">
      <c r="B8" s="1">
        <v>461</v>
      </c>
      <c r="C8">
        <f>164+217*B8</f>
        <v>100201</v>
      </c>
      <c r="E8" s="1">
        <v>461</v>
      </c>
      <c r="F8">
        <f>2.22+0.00171*E8</f>
        <v>3.00831</v>
      </c>
      <c r="H8" s="1">
        <v>461</v>
      </c>
      <c r="I8">
        <f>85.7+0.000148*H8</f>
        <v>85.768228</v>
      </c>
      <c r="K8" s="1">
        <v>461</v>
      </c>
      <c r="L8">
        <f>3.53+0.0272*K8</f>
        <v>16.0692</v>
      </c>
    </row>
    <row r="9" spans="2:12">
      <c r="B9" s="1">
        <v>285</v>
      </c>
      <c r="C9">
        <f>164+217*B9</f>
        <v>62009</v>
      </c>
      <c r="E9" s="1">
        <v>285</v>
      </c>
      <c r="F9">
        <f>2.22+0.00171*E9</f>
        <v>2.70735</v>
      </c>
      <c r="H9" s="1">
        <v>285</v>
      </c>
      <c r="I9">
        <f>85.7+0.000148*H9</f>
        <v>85.74218</v>
      </c>
      <c r="K9" s="1">
        <v>285</v>
      </c>
      <c r="L9">
        <f>3.53+0.0272*K9</f>
        <v>11.282</v>
      </c>
    </row>
    <row r="10" spans="2:12">
      <c r="B10" s="1">
        <v>106</v>
      </c>
      <c r="C10">
        <f>164+217*B10</f>
        <v>23166</v>
      </c>
      <c r="E10" s="1">
        <v>106</v>
      </c>
      <c r="F10">
        <f>2.22+0.00171*E10</f>
        <v>2.40126</v>
      </c>
      <c r="H10" s="1">
        <v>106</v>
      </c>
      <c r="I10">
        <f>85.7+0.000148*H10</f>
        <v>85.715688</v>
      </c>
      <c r="K10" s="1">
        <v>106</v>
      </c>
      <c r="L10">
        <f>3.53+0.0272*K10</f>
        <v>6.4132</v>
      </c>
    </row>
    <row r="11" spans="2:12">
      <c r="B11" s="1">
        <v>297</v>
      </c>
      <c r="C11">
        <f>164+217*B11</f>
        <v>64613</v>
      </c>
      <c r="E11" s="1">
        <v>297</v>
      </c>
      <c r="F11">
        <f>2.22+0.00171*E11</f>
        <v>2.72787</v>
      </c>
      <c r="H11" s="1">
        <v>297</v>
      </c>
      <c r="I11">
        <f>85.7+0.000148*H11</f>
        <v>85.743956</v>
      </c>
      <c r="K11" s="1">
        <v>297</v>
      </c>
      <c r="L11">
        <f>3.53+0.0272*K11</f>
        <v>11.6084</v>
      </c>
    </row>
    <row r="13" spans="1:11">
      <c r="A13" t="s">
        <v>64</v>
      </c>
      <c r="E13" t="s">
        <v>65</v>
      </c>
      <c r="H13" t="s">
        <v>66</v>
      </c>
      <c r="K13" t="s">
        <v>67</v>
      </c>
    </row>
    <row r="14" spans="2:12">
      <c r="B14" s="1" t="s">
        <v>59</v>
      </c>
      <c r="C14" t="s">
        <v>68</v>
      </c>
      <c r="E14" s="1" t="s">
        <v>59</v>
      </c>
      <c r="F14" t="s">
        <v>69</v>
      </c>
      <c r="H14" s="1" t="s">
        <v>59</v>
      </c>
      <c r="I14" t="s">
        <v>70</v>
      </c>
      <c r="K14" s="1" t="s">
        <v>59</v>
      </c>
      <c r="L14" t="s">
        <v>71</v>
      </c>
    </row>
    <row r="15" spans="2:12">
      <c r="B15" s="1">
        <v>108</v>
      </c>
      <c r="C15">
        <f>3.18+0.00127*B15</f>
        <v>3.31716</v>
      </c>
      <c r="E15" s="1">
        <v>108</v>
      </c>
      <c r="F15">
        <f>-19.4+0.702*E15</f>
        <v>56.416</v>
      </c>
      <c r="H15" s="1">
        <v>108</v>
      </c>
      <c r="I15">
        <f>46.6+0.261*H15</f>
        <v>74.788</v>
      </c>
      <c r="K15" s="1">
        <v>108</v>
      </c>
      <c r="L15">
        <f>18.6+0.0291*K15</f>
        <v>21.7428</v>
      </c>
    </row>
    <row r="16" spans="2:12">
      <c r="B16" s="1">
        <v>86</v>
      </c>
      <c r="C16">
        <f>3.18+0.00127*B16</f>
        <v>3.28922</v>
      </c>
      <c r="E16" s="1">
        <v>86</v>
      </c>
      <c r="F16">
        <f>-19.4+0.702*E16</f>
        <v>40.972</v>
      </c>
      <c r="H16" s="1">
        <v>86</v>
      </c>
      <c r="I16">
        <f>46.6+0.261*H16</f>
        <v>69.046</v>
      </c>
      <c r="K16" s="1">
        <v>86</v>
      </c>
      <c r="L16">
        <f>18.6+0.0291*K16</f>
        <v>21.1026</v>
      </c>
    </row>
    <row r="17" spans="2:12">
      <c r="B17" s="1">
        <v>461</v>
      </c>
      <c r="C17">
        <f>3.18+0.00127*B17</f>
        <v>3.76547</v>
      </c>
      <c r="E17" s="1">
        <v>461</v>
      </c>
      <c r="F17">
        <f>-19.4+0.702*E17</f>
        <v>304.222</v>
      </c>
      <c r="H17" s="1">
        <v>461</v>
      </c>
      <c r="I17">
        <f>46.6+0.261*H17</f>
        <v>166.921</v>
      </c>
      <c r="K17" s="1">
        <v>461</v>
      </c>
      <c r="L17">
        <f>18.6+0.0291*K17</f>
        <v>32.0151</v>
      </c>
    </row>
    <row r="18" spans="2:12">
      <c r="B18" s="1">
        <v>285</v>
      </c>
      <c r="C18">
        <f>3.18+0.00127*B18</f>
        <v>3.54195</v>
      </c>
      <c r="E18" s="1">
        <v>285</v>
      </c>
      <c r="F18">
        <f>-19.4+0.702*E18</f>
        <v>180.67</v>
      </c>
      <c r="H18" s="1">
        <v>285</v>
      </c>
      <c r="I18">
        <f>46.6+0.261*H18</f>
        <v>120.985</v>
      </c>
      <c r="K18" s="1">
        <v>285</v>
      </c>
      <c r="L18">
        <f>18.6+0.0291*K18</f>
        <v>26.8935</v>
      </c>
    </row>
    <row r="19" spans="2:12">
      <c r="B19" s="1">
        <v>106</v>
      </c>
      <c r="C19">
        <f>3.18+0.00127*B19</f>
        <v>3.31462</v>
      </c>
      <c r="E19" s="1">
        <v>106</v>
      </c>
      <c r="F19">
        <f>-19.4+0.702*E19</f>
        <v>55.012</v>
      </c>
      <c r="H19" s="1">
        <v>106</v>
      </c>
      <c r="I19">
        <f>46.6+0.261*H19</f>
        <v>74.266</v>
      </c>
      <c r="K19" s="1">
        <v>106</v>
      </c>
      <c r="L19">
        <f>18.6+0.0291*K19</f>
        <v>21.6846</v>
      </c>
    </row>
    <row r="20" spans="2:12">
      <c r="B20" s="1">
        <v>297</v>
      </c>
      <c r="C20">
        <f>3.18+0.00127*B20</f>
        <v>3.55719</v>
      </c>
      <c r="E20" s="1">
        <v>297</v>
      </c>
      <c r="F20">
        <f>-19.4+0.702*E20</f>
        <v>189.094</v>
      </c>
      <c r="H20" s="1">
        <v>297</v>
      </c>
      <c r="I20">
        <f>46.6+0.261*H20</f>
        <v>124.117</v>
      </c>
      <c r="K20" s="1">
        <v>297</v>
      </c>
      <c r="L20">
        <f>18.6+0.0291*K20</f>
        <v>27.2427</v>
      </c>
    </row>
    <row r="22" spans="1:11">
      <c r="A22" t="s">
        <v>72</v>
      </c>
      <c r="E22" t="s">
        <v>73</v>
      </c>
      <c r="H22" t="s">
        <v>74</v>
      </c>
      <c r="K22" t="s">
        <v>75</v>
      </c>
    </row>
    <row r="23" spans="2:12">
      <c r="B23" s="1" t="s">
        <v>59</v>
      </c>
      <c r="C23" t="s">
        <v>76</v>
      </c>
      <c r="E23" s="1" t="s">
        <v>59</v>
      </c>
      <c r="F23" t="s">
        <v>77</v>
      </c>
      <c r="H23" s="1" t="s">
        <v>59</v>
      </c>
      <c r="I23" t="s">
        <v>78</v>
      </c>
      <c r="K23" s="1" t="s">
        <v>59</v>
      </c>
      <c r="L23" t="s">
        <v>79</v>
      </c>
    </row>
    <row r="24" spans="2:12">
      <c r="B24" s="1">
        <v>108</v>
      </c>
      <c r="C24">
        <f>3.18+0.00127*B24</f>
        <v>3.31716</v>
      </c>
      <c r="E24" s="1">
        <v>108</v>
      </c>
      <c r="F24">
        <f>1.99+0.00133*E24</f>
        <v>2.13364</v>
      </c>
      <c r="H24" s="1">
        <v>108</v>
      </c>
      <c r="I24">
        <f>1.78+0.00126*H24</f>
        <v>1.91608</v>
      </c>
      <c r="K24" s="1">
        <v>108</v>
      </c>
      <c r="L24">
        <f>0.567-0.000087*K24</f>
        <v>0.557604</v>
      </c>
    </row>
    <row r="25" spans="2:12">
      <c r="B25" s="1">
        <v>86</v>
      </c>
      <c r="C25">
        <f>3.18+0.00127*B25</f>
        <v>3.28922</v>
      </c>
      <c r="E25" s="1">
        <v>86</v>
      </c>
      <c r="F25">
        <f>1.99+0.00133*E25</f>
        <v>2.10438</v>
      </c>
      <c r="H25" s="1">
        <v>86</v>
      </c>
      <c r="I25">
        <f>1.78+0.00126*H25</f>
        <v>1.88836</v>
      </c>
      <c r="K25" s="1">
        <v>86</v>
      </c>
      <c r="L25">
        <f>0.567-0.000087*K25</f>
        <v>0.559518</v>
      </c>
    </row>
    <row r="26" spans="2:12">
      <c r="B26" s="1">
        <v>461</v>
      </c>
      <c r="C26">
        <f>3.18+0.00127*B26</f>
        <v>3.76547</v>
      </c>
      <c r="E26" s="1">
        <v>461</v>
      </c>
      <c r="F26">
        <f>1.99+0.00133*E26</f>
        <v>2.60313</v>
      </c>
      <c r="H26" s="1">
        <v>461</v>
      </c>
      <c r="I26">
        <f>1.78+0.00126*H26</f>
        <v>2.36086</v>
      </c>
      <c r="K26" s="1">
        <v>461</v>
      </c>
      <c r="L26">
        <f>0.567-0.000087*K26</f>
        <v>0.526893</v>
      </c>
    </row>
    <row r="27" spans="2:12">
      <c r="B27" s="1">
        <v>285</v>
      </c>
      <c r="C27">
        <f>3.18+0.00127*B27</f>
        <v>3.54195</v>
      </c>
      <c r="E27" s="1">
        <v>285</v>
      </c>
      <c r="F27">
        <f>1.99+0.00133*E27</f>
        <v>2.36905</v>
      </c>
      <c r="H27" s="1">
        <v>285</v>
      </c>
      <c r="I27">
        <f>1.78+0.00126*H27</f>
        <v>2.1391</v>
      </c>
      <c r="K27" s="1">
        <v>285</v>
      </c>
      <c r="L27">
        <f>0.567-0.000087*K27</f>
        <v>0.542205</v>
      </c>
    </row>
    <row r="28" spans="2:12">
      <c r="B28" s="1">
        <v>106</v>
      </c>
      <c r="C28">
        <f>3.18+0.00127*B28</f>
        <v>3.31462</v>
      </c>
      <c r="E28" s="1">
        <v>106</v>
      </c>
      <c r="F28">
        <f>1.99+0.00133*E28</f>
        <v>2.13098</v>
      </c>
      <c r="H28" s="1">
        <v>106</v>
      </c>
      <c r="I28">
        <f>1.78+0.00126*H28</f>
        <v>1.91356</v>
      </c>
      <c r="K28" s="1">
        <v>106</v>
      </c>
      <c r="L28">
        <f>0.567-0.000087*K28</f>
        <v>0.557778</v>
      </c>
    </row>
    <row r="29" spans="2:12">
      <c r="B29" s="1">
        <v>297</v>
      </c>
      <c r="C29">
        <f>3.18+0.00127*B29</f>
        <v>3.55719</v>
      </c>
      <c r="E29" s="1">
        <v>297</v>
      </c>
      <c r="F29">
        <f>1.99+0.00133*E29</f>
        <v>2.38501</v>
      </c>
      <c r="H29" s="1">
        <v>297</v>
      </c>
      <c r="I29">
        <f>1.78+0.00126*H29</f>
        <v>2.15422</v>
      </c>
      <c r="K29" s="1">
        <v>297</v>
      </c>
      <c r="L29">
        <f>0.567-0.000087*K29</f>
        <v>0.541161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opLeftCell="C1" workbookViewId="0">
      <selection activeCell="A1" sqref="A1:M3"/>
    </sheetView>
  </sheetViews>
  <sheetFormatPr defaultColWidth="9" defaultRowHeight="14.25" outlineLevelRow="2"/>
  <cols>
    <col min="2" max="2" width="15.375" customWidth="1"/>
  </cols>
  <sheetData>
    <row r="1" spans="2:13">
      <c r="B1" t="s">
        <v>80</v>
      </c>
      <c r="C1" t="s">
        <v>18</v>
      </c>
      <c r="D1" t="s">
        <v>81</v>
      </c>
      <c r="E1" t="s">
        <v>15</v>
      </c>
      <c r="F1" t="s">
        <v>19</v>
      </c>
      <c r="G1" t="s">
        <v>10</v>
      </c>
      <c r="H1" t="s">
        <v>8</v>
      </c>
      <c r="I1" t="s">
        <v>82</v>
      </c>
      <c r="J1" t="s">
        <v>83</v>
      </c>
      <c r="K1" t="s">
        <v>13</v>
      </c>
      <c r="L1" t="s">
        <v>84</v>
      </c>
      <c r="M1" t="s">
        <v>85</v>
      </c>
    </row>
    <row r="2" spans="1:13">
      <c r="A2" t="s">
        <v>4</v>
      </c>
      <c r="B2">
        <v>0.306</v>
      </c>
      <c r="C2">
        <v>0.402</v>
      </c>
      <c r="D2">
        <v>0.328</v>
      </c>
      <c r="E2">
        <v>0.311</v>
      </c>
      <c r="F2">
        <v>0.307</v>
      </c>
      <c r="G2">
        <v>0.418</v>
      </c>
      <c r="H2">
        <v>0.484</v>
      </c>
      <c r="I2">
        <v>0.263</v>
      </c>
      <c r="J2">
        <v>0.382</v>
      </c>
      <c r="K2">
        <v>0.535</v>
      </c>
      <c r="L2">
        <v>0.349</v>
      </c>
      <c r="M2">
        <v>1</v>
      </c>
    </row>
    <row r="3" spans="1:13">
      <c r="A3" t="s">
        <v>5</v>
      </c>
      <c r="B3">
        <v>0.256</v>
      </c>
      <c r="C3">
        <v>0.241</v>
      </c>
      <c r="D3">
        <v>0.254</v>
      </c>
      <c r="E3">
        <v>0.247</v>
      </c>
      <c r="F3">
        <v>0.239</v>
      </c>
      <c r="G3">
        <v>0.239</v>
      </c>
      <c r="H3">
        <v>0.234</v>
      </c>
      <c r="I3">
        <v>0.262</v>
      </c>
      <c r="J3">
        <v>0.236</v>
      </c>
      <c r="K3">
        <v>0.2</v>
      </c>
      <c r="L3">
        <v>0.286</v>
      </c>
      <c r="M3">
        <v>0.371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selection activeCell="B28" sqref="B28"/>
    </sheetView>
  </sheetViews>
  <sheetFormatPr defaultColWidth="9" defaultRowHeight="14.25"/>
  <cols>
    <col min="1" max="9" width="12.125" customWidth="1"/>
    <col min="10" max="10" width="18.625" customWidth="1"/>
    <col min="11" max="15" width="12.125" customWidth="1"/>
    <col min="16" max="16" width="19.5" customWidth="1"/>
    <col min="17" max="21" width="12.125" customWidth="1"/>
    <col min="22" max="22" width="20.875" customWidth="1"/>
    <col min="23" max="25" width="12.125" customWidth="1"/>
    <col min="26" max="1025" width="9" customWidth="1"/>
  </cols>
  <sheetData>
    <row r="1" spans="2:25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6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</row>
    <row r="2" s="32" customFormat="1" spans="2:25">
      <c r="B2" s="34">
        <v>69</v>
      </c>
      <c r="C2" s="34">
        <v>2548</v>
      </c>
      <c r="D2" s="35">
        <f t="shared" ref="D2:D7" si="0">(B2-C2)^2</f>
        <v>6145441</v>
      </c>
      <c r="E2" s="35">
        <f t="shared" ref="E2:E7" si="1">(B2-avge01)^2</f>
        <v>6.25</v>
      </c>
      <c r="F2" s="35"/>
      <c r="G2" s="35"/>
      <c r="H2" s="34">
        <v>69</v>
      </c>
      <c r="I2" s="34">
        <v>791.9465</v>
      </c>
      <c r="J2" s="37">
        <f t="shared" ref="J2:J7" si="2">(H2-I2)^2</f>
        <v>522651.64186225</v>
      </c>
      <c r="K2" s="37">
        <f t="shared" ref="K2:K7" si="3">(H2-avge)^2</f>
        <v>6.25</v>
      </c>
      <c r="L2" s="37"/>
      <c r="M2" s="37"/>
      <c r="N2" s="34">
        <v>69</v>
      </c>
      <c r="O2" s="34">
        <v>1525.196</v>
      </c>
      <c r="P2" s="38">
        <f t="shared" ref="P2:P7" si="4">(N2-O2)^2</f>
        <v>2120506.790416</v>
      </c>
      <c r="Q2" s="38">
        <f t="shared" ref="Q2:Q7" si="5">(N2-avge01)^2</f>
        <v>6.25</v>
      </c>
      <c r="R2" s="38"/>
      <c r="S2" s="38"/>
      <c r="T2" s="34">
        <v>69</v>
      </c>
      <c r="U2" s="34">
        <v>2093.241</v>
      </c>
      <c r="V2" s="39">
        <f t="shared" ref="V2:V7" si="6">(T2-U2)^2</f>
        <v>4097551.626081</v>
      </c>
      <c r="W2" s="39">
        <f t="shared" ref="W2:W7" si="7">(T2-avge01)^2</f>
        <v>6.25</v>
      </c>
      <c r="X2" s="39"/>
      <c r="Y2" s="39"/>
    </row>
    <row r="3" s="32" customFormat="1" spans="2:25">
      <c r="B3" s="34">
        <v>70</v>
      </c>
      <c r="C3" s="34">
        <v>1155</v>
      </c>
      <c r="D3" s="35">
        <f t="shared" si="0"/>
        <v>1177225</v>
      </c>
      <c r="E3" s="35">
        <f t="shared" si="1"/>
        <v>2.25</v>
      </c>
      <c r="F3" s="35"/>
      <c r="G3" s="35"/>
      <c r="H3" s="34">
        <v>70</v>
      </c>
      <c r="I3" s="34">
        <v>999.453</v>
      </c>
      <c r="J3" s="37">
        <f t="shared" si="2"/>
        <v>863882.879209</v>
      </c>
      <c r="K3" s="37">
        <f t="shared" si="3"/>
        <v>2.25</v>
      </c>
      <c r="L3" s="37"/>
      <c r="M3" s="37"/>
      <c r="N3" s="34">
        <v>70</v>
      </c>
      <c r="O3" s="34">
        <v>2266.135</v>
      </c>
      <c r="P3" s="38">
        <f t="shared" si="4"/>
        <v>4823008.938225</v>
      </c>
      <c r="Q3" s="38">
        <f t="shared" si="5"/>
        <v>2.25</v>
      </c>
      <c r="R3" s="38"/>
      <c r="S3" s="38"/>
      <c r="T3" s="34">
        <v>70</v>
      </c>
      <c r="U3" s="34">
        <v>2445.039</v>
      </c>
      <c r="V3" s="39">
        <f t="shared" si="6"/>
        <v>5640810.251521</v>
      </c>
      <c r="W3" s="39">
        <f t="shared" si="7"/>
        <v>2.25</v>
      </c>
      <c r="X3" s="39"/>
      <c r="Y3" s="39"/>
    </row>
    <row r="4" s="32" customFormat="1" spans="2:25">
      <c r="B4" s="34">
        <v>71</v>
      </c>
      <c r="C4" s="34">
        <v>546</v>
      </c>
      <c r="D4" s="35">
        <f t="shared" si="0"/>
        <v>225625</v>
      </c>
      <c r="E4" s="35">
        <f t="shared" si="1"/>
        <v>0.25</v>
      </c>
      <c r="F4" s="35"/>
      <c r="G4" s="35"/>
      <c r="H4" s="34">
        <v>71</v>
      </c>
      <c r="I4" s="34">
        <v>-1053.96</v>
      </c>
      <c r="J4" s="37">
        <f t="shared" si="2"/>
        <v>1265535.0016</v>
      </c>
      <c r="K4" s="37">
        <f t="shared" si="3"/>
        <v>0.25</v>
      </c>
      <c r="L4" s="37"/>
      <c r="M4" s="37"/>
      <c r="N4" s="34">
        <v>71</v>
      </c>
      <c r="O4" s="34">
        <v>464.8575</v>
      </c>
      <c r="P4" s="38">
        <f t="shared" si="4"/>
        <v>155123.73030625</v>
      </c>
      <c r="Q4" s="38">
        <f t="shared" si="5"/>
        <v>0.25</v>
      </c>
      <c r="R4" s="38"/>
      <c r="S4" s="38"/>
      <c r="T4" s="34">
        <v>71</v>
      </c>
      <c r="U4" s="34">
        <v>2178.4</v>
      </c>
      <c r="V4" s="39">
        <f t="shared" si="6"/>
        <v>4441134.76</v>
      </c>
      <c r="W4" s="39">
        <f t="shared" si="7"/>
        <v>0.25</v>
      </c>
      <c r="X4" s="39"/>
      <c r="Y4" s="39"/>
    </row>
    <row r="5" s="32" customFormat="1" spans="2:25">
      <c r="B5" s="34">
        <v>72</v>
      </c>
      <c r="C5" s="34">
        <v>2275</v>
      </c>
      <c r="D5" s="35">
        <f t="shared" si="0"/>
        <v>4853209</v>
      </c>
      <c r="E5" s="35">
        <f t="shared" si="1"/>
        <v>0.25</v>
      </c>
      <c r="F5" s="35"/>
      <c r="G5" s="35"/>
      <c r="H5" s="34">
        <v>72</v>
      </c>
      <c r="I5" s="34">
        <v>2356.081</v>
      </c>
      <c r="J5" s="37">
        <f t="shared" si="2"/>
        <v>5217026.014561</v>
      </c>
      <c r="K5" s="37">
        <f t="shared" si="3"/>
        <v>0.25</v>
      </c>
      <c r="L5" s="37"/>
      <c r="M5" s="37"/>
      <c r="N5" s="34">
        <v>72</v>
      </c>
      <c r="O5" s="34">
        <v>3188.983</v>
      </c>
      <c r="P5" s="38">
        <f t="shared" si="4"/>
        <v>9715583.022289</v>
      </c>
      <c r="Q5" s="38">
        <f t="shared" si="5"/>
        <v>0.25</v>
      </c>
      <c r="R5" s="38"/>
      <c r="S5" s="38"/>
      <c r="T5" s="34">
        <v>72</v>
      </c>
      <c r="U5" s="34">
        <v>3239.712</v>
      </c>
      <c r="V5" s="39">
        <f t="shared" si="6"/>
        <v>10034399.314944</v>
      </c>
      <c r="W5" s="39">
        <f t="shared" si="7"/>
        <v>0.25</v>
      </c>
      <c r="X5" s="39"/>
      <c r="Y5" s="39"/>
    </row>
    <row r="6" s="32" customFormat="1" spans="2:25">
      <c r="B6" s="34">
        <v>73</v>
      </c>
      <c r="C6" s="34">
        <v>9100</v>
      </c>
      <c r="D6" s="35">
        <f t="shared" si="0"/>
        <v>81486729</v>
      </c>
      <c r="E6" s="35">
        <f t="shared" si="1"/>
        <v>2.25</v>
      </c>
      <c r="F6" s="35"/>
      <c r="G6" s="35"/>
      <c r="H6" s="34">
        <v>73</v>
      </c>
      <c r="I6" s="34">
        <v>11217.9</v>
      </c>
      <c r="J6" s="37">
        <f t="shared" si="2"/>
        <v>124208796.01</v>
      </c>
      <c r="K6" s="37">
        <f t="shared" si="3"/>
        <v>2.25</v>
      </c>
      <c r="L6" s="37"/>
      <c r="M6" s="37"/>
      <c r="N6" s="34">
        <v>73</v>
      </c>
      <c r="O6" s="34">
        <v>10371.54</v>
      </c>
      <c r="P6" s="38">
        <f t="shared" si="4"/>
        <v>106059926.1316</v>
      </c>
      <c r="Q6" s="38">
        <f t="shared" si="5"/>
        <v>2.25</v>
      </c>
      <c r="R6" s="38"/>
      <c r="S6" s="38"/>
      <c r="T6" s="34">
        <v>73</v>
      </c>
      <c r="U6" s="34">
        <v>11135.04</v>
      </c>
      <c r="V6" s="39">
        <f t="shared" si="6"/>
        <v>122368728.9616</v>
      </c>
      <c r="W6" s="39">
        <f t="shared" si="7"/>
        <v>2.25</v>
      </c>
      <c r="X6" s="39"/>
      <c r="Y6" s="39"/>
    </row>
    <row r="7" s="32" customFormat="1" spans="2:25">
      <c r="B7" s="34">
        <v>74</v>
      </c>
      <c r="C7" s="34">
        <v>595</v>
      </c>
      <c r="D7" s="35">
        <f t="shared" si="0"/>
        <v>271441</v>
      </c>
      <c r="E7" s="35">
        <f t="shared" si="1"/>
        <v>6.25</v>
      </c>
      <c r="F7" s="35"/>
      <c r="G7" s="35"/>
      <c r="H7" s="34">
        <v>74</v>
      </c>
      <c r="I7" s="34">
        <v>-94.7987</v>
      </c>
      <c r="J7" s="37">
        <f t="shared" si="2"/>
        <v>28493.00112169</v>
      </c>
      <c r="K7" s="37">
        <f t="shared" si="3"/>
        <v>6.25</v>
      </c>
      <c r="L7" s="37"/>
      <c r="M7" s="37"/>
      <c r="N7" s="34">
        <v>74</v>
      </c>
      <c r="O7" s="34">
        <v>1684.527</v>
      </c>
      <c r="P7" s="38">
        <f t="shared" si="4"/>
        <v>2593797.217729</v>
      </c>
      <c r="Q7" s="38">
        <f t="shared" si="5"/>
        <v>6.25</v>
      </c>
      <c r="R7" s="38"/>
      <c r="S7" s="38"/>
      <c r="T7" s="34">
        <v>74</v>
      </c>
      <c r="U7" s="34">
        <v>4158.632</v>
      </c>
      <c r="V7" s="39">
        <f t="shared" si="6"/>
        <v>16684218.575424</v>
      </c>
      <c r="W7" s="39">
        <f t="shared" si="7"/>
        <v>6.25</v>
      </c>
      <c r="X7" s="39"/>
      <c r="Y7" s="39"/>
    </row>
    <row r="8" s="33" customFormat="1" spans="1:25">
      <c r="A8" s="33" t="s">
        <v>9</v>
      </c>
      <c r="B8" s="33">
        <f>AVERAGE(B2:B7)</f>
        <v>71.5</v>
      </c>
      <c r="C8" s="33">
        <f>AVERAGE(C2:D7)</f>
        <v>7847990.75</v>
      </c>
      <c r="D8" s="36">
        <f>SUM(D2:D7)</f>
        <v>94159670</v>
      </c>
      <c r="E8" s="36">
        <f>SUM(E2:E7)</f>
        <v>17.5</v>
      </c>
      <c r="F8" s="36">
        <f>1-D8/E8</f>
        <v>-5380551.57142857</v>
      </c>
      <c r="G8" s="36">
        <f>SQRT(D8/4)</f>
        <v>4851.79528628321</v>
      </c>
      <c r="H8" s="33">
        <f>AVERAGE(H2:H7)</f>
        <v>71.5</v>
      </c>
      <c r="J8" s="33">
        <f>SUM(J2:J7)</f>
        <v>132106384.548354</v>
      </c>
      <c r="K8" s="33">
        <f>SUM(K2:K7)</f>
        <v>17.5</v>
      </c>
      <c r="L8" s="33">
        <f>1-J8/K8</f>
        <v>-7548935.25990594</v>
      </c>
      <c r="M8" s="33">
        <f>SQRT(J8/4)</f>
        <v>5746.87707690781</v>
      </c>
      <c r="N8" s="33">
        <f>AVERAGE(N2:N7)</f>
        <v>71.5</v>
      </c>
      <c r="P8" s="33">
        <f>SUM(P2:P7)</f>
        <v>125467945.830565</v>
      </c>
      <c r="Q8" s="33">
        <f>SUM(Q2:Q7)</f>
        <v>17.5</v>
      </c>
      <c r="R8" s="33">
        <f>1-P8/Q8</f>
        <v>-7169595.90460373</v>
      </c>
      <c r="S8" s="33">
        <f>SQRT(P8/4)</f>
        <v>5600.62375612229</v>
      </c>
      <c r="T8" s="33">
        <f>AVERAGE(T2:T7)</f>
        <v>71.5</v>
      </c>
      <c r="V8" s="33">
        <f>SUM(V2:V7)</f>
        <v>163266843.48957</v>
      </c>
      <c r="W8" s="33">
        <f>SUM(W2:W7)</f>
        <v>17.5</v>
      </c>
      <c r="X8" s="33">
        <f>1-V8/W8</f>
        <v>-9329532.91368971</v>
      </c>
      <c r="Y8" s="33">
        <f>SQRT(V8/4)</f>
        <v>6388.79572943074</v>
      </c>
    </row>
    <row r="21" spans="2:25">
      <c r="B21" t="s">
        <v>0</v>
      </c>
      <c r="C21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6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7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</row>
    <row r="22" s="32" customFormat="1" spans="2:25">
      <c r="B22">
        <v>3.41</v>
      </c>
      <c r="C22" s="34">
        <v>2548</v>
      </c>
      <c r="D22" s="35">
        <f t="shared" ref="D22:D27" si="8">(B22-C22)^2</f>
        <v>6474938.2681</v>
      </c>
      <c r="E22" s="35">
        <f t="shared" ref="E22:E27" si="9">(B22-avge01)^2</f>
        <v>4636.2481</v>
      </c>
      <c r="F22" s="35"/>
      <c r="G22" s="35"/>
      <c r="H22" s="34">
        <v>69</v>
      </c>
      <c r="I22" s="34">
        <v>791.9465</v>
      </c>
      <c r="J22" s="37">
        <f t="shared" ref="J22:J27" si="10">(H22-I22)^2</f>
        <v>522651.64186225</v>
      </c>
      <c r="K22" s="37">
        <f t="shared" ref="K22:K27" si="11">(H22-avge)^2</f>
        <v>6.25</v>
      </c>
      <c r="L22" s="37"/>
      <c r="M22" s="37"/>
      <c r="N22" s="34">
        <v>69</v>
      </c>
      <c r="O22" s="34">
        <v>1525.196</v>
      </c>
      <c r="P22" s="38">
        <f t="shared" ref="P22:P27" si="12">(N22-O22)^2</f>
        <v>2120506.790416</v>
      </c>
      <c r="Q22" s="38">
        <f t="shared" ref="Q22:Q27" si="13">(N22-avge01)^2</f>
        <v>6.25</v>
      </c>
      <c r="R22" s="38"/>
      <c r="S22" s="38"/>
      <c r="T22" s="34">
        <v>69</v>
      </c>
      <c r="U22" s="34">
        <v>2093.241</v>
      </c>
      <c r="V22" s="39">
        <f t="shared" ref="V22:V27" si="14">(T22-U22)^2</f>
        <v>4097551.626081</v>
      </c>
      <c r="W22" s="39">
        <f t="shared" ref="W22:W27" si="15">(T22-avge01)^2</f>
        <v>6.25</v>
      </c>
      <c r="X22" s="39"/>
      <c r="Y22" s="39"/>
    </row>
    <row r="23" s="32" customFormat="1" spans="2:25">
      <c r="B23">
        <v>3.06</v>
      </c>
      <c r="C23" s="34">
        <v>1155</v>
      </c>
      <c r="D23" s="35">
        <f t="shared" si="8"/>
        <v>1326965.7636</v>
      </c>
      <c r="E23" s="35">
        <f t="shared" si="9"/>
        <v>4684.0336</v>
      </c>
      <c r="F23" s="35"/>
      <c r="G23" s="35"/>
      <c r="H23" s="34">
        <v>70</v>
      </c>
      <c r="I23" s="34">
        <v>999.453</v>
      </c>
      <c r="J23" s="37">
        <f t="shared" si="10"/>
        <v>863882.879209</v>
      </c>
      <c r="K23" s="37">
        <f t="shared" si="11"/>
        <v>2.25</v>
      </c>
      <c r="L23" s="37"/>
      <c r="M23" s="37"/>
      <c r="N23" s="34">
        <v>70</v>
      </c>
      <c r="O23" s="34">
        <v>2266.135</v>
      </c>
      <c r="P23" s="38">
        <f t="shared" si="12"/>
        <v>4823008.938225</v>
      </c>
      <c r="Q23" s="38">
        <f t="shared" si="13"/>
        <v>2.25</v>
      </c>
      <c r="R23" s="38"/>
      <c r="S23" s="38"/>
      <c r="T23" s="34">
        <v>70</v>
      </c>
      <c r="U23" s="34">
        <v>2445.039</v>
      </c>
      <c r="V23" s="39">
        <f t="shared" si="14"/>
        <v>5640810.251521</v>
      </c>
      <c r="W23" s="39">
        <f t="shared" si="15"/>
        <v>2.25</v>
      </c>
      <c r="X23" s="39"/>
      <c r="Y23" s="39"/>
    </row>
    <row r="24" s="32" customFormat="1" spans="2:25">
      <c r="B24">
        <v>2.74</v>
      </c>
      <c r="C24" s="34">
        <v>546</v>
      </c>
      <c r="D24" s="35">
        <f t="shared" si="8"/>
        <v>295131.4276</v>
      </c>
      <c r="E24" s="35">
        <f t="shared" si="9"/>
        <v>4727.9376</v>
      </c>
      <c r="F24" s="35"/>
      <c r="G24" s="35"/>
      <c r="H24" s="34">
        <v>71</v>
      </c>
      <c r="I24" s="34">
        <v>-1053.96</v>
      </c>
      <c r="J24" s="37">
        <f t="shared" si="10"/>
        <v>1265535.0016</v>
      </c>
      <c r="K24" s="37">
        <f t="shared" si="11"/>
        <v>0.25</v>
      </c>
      <c r="L24" s="37"/>
      <c r="M24" s="37"/>
      <c r="N24" s="34">
        <v>71</v>
      </c>
      <c r="O24" s="34">
        <v>464.8575</v>
      </c>
      <c r="P24" s="38">
        <f t="shared" si="12"/>
        <v>155123.73030625</v>
      </c>
      <c r="Q24" s="38">
        <f t="shared" si="13"/>
        <v>0.25</v>
      </c>
      <c r="R24" s="38"/>
      <c r="S24" s="38"/>
      <c r="T24" s="34">
        <v>71</v>
      </c>
      <c r="U24" s="34">
        <v>2178.4</v>
      </c>
      <c r="V24" s="39">
        <f t="shared" si="14"/>
        <v>4441134.76</v>
      </c>
      <c r="W24" s="39">
        <f t="shared" si="15"/>
        <v>0.25</v>
      </c>
      <c r="X24" s="39"/>
      <c r="Y24" s="39"/>
    </row>
    <row r="25" s="32" customFormat="1" spans="2:25">
      <c r="B25">
        <v>3.36</v>
      </c>
      <c r="C25" s="34">
        <v>2275</v>
      </c>
      <c r="D25" s="35">
        <f t="shared" si="8"/>
        <v>5160348.2896</v>
      </c>
      <c r="E25" s="35">
        <f t="shared" si="9"/>
        <v>4643.0596</v>
      </c>
      <c r="F25" s="35"/>
      <c r="G25" s="35"/>
      <c r="H25" s="34">
        <v>72</v>
      </c>
      <c r="I25" s="34">
        <v>2356.081</v>
      </c>
      <c r="J25" s="37">
        <f t="shared" si="10"/>
        <v>5217026.014561</v>
      </c>
      <c r="K25" s="37">
        <f t="shared" si="11"/>
        <v>0.25</v>
      </c>
      <c r="L25" s="37"/>
      <c r="M25" s="37"/>
      <c r="N25" s="34">
        <v>72</v>
      </c>
      <c r="O25" s="34">
        <v>3188.983</v>
      </c>
      <c r="P25" s="38">
        <f t="shared" si="12"/>
        <v>9715583.022289</v>
      </c>
      <c r="Q25" s="38">
        <f t="shared" si="13"/>
        <v>0.25</v>
      </c>
      <c r="R25" s="38"/>
      <c r="S25" s="38"/>
      <c r="T25" s="34">
        <v>72</v>
      </c>
      <c r="U25" s="34">
        <v>3239.712</v>
      </c>
      <c r="V25" s="39">
        <f t="shared" si="14"/>
        <v>10034399.314944</v>
      </c>
      <c r="W25" s="39">
        <f t="shared" si="15"/>
        <v>0.25</v>
      </c>
      <c r="X25" s="39"/>
      <c r="Y25" s="39"/>
    </row>
    <row r="26" s="32" customFormat="1" spans="2:25">
      <c r="B26">
        <v>3.96</v>
      </c>
      <c r="C26" s="34">
        <v>9100</v>
      </c>
      <c r="D26" s="35">
        <f t="shared" si="8"/>
        <v>82737943.6816</v>
      </c>
      <c r="E26" s="35">
        <f t="shared" si="9"/>
        <v>4561.6516</v>
      </c>
      <c r="F26" s="35"/>
      <c r="G26" s="35"/>
      <c r="H26" s="34">
        <v>73</v>
      </c>
      <c r="I26" s="34">
        <v>11217.9</v>
      </c>
      <c r="J26" s="37">
        <f t="shared" si="10"/>
        <v>124208796.01</v>
      </c>
      <c r="K26" s="37">
        <f t="shared" si="11"/>
        <v>2.25</v>
      </c>
      <c r="L26" s="37"/>
      <c r="M26" s="37"/>
      <c r="N26" s="34">
        <v>73</v>
      </c>
      <c r="O26" s="34">
        <v>10371.54</v>
      </c>
      <c r="P26" s="38">
        <f t="shared" si="12"/>
        <v>106059926.1316</v>
      </c>
      <c r="Q26" s="38">
        <f t="shared" si="13"/>
        <v>2.25</v>
      </c>
      <c r="R26" s="38"/>
      <c r="S26" s="38"/>
      <c r="T26" s="34">
        <v>73</v>
      </c>
      <c r="U26" s="34">
        <v>11135.04</v>
      </c>
      <c r="V26" s="39">
        <f t="shared" si="14"/>
        <v>122368728.9616</v>
      </c>
      <c r="W26" s="39">
        <f t="shared" si="15"/>
        <v>2.25</v>
      </c>
      <c r="X26" s="39"/>
      <c r="Y26" s="39"/>
    </row>
    <row r="27" s="32" customFormat="1" spans="2:25">
      <c r="B27">
        <v>2.77</v>
      </c>
      <c r="C27" s="34">
        <v>595</v>
      </c>
      <c r="D27" s="35">
        <f t="shared" si="8"/>
        <v>350736.3729</v>
      </c>
      <c r="E27" s="35">
        <f t="shared" si="9"/>
        <v>4723.8129</v>
      </c>
      <c r="F27" s="35"/>
      <c r="G27" s="35"/>
      <c r="H27" s="34">
        <v>74</v>
      </c>
      <c r="I27" s="34">
        <v>-94.7987</v>
      </c>
      <c r="J27" s="37">
        <f t="shared" si="10"/>
        <v>28493.00112169</v>
      </c>
      <c r="K27" s="37">
        <f t="shared" si="11"/>
        <v>6.25</v>
      </c>
      <c r="L27" s="37"/>
      <c r="M27" s="37"/>
      <c r="N27" s="34">
        <v>74</v>
      </c>
      <c r="O27" s="34">
        <v>1684.527</v>
      </c>
      <c r="P27" s="38">
        <f t="shared" si="12"/>
        <v>2593797.217729</v>
      </c>
      <c r="Q27" s="38">
        <f t="shared" si="13"/>
        <v>6.25</v>
      </c>
      <c r="R27" s="38"/>
      <c r="S27" s="38"/>
      <c r="T27" s="34">
        <v>74</v>
      </c>
      <c r="U27" s="34">
        <v>4158.632</v>
      </c>
      <c r="V27" s="39">
        <f t="shared" si="14"/>
        <v>16684218.575424</v>
      </c>
      <c r="W27" s="39">
        <f t="shared" si="15"/>
        <v>6.25</v>
      </c>
      <c r="X27" s="39"/>
      <c r="Y27" s="39"/>
    </row>
    <row r="28" s="33" customFormat="1" spans="1:25">
      <c r="A28" s="33" t="s">
        <v>9</v>
      </c>
      <c r="B28" s="33">
        <f>AVERAGE(B22:B27)</f>
        <v>3.21666666666667</v>
      </c>
      <c r="C28" s="33">
        <f>AVERAGE(C22:D27)</f>
        <v>8030190.23361667</v>
      </c>
      <c r="D28" s="36">
        <f>SUM(D22:D27)</f>
        <v>96346063.8034</v>
      </c>
      <c r="E28" s="36">
        <f>SUM(E22:E27)</f>
        <v>27976.7434</v>
      </c>
      <c r="F28" s="36">
        <f>1-D28/E28</f>
        <v>-3442.79123852564</v>
      </c>
      <c r="G28" s="36">
        <f>SQRT(D28/4)</f>
        <v>4907.80153947264</v>
      </c>
      <c r="H28" s="33">
        <f>AVERAGE(H22:H27)</f>
        <v>71.5</v>
      </c>
      <c r="J28" s="33">
        <f>SUM(J22:J27)</f>
        <v>132106384.548354</v>
      </c>
      <c r="K28" s="33">
        <f>SUM(K22:K27)</f>
        <v>17.5</v>
      </c>
      <c r="L28" s="33">
        <f>1-J28/K28</f>
        <v>-7548935.25990594</v>
      </c>
      <c r="M28" s="33">
        <f>SQRT(J28/4)</f>
        <v>5746.87707690781</v>
      </c>
      <c r="N28" s="33">
        <f>AVERAGE(N22:N27)</f>
        <v>71.5</v>
      </c>
      <c r="P28" s="33">
        <f>SUM(P22:P27)</f>
        <v>125467945.830565</v>
      </c>
      <c r="Q28" s="33">
        <f>SUM(Q22:Q27)</f>
        <v>17.5</v>
      </c>
      <c r="R28" s="33">
        <f>1-P28/Q28</f>
        <v>-7169595.90460373</v>
      </c>
      <c r="S28" s="33">
        <f>SQRT(P28/4)</f>
        <v>5600.62375612229</v>
      </c>
      <c r="T28" s="33">
        <f>AVERAGE(T22:T27)</f>
        <v>71.5</v>
      </c>
      <c r="V28" s="33">
        <f>SUM(V22:V27)</f>
        <v>163266843.48957</v>
      </c>
      <c r="W28" s="33">
        <f>SUM(W22:W27)</f>
        <v>17.5</v>
      </c>
      <c r="X28" s="33">
        <f>1-V28/W28</f>
        <v>-9329532.91368971</v>
      </c>
      <c r="Y28" s="33">
        <f>SQRT(V28/4)</f>
        <v>6388.79572943074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topLeftCell="A100" workbookViewId="0">
      <selection activeCell="K102" sqref="K102"/>
    </sheetView>
  </sheetViews>
  <sheetFormatPr defaultColWidth="9" defaultRowHeight="14.25" outlineLevelCol="2"/>
  <sheetData>
    <row r="1" spans="1:3">
      <c r="A1" t="s">
        <v>86</v>
      </c>
      <c r="B1" t="s">
        <v>4</v>
      </c>
      <c r="C1" t="s">
        <v>5</v>
      </c>
    </row>
    <row r="2" spans="1:3">
      <c r="A2" t="s">
        <v>80</v>
      </c>
      <c r="B2">
        <v>0.306</v>
      </c>
      <c r="C2">
        <v>0.256</v>
      </c>
    </row>
    <row r="3" spans="1:3">
      <c r="A3" t="s">
        <v>18</v>
      </c>
      <c r="B3">
        <v>0.402</v>
      </c>
      <c r="C3">
        <v>0.241</v>
      </c>
    </row>
    <row r="4" spans="1:3">
      <c r="A4" t="s">
        <v>81</v>
      </c>
      <c r="B4">
        <v>0.328</v>
      </c>
      <c r="C4">
        <v>0.254</v>
      </c>
    </row>
    <row r="5" spans="1:3">
      <c r="A5" t="s">
        <v>15</v>
      </c>
      <c r="B5">
        <v>0.311</v>
      </c>
      <c r="C5">
        <v>0.247</v>
      </c>
    </row>
    <row r="6" spans="1:3">
      <c r="A6" t="s">
        <v>19</v>
      </c>
      <c r="B6">
        <v>0.307</v>
      </c>
      <c r="C6">
        <v>0.239</v>
      </c>
    </row>
    <row r="7" spans="1:3">
      <c r="A7" t="s">
        <v>10</v>
      </c>
      <c r="B7">
        <v>0.418</v>
      </c>
      <c r="C7">
        <v>0.239</v>
      </c>
    </row>
    <row r="8" spans="1:3">
      <c r="A8" t="s">
        <v>8</v>
      </c>
      <c r="B8">
        <v>0.484</v>
      </c>
      <c r="C8">
        <v>0.234</v>
      </c>
    </row>
    <row r="9" spans="1:3">
      <c r="A9" t="s">
        <v>82</v>
      </c>
      <c r="B9">
        <v>0.263</v>
      </c>
      <c r="C9">
        <v>0.262</v>
      </c>
    </row>
    <row r="10" spans="1:3">
      <c r="A10" t="s">
        <v>83</v>
      </c>
      <c r="B10">
        <v>0.382</v>
      </c>
      <c r="C10">
        <v>0.236</v>
      </c>
    </row>
    <row r="11" spans="1:3">
      <c r="A11" t="s">
        <v>13</v>
      </c>
      <c r="B11">
        <v>0.535</v>
      </c>
      <c r="C11">
        <v>0.2</v>
      </c>
    </row>
    <row r="12" spans="1:3">
      <c r="A12" t="s">
        <v>84</v>
      </c>
      <c r="B12">
        <v>0.349</v>
      </c>
      <c r="C12">
        <v>0.286</v>
      </c>
    </row>
    <row r="13" spans="1:3">
      <c r="A13" t="s">
        <v>85</v>
      </c>
      <c r="B13">
        <v>1</v>
      </c>
      <c r="C13">
        <v>0.371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"/>
  <sheetViews>
    <sheetView workbookViewId="0">
      <selection activeCell="F2" sqref="F2"/>
    </sheetView>
  </sheetViews>
  <sheetFormatPr defaultColWidth="9" defaultRowHeight="14.25" outlineLevelRow="7"/>
  <cols>
    <col min="1" max="25" width="12.125" customWidth="1"/>
    <col min="26" max="1025" width="9" customWidth="1"/>
  </cols>
  <sheetData>
    <row r="1" spans="2:25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6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</row>
    <row r="2" spans="2:25">
      <c r="B2" s="3">
        <v>69</v>
      </c>
      <c r="C2" s="3">
        <v>2548</v>
      </c>
      <c r="D2" s="2">
        <f t="shared" ref="D2:D7" si="0">(B2-C2)^2</f>
        <v>6145441</v>
      </c>
      <c r="E2" s="2">
        <f t="shared" ref="E2:E7" si="1">(B2-avge02)^2</f>
        <v>6.25</v>
      </c>
      <c r="F2" s="2"/>
      <c r="G2" s="2"/>
      <c r="H2" s="3">
        <v>69</v>
      </c>
      <c r="I2" s="3">
        <v>791.9465</v>
      </c>
      <c r="J2" s="11">
        <f t="shared" ref="J2:J7" si="2">(H2-I2)^2</f>
        <v>522651.64186225</v>
      </c>
      <c r="K2" s="11">
        <f t="shared" ref="K2:K7" si="3">(H2-avge02)^2</f>
        <v>6.25</v>
      </c>
      <c r="L2" s="11"/>
      <c r="M2" s="11"/>
      <c r="N2" s="3">
        <v>69</v>
      </c>
      <c r="O2" s="3">
        <v>1525.196</v>
      </c>
      <c r="P2" s="30">
        <f t="shared" ref="P2:P7" si="4">(N2-O2)^2</f>
        <v>2120506.790416</v>
      </c>
      <c r="Q2" s="30">
        <f t="shared" ref="Q2:Q7" si="5">(N2-avge02)^2</f>
        <v>6.25</v>
      </c>
      <c r="R2" s="30"/>
      <c r="S2" s="30"/>
      <c r="T2" s="3">
        <v>69</v>
      </c>
      <c r="U2" s="3">
        <v>2093.241</v>
      </c>
      <c r="V2" s="31">
        <f t="shared" ref="V2:V7" si="6">(T2-U2)^2</f>
        <v>4097551.626081</v>
      </c>
      <c r="W2" s="31">
        <f t="shared" ref="W2:W7" si="7">(T2-avge02)^2</f>
        <v>6.25</v>
      </c>
      <c r="X2" s="31"/>
      <c r="Y2" s="31"/>
    </row>
    <row r="3" spans="2:25">
      <c r="B3" s="3">
        <v>70</v>
      </c>
      <c r="C3" s="3">
        <v>1155</v>
      </c>
      <c r="D3" s="2">
        <f t="shared" si="0"/>
        <v>1177225</v>
      </c>
      <c r="E3" s="2">
        <f t="shared" si="1"/>
        <v>2.25</v>
      </c>
      <c r="F3" s="2"/>
      <c r="G3" s="2"/>
      <c r="H3" s="3">
        <v>70</v>
      </c>
      <c r="I3" s="3">
        <v>999.453</v>
      </c>
      <c r="J3" s="11">
        <f t="shared" si="2"/>
        <v>863882.879209</v>
      </c>
      <c r="K3" s="11">
        <f t="shared" si="3"/>
        <v>2.25</v>
      </c>
      <c r="L3" s="11"/>
      <c r="M3" s="11"/>
      <c r="N3" s="3">
        <v>70</v>
      </c>
      <c r="O3" s="3">
        <v>2266.135</v>
      </c>
      <c r="P3" s="30">
        <f t="shared" si="4"/>
        <v>4823008.938225</v>
      </c>
      <c r="Q3" s="30">
        <f t="shared" si="5"/>
        <v>2.25</v>
      </c>
      <c r="R3" s="30"/>
      <c r="S3" s="30"/>
      <c r="T3" s="3">
        <v>70</v>
      </c>
      <c r="U3" s="3">
        <v>2445.039</v>
      </c>
      <c r="V3" s="31">
        <f t="shared" si="6"/>
        <v>5640810.251521</v>
      </c>
      <c r="W3" s="31">
        <f t="shared" si="7"/>
        <v>2.25</v>
      </c>
      <c r="X3" s="31"/>
      <c r="Y3" s="31"/>
    </row>
    <row r="4" spans="2:25">
      <c r="B4" s="3">
        <v>71</v>
      </c>
      <c r="C4" s="3">
        <v>546</v>
      </c>
      <c r="D4" s="2">
        <f t="shared" si="0"/>
        <v>225625</v>
      </c>
      <c r="E4" s="2">
        <f t="shared" si="1"/>
        <v>0.25</v>
      </c>
      <c r="F4" s="2"/>
      <c r="G4" s="2"/>
      <c r="H4" s="3">
        <v>71</v>
      </c>
      <c r="I4" s="3">
        <v>-1053.96</v>
      </c>
      <c r="J4" s="11">
        <f t="shared" si="2"/>
        <v>1265535.0016</v>
      </c>
      <c r="K4" s="11">
        <f t="shared" si="3"/>
        <v>0.25</v>
      </c>
      <c r="L4" s="11"/>
      <c r="M4" s="11"/>
      <c r="N4" s="3">
        <v>71</v>
      </c>
      <c r="O4" s="3">
        <v>464.8575</v>
      </c>
      <c r="P4" s="30">
        <f t="shared" si="4"/>
        <v>155123.73030625</v>
      </c>
      <c r="Q4" s="30">
        <f t="shared" si="5"/>
        <v>0.25</v>
      </c>
      <c r="R4" s="30"/>
      <c r="S4" s="30"/>
      <c r="T4" s="3">
        <v>71</v>
      </c>
      <c r="U4" s="3">
        <v>2178.4</v>
      </c>
      <c r="V4" s="31">
        <f t="shared" si="6"/>
        <v>4441134.76</v>
      </c>
      <c r="W4" s="31">
        <f t="shared" si="7"/>
        <v>0.25</v>
      </c>
      <c r="X4" s="31"/>
      <c r="Y4" s="31"/>
    </row>
    <row r="5" spans="2:25">
      <c r="B5" s="3">
        <v>72</v>
      </c>
      <c r="C5" s="3">
        <v>2275</v>
      </c>
      <c r="D5" s="2">
        <f t="shared" si="0"/>
        <v>4853209</v>
      </c>
      <c r="E5" s="2">
        <f t="shared" si="1"/>
        <v>0.25</v>
      </c>
      <c r="F5" s="2"/>
      <c r="G5" s="2"/>
      <c r="H5" s="3">
        <v>72</v>
      </c>
      <c r="I5" s="3">
        <v>2356.081</v>
      </c>
      <c r="J5" s="11">
        <f t="shared" si="2"/>
        <v>5217026.014561</v>
      </c>
      <c r="K5" s="11">
        <f t="shared" si="3"/>
        <v>0.25</v>
      </c>
      <c r="L5" s="11"/>
      <c r="M5" s="11"/>
      <c r="N5" s="3">
        <v>72</v>
      </c>
      <c r="O5" s="3">
        <v>3188.983</v>
      </c>
      <c r="P5" s="30">
        <f t="shared" si="4"/>
        <v>9715583.022289</v>
      </c>
      <c r="Q5" s="30">
        <f t="shared" si="5"/>
        <v>0.25</v>
      </c>
      <c r="R5" s="30"/>
      <c r="S5" s="30"/>
      <c r="T5" s="3">
        <v>72</v>
      </c>
      <c r="U5" s="3">
        <v>3239.712</v>
      </c>
      <c r="V5" s="31">
        <f t="shared" si="6"/>
        <v>10034399.314944</v>
      </c>
      <c r="W5" s="31">
        <f t="shared" si="7"/>
        <v>0.25</v>
      </c>
      <c r="X5" s="31"/>
      <c r="Y5" s="31"/>
    </row>
    <row r="6" spans="2:25">
      <c r="B6" s="3">
        <v>73</v>
      </c>
      <c r="C6" s="3">
        <v>9100</v>
      </c>
      <c r="D6" s="2">
        <f t="shared" si="0"/>
        <v>81486729</v>
      </c>
      <c r="E6" s="2">
        <f t="shared" si="1"/>
        <v>2.25</v>
      </c>
      <c r="F6" s="2"/>
      <c r="G6" s="2"/>
      <c r="H6" s="3">
        <v>73</v>
      </c>
      <c r="I6" s="3">
        <v>11217.9</v>
      </c>
      <c r="J6" s="11">
        <f t="shared" si="2"/>
        <v>124208796.01</v>
      </c>
      <c r="K6" s="11">
        <f t="shared" si="3"/>
        <v>2.25</v>
      </c>
      <c r="L6" s="11"/>
      <c r="M6" s="11"/>
      <c r="N6" s="3">
        <v>73</v>
      </c>
      <c r="O6" s="3">
        <v>10371.54</v>
      </c>
      <c r="P6" s="30">
        <f t="shared" si="4"/>
        <v>106059926.1316</v>
      </c>
      <c r="Q6" s="30">
        <f t="shared" si="5"/>
        <v>2.25</v>
      </c>
      <c r="R6" s="30"/>
      <c r="S6" s="30"/>
      <c r="T6" s="3">
        <v>73</v>
      </c>
      <c r="U6" s="3">
        <v>11135.04</v>
      </c>
      <c r="V6" s="31">
        <f t="shared" si="6"/>
        <v>122368728.9616</v>
      </c>
      <c r="W6" s="31">
        <f t="shared" si="7"/>
        <v>2.25</v>
      </c>
      <c r="X6" s="31"/>
      <c r="Y6" s="31"/>
    </row>
    <row r="7" spans="2:25">
      <c r="B7" s="3">
        <v>74</v>
      </c>
      <c r="C7" s="3">
        <v>595</v>
      </c>
      <c r="D7" s="2">
        <f t="shared" si="0"/>
        <v>271441</v>
      </c>
      <c r="E7" s="2">
        <f t="shared" si="1"/>
        <v>6.25</v>
      </c>
      <c r="F7" s="2"/>
      <c r="G7" s="2"/>
      <c r="H7" s="3">
        <v>74</v>
      </c>
      <c r="I7" s="3">
        <v>-94.7987</v>
      </c>
      <c r="J7" s="11">
        <f t="shared" si="2"/>
        <v>28493.00112169</v>
      </c>
      <c r="K7" s="11">
        <f t="shared" si="3"/>
        <v>6.25</v>
      </c>
      <c r="L7" s="11"/>
      <c r="M7" s="11"/>
      <c r="N7" s="3">
        <v>74</v>
      </c>
      <c r="O7" s="3">
        <v>1684.527</v>
      </c>
      <c r="P7" s="30">
        <f t="shared" si="4"/>
        <v>2593797.217729</v>
      </c>
      <c r="Q7" s="30">
        <f t="shared" si="5"/>
        <v>6.25</v>
      </c>
      <c r="R7" s="30"/>
      <c r="S7" s="30"/>
      <c r="T7" s="3">
        <v>74</v>
      </c>
      <c r="U7" s="3">
        <v>4158.632</v>
      </c>
      <c r="V7" s="31">
        <f t="shared" si="6"/>
        <v>16684218.575424</v>
      </c>
      <c r="W7" s="31">
        <f t="shared" si="7"/>
        <v>6.25</v>
      </c>
      <c r="X7" s="31"/>
      <c r="Y7" s="31"/>
    </row>
    <row r="8" spans="1:25">
      <c r="A8" t="s">
        <v>9</v>
      </c>
      <c r="B8">
        <f>AVERAGE(B2:B7)</f>
        <v>71.5</v>
      </c>
      <c r="C8">
        <f>AVERAGE(C2:D7)</f>
        <v>7847990.75</v>
      </c>
      <c r="D8">
        <f>SUM(D2:D7)</f>
        <v>94159670</v>
      </c>
      <c r="E8">
        <f>SUM(E2:E7)</f>
        <v>17.5</v>
      </c>
      <c r="F8">
        <f>1-D8/E8</f>
        <v>-5380551.57142857</v>
      </c>
      <c r="G8">
        <f>SQRT(D8/4)</f>
        <v>4851.79528628321</v>
      </c>
      <c r="H8">
        <f>AVERAGE(H2:H7)</f>
        <v>71.5</v>
      </c>
      <c r="J8">
        <f>SUM(J2:J7)</f>
        <v>132106384.548354</v>
      </c>
      <c r="K8">
        <f>SUM(K2:K7)</f>
        <v>17.5</v>
      </c>
      <c r="L8">
        <f>1-J8/K8</f>
        <v>-7548935.25990594</v>
      </c>
      <c r="M8">
        <f>SQRT(J8/4)</f>
        <v>5746.87707690781</v>
      </c>
      <c r="N8">
        <f>AVERAGE(N2:N7)</f>
        <v>71.5</v>
      </c>
      <c r="P8">
        <f>SUM(P2:P7)</f>
        <v>125467945.830565</v>
      </c>
      <c r="Q8">
        <f>SUM(Q2:Q7)</f>
        <v>17.5</v>
      </c>
      <c r="R8">
        <f>1-P8/Q8</f>
        <v>-7169595.90460373</v>
      </c>
      <c r="S8">
        <f>SQRT(P8/4)</f>
        <v>5600.62375612229</v>
      </c>
      <c r="T8">
        <f>AVERAGE(T2:T7)</f>
        <v>71.5</v>
      </c>
      <c r="V8">
        <f>SUM(V2:V7)</f>
        <v>163266843.48957</v>
      </c>
      <c r="W8">
        <f>SUM(W2:W7)</f>
        <v>17.5</v>
      </c>
      <c r="X8">
        <f>1-V8/W8</f>
        <v>-9329532.91368971</v>
      </c>
      <c r="Y8">
        <f>SQRT(V8/4)</f>
        <v>6388.79572943074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workbookViewId="0">
      <selection activeCell="F6" sqref="F6"/>
    </sheetView>
  </sheetViews>
  <sheetFormatPr defaultColWidth="9" defaultRowHeight="14.25" outlineLevelRow="5"/>
  <cols>
    <col min="1" max="25" width="12.125" customWidth="1"/>
    <col min="26" max="1025" width="9" customWidth="1"/>
  </cols>
  <sheetData>
    <row r="1" spans="2:25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6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</row>
    <row r="2" spans="2:25">
      <c r="B2" s="3">
        <v>3.71</v>
      </c>
      <c r="C2" s="20">
        <v>3.831067</v>
      </c>
      <c r="D2" s="26">
        <f>(B2-C2)^2</f>
        <v>0.014657218489</v>
      </c>
      <c r="E2" s="27">
        <f>(B2-avge03)^2</f>
        <v>0.0495062499999999</v>
      </c>
      <c r="F2" s="2"/>
      <c r="G2" s="2"/>
      <c r="H2" s="3">
        <v>3.71</v>
      </c>
      <c r="I2" s="22">
        <v>3.701058</v>
      </c>
      <c r="J2" s="29">
        <f>(H2-I2)^2</f>
        <v>7.99593639999961e-5</v>
      </c>
      <c r="K2" s="29">
        <f>(H2-avge03)^2</f>
        <v>0.0495062499999999</v>
      </c>
      <c r="L2" s="11"/>
      <c r="M2" s="11"/>
      <c r="N2" s="3">
        <v>3.71</v>
      </c>
      <c r="O2" s="20">
        <v>3.643159</v>
      </c>
      <c r="P2" s="13">
        <f>(N2-O2)^2</f>
        <v>0.00446771928100002</v>
      </c>
      <c r="Q2" s="13">
        <f>(N2-avge03)^2</f>
        <v>0.0495062499999999</v>
      </c>
      <c r="R2" s="13"/>
      <c r="S2" s="13"/>
      <c r="T2" s="3">
        <v>3.71</v>
      </c>
      <c r="U2" s="3"/>
      <c r="V2" s="25">
        <f>(T2-U2)^2</f>
        <v>13.7641</v>
      </c>
      <c r="W2" s="25">
        <f>(T2-avge03)^2</f>
        <v>0.0495062499999999</v>
      </c>
      <c r="X2" s="25"/>
      <c r="Y2" s="25"/>
    </row>
    <row r="3" spans="2:25">
      <c r="B3" s="3">
        <v>3.75</v>
      </c>
      <c r="C3" s="20">
        <v>3.602102</v>
      </c>
      <c r="D3" s="26">
        <f>(B3-C3)^2</f>
        <v>0.021873818404</v>
      </c>
      <c r="E3" s="27">
        <f>(B3-avge03)^2</f>
        <v>0.0689062499999999</v>
      </c>
      <c r="F3" s="2"/>
      <c r="G3" s="2"/>
      <c r="H3" s="3">
        <v>3.75</v>
      </c>
      <c r="I3" s="22">
        <v>3.570815</v>
      </c>
      <c r="J3" s="29">
        <f>(H3-I3)^2</f>
        <v>0.032107264225</v>
      </c>
      <c r="K3" s="29">
        <f>(H3-avge03)^2</f>
        <v>0.0689062499999999</v>
      </c>
      <c r="L3" s="11"/>
      <c r="M3" s="11"/>
      <c r="N3" s="3">
        <v>3.75</v>
      </c>
      <c r="O3" s="20">
        <v>3.679304</v>
      </c>
      <c r="P3" s="13">
        <f>(N3-O3)^2</f>
        <v>0.00499792441599998</v>
      </c>
      <c r="Q3" s="13">
        <f>(N3-avge03)^2</f>
        <v>0.0689062499999999</v>
      </c>
      <c r="R3" s="13"/>
      <c r="S3" s="13"/>
      <c r="T3" s="3">
        <v>3.75</v>
      </c>
      <c r="U3" s="3"/>
      <c r="V3" s="25">
        <f>(T3-U3)^2</f>
        <v>14.0625</v>
      </c>
      <c r="W3" s="25">
        <f>(T3-avge03)^2</f>
        <v>0.0689062499999999</v>
      </c>
      <c r="X3" s="25"/>
      <c r="Y3" s="25"/>
    </row>
    <row r="4" spans="2:25">
      <c r="B4" s="3">
        <v>2.91</v>
      </c>
      <c r="C4" s="20">
        <v>3.169131</v>
      </c>
      <c r="D4" s="26">
        <f>(B4-C4)^2</f>
        <v>0.067148875161</v>
      </c>
      <c r="E4" s="27">
        <f>(B4-avge03)^2</f>
        <v>0.33350625</v>
      </c>
      <c r="F4" s="2"/>
      <c r="G4" s="2"/>
      <c r="H4" s="3">
        <v>2.91</v>
      </c>
      <c r="I4" s="22">
        <v>3.281401</v>
      </c>
      <c r="J4" s="29">
        <f>(H4-I4)^2</f>
        <v>0.137938702801</v>
      </c>
      <c r="K4" s="29">
        <f>(H4-avge03)^2</f>
        <v>0.33350625</v>
      </c>
      <c r="L4" s="11"/>
      <c r="M4" s="11"/>
      <c r="N4" s="3">
        <v>2.91</v>
      </c>
      <c r="O4" s="20">
        <v>3.419622</v>
      </c>
      <c r="P4" s="13">
        <f>(N4-O4)^2</f>
        <v>0.259714582884</v>
      </c>
      <c r="Q4" s="13">
        <f>(N4-avge03)^2</f>
        <v>0.33350625</v>
      </c>
      <c r="R4" s="13"/>
      <c r="S4" s="13"/>
      <c r="T4" s="3">
        <v>2.91</v>
      </c>
      <c r="U4" s="3"/>
      <c r="V4" s="25">
        <f>(T4-U4)^2</f>
        <v>8.4681</v>
      </c>
      <c r="W4" s="25">
        <f>(T4-avge03)^2</f>
        <v>0.33350625</v>
      </c>
      <c r="X4" s="25"/>
      <c r="Y4" s="25"/>
    </row>
    <row r="5" spans="2:25">
      <c r="B5" s="3">
        <v>3.58</v>
      </c>
      <c r="C5" s="20">
        <v>3.586137</v>
      </c>
      <c r="D5" s="26">
        <f>(B5-C5)^2</f>
        <v>3.7662768999998e-5</v>
      </c>
      <c r="E5" s="27">
        <f>(B5-avge03)^2</f>
        <v>0.00855624999999996</v>
      </c>
      <c r="F5" s="2"/>
      <c r="G5" s="2"/>
      <c r="H5" s="3">
        <v>3.58</v>
      </c>
      <c r="I5" s="22">
        <v>3.561193</v>
      </c>
      <c r="J5" s="29">
        <f>(H5-I5)^2</f>
        <v>0.000353703249000009</v>
      </c>
      <c r="K5" s="29">
        <f>(H5-avge03)^2</f>
        <v>0.00855624999999996</v>
      </c>
      <c r="L5" s="11"/>
      <c r="M5" s="11"/>
      <c r="N5" s="3">
        <v>3.58</v>
      </c>
      <c r="O5" s="20">
        <v>3.667169</v>
      </c>
      <c r="P5" s="13">
        <f>(N5-O5)^2</f>
        <v>0.00759843456099997</v>
      </c>
      <c r="Q5" s="13">
        <f>(N5-avge03)^2</f>
        <v>0.00855624999999996</v>
      </c>
      <c r="R5" s="13"/>
      <c r="S5" s="13"/>
      <c r="T5" s="3">
        <v>3.58</v>
      </c>
      <c r="U5" s="3"/>
      <c r="V5" s="25">
        <f>(T5-U5)^2</f>
        <v>12.8164</v>
      </c>
      <c r="W5" s="25">
        <f>(T5-avge03)^2</f>
        <v>0.00855624999999996</v>
      </c>
      <c r="X5" s="25"/>
      <c r="Y5" s="25"/>
    </row>
    <row r="6" spans="1:25">
      <c r="A6" t="s">
        <v>9</v>
      </c>
      <c r="B6">
        <f>AVERAGE(B2:B5)</f>
        <v>3.4875</v>
      </c>
      <c r="C6" s="24">
        <f>AVERAGE(C2:D5)</f>
        <v>1.78651932185287</v>
      </c>
      <c r="D6" s="28">
        <f>SUM(D2:D5)</f>
        <v>0.103717574823</v>
      </c>
      <c r="E6">
        <f>SUM(E2:E5)</f>
        <v>0.460475</v>
      </c>
      <c r="F6" s="24">
        <f>1-D6/E6</f>
        <v>0.774759596453662</v>
      </c>
      <c r="G6" s="24">
        <f>SQRT(D6/4)</f>
        <v>0.161026065299224</v>
      </c>
      <c r="H6">
        <f>AVERAGE(H2:H5)</f>
        <v>3.4875</v>
      </c>
      <c r="J6" s="24">
        <f>SUM(J2:J5)</f>
        <v>0.170479629639</v>
      </c>
      <c r="K6" s="24">
        <f>SUM(K2:K5)</f>
        <v>0.460475</v>
      </c>
      <c r="L6" s="24">
        <f>1-J6/K6</f>
        <v>0.629774407646453</v>
      </c>
      <c r="M6" s="24">
        <f>SQRT(J6/4)</f>
        <v>0.206445894630409</v>
      </c>
      <c r="N6">
        <f>AVERAGE(N2:N5)</f>
        <v>3.4875</v>
      </c>
      <c r="O6" s="14"/>
      <c r="P6" s="14">
        <f>SUM(P2:P5)</f>
        <v>0.276778661142</v>
      </c>
      <c r="Q6" s="14">
        <f>SUM(Q2:Q5)</f>
        <v>0.460475</v>
      </c>
      <c r="R6" s="14">
        <f>1-P6/Q6</f>
        <v>0.3989279306325</v>
      </c>
      <c r="S6" s="14">
        <f>SQRT(P6/4)</f>
        <v>0.263048788793068</v>
      </c>
      <c r="T6">
        <f>AVERAGE(T2:T5)</f>
        <v>3.4875</v>
      </c>
      <c r="V6" s="14">
        <f>SUM(V2:V5)</f>
        <v>49.1111</v>
      </c>
      <c r="W6" s="14">
        <f>SUM(W2:W5)</f>
        <v>0.460475</v>
      </c>
      <c r="X6" s="14">
        <f>1-V6/W6</f>
        <v>-105.653129920191</v>
      </c>
      <c r="Y6" s="14">
        <f>SQRT(V6/4)</f>
        <v>3.50396561056184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"/>
  <sheetViews>
    <sheetView topLeftCell="X1" workbookViewId="0">
      <selection activeCell="AG1" sqref="AG1"/>
    </sheetView>
  </sheetViews>
  <sheetFormatPr defaultColWidth="9" defaultRowHeight="14.25" outlineLevelRow="7"/>
  <cols>
    <col min="1" max="25" width="12.125" customWidth="1"/>
    <col min="26" max="26" width="9" customWidth="1"/>
    <col min="27" max="27" width="9.375" customWidth="1"/>
    <col min="28" max="28" width="9" customWidth="1"/>
    <col min="29" max="29" width="9.375" customWidth="1"/>
    <col min="30" max="32" width="9" customWidth="1"/>
    <col min="33" max="33" width="9.375" customWidth="1"/>
    <col min="34" max="34" width="9" customWidth="1"/>
    <col min="35" max="35" width="9.375" customWidth="1"/>
    <col min="36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8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11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12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s="3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22">
        <v>3.677866</v>
      </c>
      <c r="D2" s="23">
        <f t="shared" ref="D2:D7" si="0">(B2-C2)^2</f>
        <v>0.00103259395600001</v>
      </c>
      <c r="E2" s="23">
        <f t="shared" ref="E2:E7" si="1">(B2-avge04)^2</f>
        <v>0.0650249999999999</v>
      </c>
      <c r="F2" s="23"/>
      <c r="G2" s="23"/>
      <c r="H2" s="3">
        <v>3.71</v>
      </c>
      <c r="I2" s="20">
        <v>3.771261</v>
      </c>
      <c r="J2" s="12">
        <f t="shared" ref="J2:J7" si="2">(H2-I2)^2</f>
        <v>0.003752910121</v>
      </c>
      <c r="K2" s="12">
        <f>(H2-avge04)^2</f>
        <v>0.0650249999999999</v>
      </c>
      <c r="L2" s="12"/>
      <c r="M2" s="12"/>
      <c r="N2" s="3">
        <v>3.71</v>
      </c>
      <c r="O2" s="20">
        <v>3.657836</v>
      </c>
      <c r="P2" s="13">
        <f t="shared" ref="P2:P7" si="3">(N2-O2)^2</f>
        <v>0.00272108289599999</v>
      </c>
      <c r="Q2" s="13">
        <f t="shared" ref="Q2:Q7" si="4">(N2-avge04)^2</f>
        <v>0.0650249999999999</v>
      </c>
      <c r="R2" s="13"/>
      <c r="S2" s="13"/>
      <c r="T2" s="3">
        <v>3.71</v>
      </c>
      <c r="U2" s="20">
        <v>3.726179</v>
      </c>
      <c r="V2" s="25">
        <f t="shared" ref="V2:V7" si="5">(T2-U2)^2</f>
        <v>0.000261760041000005</v>
      </c>
      <c r="W2" s="25">
        <f t="shared" ref="W2:W7" si="6">(T2-avge04)^2</f>
        <v>0.0650249999999999</v>
      </c>
      <c r="X2" s="25"/>
      <c r="Y2" s="25"/>
      <c r="Z2" s="3">
        <v>3.71</v>
      </c>
      <c r="AA2" s="20">
        <v>3.542219</v>
      </c>
      <c r="AB2" s="25">
        <f t="shared" ref="AB2:AB7" si="7">(Z2-AA2)^2</f>
        <v>0.0281504639610001</v>
      </c>
      <c r="AC2" s="25">
        <f t="shared" ref="AC2:AC7" si="8">(Z2-avge04)^2</f>
        <v>0.0650249999999999</v>
      </c>
      <c r="AD2" s="25"/>
      <c r="AE2" s="25"/>
      <c r="AF2" s="3">
        <v>3.71</v>
      </c>
      <c r="AG2" s="20">
        <v>3.721792</v>
      </c>
      <c r="AH2" s="25">
        <f t="shared" ref="AH2:AH7" si="9">(AF2-AG2)^2</f>
        <v>0.000139051264000006</v>
      </c>
      <c r="AI2" s="25">
        <f t="shared" ref="AI2:AI7" si="10">(AF2-avge04)^2</f>
        <v>0.0650249999999999</v>
      </c>
      <c r="AJ2" s="25"/>
      <c r="AK2" s="25"/>
    </row>
    <row r="3" spans="2:37">
      <c r="B3" s="3">
        <v>3.75</v>
      </c>
      <c r="C3" s="22">
        <v>3.669743</v>
      </c>
      <c r="D3" s="23">
        <f t="shared" si="0"/>
        <v>0.006441186049</v>
      </c>
      <c r="E3" s="23">
        <f t="shared" si="1"/>
        <v>0.087025</v>
      </c>
      <c r="F3" s="23"/>
      <c r="G3" s="23"/>
      <c r="H3" s="3">
        <v>3.75</v>
      </c>
      <c r="I3" s="20">
        <v>3.781945</v>
      </c>
      <c r="J3" s="12">
        <f t="shared" si="2"/>
        <v>0.00102048302499999</v>
      </c>
      <c r="K3" s="12">
        <f>(H3-avge)^2</f>
        <v>0.087025</v>
      </c>
      <c r="L3" s="12"/>
      <c r="M3" s="12"/>
      <c r="N3" s="3">
        <v>3.75</v>
      </c>
      <c r="O3" s="20">
        <v>3.580993</v>
      </c>
      <c r="P3" s="13">
        <f t="shared" si="3"/>
        <v>0.028563366049</v>
      </c>
      <c r="Q3" s="13">
        <f t="shared" si="4"/>
        <v>0.087025</v>
      </c>
      <c r="R3" s="13"/>
      <c r="S3" s="13"/>
      <c r="T3" s="3">
        <v>3.75</v>
      </c>
      <c r="U3" s="20">
        <v>3.609415</v>
      </c>
      <c r="V3" s="25">
        <f t="shared" si="5"/>
        <v>0.0197641422250001</v>
      </c>
      <c r="W3" s="25">
        <f t="shared" si="6"/>
        <v>0.087025</v>
      </c>
      <c r="X3" s="25"/>
      <c r="Y3" s="25"/>
      <c r="Z3" s="3">
        <v>3.75</v>
      </c>
      <c r="AA3" s="20">
        <v>3.666505</v>
      </c>
      <c r="AB3" s="25">
        <f t="shared" si="7"/>
        <v>0.00697141502500002</v>
      </c>
      <c r="AC3" s="25">
        <f t="shared" si="8"/>
        <v>0.087025</v>
      </c>
      <c r="AD3" s="25"/>
      <c r="AE3" s="25"/>
      <c r="AF3" s="3">
        <v>3.75</v>
      </c>
      <c r="AG3" s="20">
        <v>3.755236</v>
      </c>
      <c r="AH3" s="25">
        <f t="shared" si="9"/>
        <v>2.74156960000002e-5</v>
      </c>
      <c r="AI3" s="25">
        <f t="shared" si="10"/>
        <v>0.087025</v>
      </c>
      <c r="AJ3" s="25"/>
      <c r="AK3" s="25"/>
    </row>
    <row r="4" spans="2:37">
      <c r="B4" s="3">
        <v>2.91</v>
      </c>
      <c r="C4" s="22">
        <v>3.220774</v>
      </c>
      <c r="D4" s="23">
        <f t="shared" si="0"/>
        <v>0.0965804790759999</v>
      </c>
      <c r="E4" s="23">
        <f t="shared" si="1"/>
        <v>0.297025</v>
      </c>
      <c r="F4" s="23"/>
      <c r="G4" s="23"/>
      <c r="H4" s="3">
        <v>2.91</v>
      </c>
      <c r="I4" s="20">
        <v>3.268889</v>
      </c>
      <c r="J4" s="12">
        <f t="shared" si="2"/>
        <v>0.128801314321</v>
      </c>
      <c r="K4" s="12">
        <f>(H4-avge)^2</f>
        <v>0.297025</v>
      </c>
      <c r="L4" s="12"/>
      <c r="M4" s="12"/>
      <c r="N4" s="3">
        <v>2.91</v>
      </c>
      <c r="O4" s="20">
        <v>3.403074</v>
      </c>
      <c r="P4" s="13">
        <f t="shared" si="3"/>
        <v>0.243121969476</v>
      </c>
      <c r="Q4" s="13">
        <f t="shared" si="4"/>
        <v>0.297025</v>
      </c>
      <c r="R4" s="13"/>
      <c r="S4" s="13"/>
      <c r="T4" s="3">
        <v>2.91</v>
      </c>
      <c r="U4" s="20">
        <v>3.324239</v>
      </c>
      <c r="V4" s="25">
        <f t="shared" si="5"/>
        <v>0.171593949121</v>
      </c>
      <c r="W4" s="25">
        <f t="shared" si="6"/>
        <v>0.297025</v>
      </c>
      <c r="X4" s="25"/>
      <c r="Y4" s="25"/>
      <c r="Z4" s="3">
        <v>2.91</v>
      </c>
      <c r="AA4" s="20">
        <v>3.177181</v>
      </c>
      <c r="AB4" s="25">
        <f t="shared" si="7"/>
        <v>0.0713856867609999</v>
      </c>
      <c r="AC4" s="25">
        <f t="shared" si="8"/>
        <v>0.297025</v>
      </c>
      <c r="AD4" s="25"/>
      <c r="AE4" s="25"/>
      <c r="AF4" s="3">
        <v>2.91</v>
      </c>
      <c r="AG4" s="20">
        <v>3.306328</v>
      </c>
      <c r="AH4" s="25">
        <f t="shared" si="9"/>
        <v>0.157075883584</v>
      </c>
      <c r="AI4" s="25">
        <f t="shared" si="10"/>
        <v>0.297025</v>
      </c>
      <c r="AJ4" s="25"/>
      <c r="AK4" s="25"/>
    </row>
    <row r="5" spans="2:37">
      <c r="B5" s="3">
        <v>3.58</v>
      </c>
      <c r="C5" s="22">
        <v>3.654188</v>
      </c>
      <c r="D5" s="23">
        <f t="shared" si="0"/>
        <v>0.00550385934399999</v>
      </c>
      <c r="E5" s="23">
        <f t="shared" si="1"/>
        <v>0.015625</v>
      </c>
      <c r="F5" s="23"/>
      <c r="G5" s="23"/>
      <c r="H5" s="3">
        <v>3.58</v>
      </c>
      <c r="I5" s="20">
        <v>3.772082</v>
      </c>
      <c r="J5" s="12">
        <f t="shared" si="2"/>
        <v>0.036895494724</v>
      </c>
      <c r="K5" s="12">
        <f>(H5-avge)^2</f>
        <v>0.015625</v>
      </c>
      <c r="L5" s="12"/>
      <c r="M5" s="12"/>
      <c r="N5" s="3">
        <v>3.58</v>
      </c>
      <c r="O5" s="20">
        <v>3.559753</v>
      </c>
      <c r="P5" s="13">
        <f t="shared" si="3"/>
        <v>0.000409941008999996</v>
      </c>
      <c r="Q5" s="13">
        <f t="shared" si="4"/>
        <v>0.015625</v>
      </c>
      <c r="R5" s="13"/>
      <c r="S5" s="13"/>
      <c r="T5" s="3">
        <v>3.58</v>
      </c>
      <c r="U5" s="20">
        <v>3.58817</v>
      </c>
      <c r="V5" s="25">
        <f t="shared" si="5"/>
        <v>6.67488999999965e-5</v>
      </c>
      <c r="W5" s="25">
        <f t="shared" si="6"/>
        <v>0.015625</v>
      </c>
      <c r="X5" s="25"/>
      <c r="Y5" s="25"/>
      <c r="Z5" s="3">
        <v>3.58</v>
      </c>
      <c r="AA5" s="20">
        <v>3.685211</v>
      </c>
      <c r="AB5" s="25">
        <f t="shared" si="7"/>
        <v>0.0110693545209999</v>
      </c>
      <c r="AC5" s="25">
        <f t="shared" si="8"/>
        <v>0.015625</v>
      </c>
      <c r="AD5" s="25"/>
      <c r="AE5" s="25"/>
      <c r="AF5" s="3">
        <v>3.58</v>
      </c>
      <c r="AG5" s="20">
        <v>3.757041</v>
      </c>
      <c r="AH5" s="25">
        <f t="shared" si="9"/>
        <v>0.031343515681</v>
      </c>
      <c r="AI5" s="25">
        <f t="shared" si="10"/>
        <v>0.015625</v>
      </c>
      <c r="AJ5" s="25"/>
      <c r="AK5" s="25"/>
    </row>
    <row r="6" spans="2:37">
      <c r="B6" s="3">
        <v>3.33</v>
      </c>
      <c r="C6" s="22">
        <v>3.530392</v>
      </c>
      <c r="D6" s="23">
        <f t="shared" si="0"/>
        <v>0.040156953664</v>
      </c>
      <c r="E6" s="23">
        <f t="shared" si="1"/>
        <v>0.015625</v>
      </c>
      <c r="F6" s="23"/>
      <c r="G6" s="23"/>
      <c r="H6" s="3">
        <v>3.33</v>
      </c>
      <c r="I6" s="20">
        <v>3.573112</v>
      </c>
      <c r="J6" s="12">
        <f t="shared" si="2"/>
        <v>0.059103444544</v>
      </c>
      <c r="K6" s="12">
        <f>(H6-avge)^2</f>
        <v>0.015625</v>
      </c>
      <c r="L6" s="12"/>
      <c r="M6" s="12"/>
      <c r="N6" s="3">
        <v>3.33</v>
      </c>
      <c r="O6" s="20">
        <v>3.431535</v>
      </c>
      <c r="P6" s="13">
        <f t="shared" si="3"/>
        <v>0.0103093562249999</v>
      </c>
      <c r="Q6" s="13">
        <f t="shared" si="4"/>
        <v>0.015625</v>
      </c>
      <c r="R6" s="13"/>
      <c r="S6" s="13"/>
      <c r="T6" s="3">
        <v>3.33</v>
      </c>
      <c r="U6" s="20">
        <v>3.466679</v>
      </c>
      <c r="V6" s="25">
        <f t="shared" si="5"/>
        <v>0.018681149041</v>
      </c>
      <c r="W6" s="25">
        <f t="shared" si="6"/>
        <v>0.015625</v>
      </c>
      <c r="X6" s="25"/>
      <c r="Y6" s="25"/>
      <c r="Z6" s="3">
        <v>3.33</v>
      </c>
      <c r="AA6" s="20">
        <v>3.378197</v>
      </c>
      <c r="AB6" s="25">
        <f t="shared" si="7"/>
        <v>0.002322950809</v>
      </c>
      <c r="AC6" s="25">
        <f t="shared" si="8"/>
        <v>0.015625</v>
      </c>
      <c r="AD6" s="25"/>
      <c r="AE6" s="25"/>
      <c r="AF6" s="3">
        <v>3.33</v>
      </c>
      <c r="AG6" s="20">
        <v>3.538847</v>
      </c>
      <c r="AH6" s="25">
        <f t="shared" si="9"/>
        <v>0.043617069409</v>
      </c>
      <c r="AI6" s="25">
        <f t="shared" si="10"/>
        <v>0.015625</v>
      </c>
      <c r="AJ6" s="25"/>
      <c r="AK6" s="25"/>
    </row>
    <row r="7" spans="2:37">
      <c r="B7" s="3">
        <v>3.45</v>
      </c>
      <c r="C7" s="22">
        <v>3.580244</v>
      </c>
      <c r="D7" s="23">
        <f t="shared" si="0"/>
        <v>0.0169634995359999</v>
      </c>
      <c r="E7" s="23">
        <f t="shared" si="1"/>
        <v>2.49999999999989e-5</v>
      </c>
      <c r="F7" s="23"/>
      <c r="G7" s="23"/>
      <c r="H7" s="3">
        <v>3.45</v>
      </c>
      <c r="I7" s="20">
        <v>3.534171</v>
      </c>
      <c r="J7" s="12">
        <f t="shared" si="2"/>
        <v>0.007084757241</v>
      </c>
      <c r="K7" s="12">
        <f>(H7-avge)^2</f>
        <v>2.49999999999989e-5</v>
      </c>
      <c r="L7" s="12"/>
      <c r="M7" s="12"/>
      <c r="N7" s="3">
        <v>3.45</v>
      </c>
      <c r="O7" s="20">
        <v>3.515354</v>
      </c>
      <c r="P7" s="13">
        <f t="shared" si="3"/>
        <v>0.00427114531599996</v>
      </c>
      <c r="Q7" s="13">
        <f t="shared" si="4"/>
        <v>2.49999999999989e-5</v>
      </c>
      <c r="R7" s="13"/>
      <c r="S7" s="13"/>
      <c r="T7" s="3">
        <v>3.45</v>
      </c>
      <c r="U7" s="20">
        <v>3.548302</v>
      </c>
      <c r="V7" s="25">
        <f t="shared" si="5"/>
        <v>0.00966328320399998</v>
      </c>
      <c r="W7" s="25">
        <f t="shared" si="6"/>
        <v>2.49999999999989e-5</v>
      </c>
      <c r="X7" s="25"/>
      <c r="Y7" s="25"/>
      <c r="Z7" s="3">
        <v>3.45</v>
      </c>
      <c r="AA7" s="20">
        <v>3.432081</v>
      </c>
      <c r="AB7" s="25">
        <f t="shared" si="7"/>
        <v>0.000321090561000001</v>
      </c>
      <c r="AC7" s="25">
        <f t="shared" si="8"/>
        <v>2.49999999999989e-5</v>
      </c>
      <c r="AD7" s="25"/>
      <c r="AE7" s="25"/>
      <c r="AF7" s="3">
        <v>3.45</v>
      </c>
      <c r="AG7" s="20">
        <v>3.507423</v>
      </c>
      <c r="AH7" s="25">
        <f t="shared" si="9"/>
        <v>0.003297400929</v>
      </c>
      <c r="AI7" s="25">
        <f t="shared" si="10"/>
        <v>2.49999999999989e-5</v>
      </c>
      <c r="AJ7" s="25"/>
      <c r="AK7" s="25"/>
    </row>
    <row r="8" spans="1:37">
      <c r="A8" t="s">
        <v>9</v>
      </c>
      <c r="B8">
        <f>AVERAGE(B2:B7)</f>
        <v>3.455</v>
      </c>
      <c r="C8" s="24">
        <f>AVERAGE(C2:D7)</f>
        <v>1.79165713096875</v>
      </c>
      <c r="D8" s="24">
        <f>SUM(D2:D7)</f>
        <v>0.166678571625</v>
      </c>
      <c r="E8" s="24">
        <f>SUM(E2:E7)</f>
        <v>0.48035</v>
      </c>
      <c r="F8" s="24">
        <f>1-D8/E8</f>
        <v>0.653005992245238</v>
      </c>
      <c r="G8" s="24">
        <f>SQRT(D8/4)</f>
        <v>0.204131435370082</v>
      </c>
      <c r="H8">
        <f>AVERAGE(H2:H7)</f>
        <v>3.455</v>
      </c>
      <c r="I8" s="14"/>
      <c r="J8" s="14">
        <f>SUM(J2:J7)</f>
        <v>0.236658403976</v>
      </c>
      <c r="K8" s="14">
        <f>SUM(K2:K7)</f>
        <v>0.48035</v>
      </c>
      <c r="L8" s="14">
        <f>1-J8/K8</f>
        <v>0.507320903557822</v>
      </c>
      <c r="M8" s="14">
        <f>SQRT(J8/4)</f>
        <v>0.243237745824944</v>
      </c>
      <c r="N8">
        <f>AVERAGE(N2:N7)</f>
        <v>3.455</v>
      </c>
      <c r="O8" s="14"/>
      <c r="P8" s="14">
        <f>SUM(P2:P7)</f>
        <v>0.289396860971</v>
      </c>
      <c r="Q8" s="14">
        <f>SUM(Q2:Q7)</f>
        <v>0.48035</v>
      </c>
      <c r="R8" s="14">
        <f>1-P8/Q8</f>
        <v>0.397529174620589</v>
      </c>
      <c r="S8" s="14">
        <f>SQRT(P8/4)</f>
        <v>0.268978094354819</v>
      </c>
      <c r="T8">
        <f>AVERAGE(T2:T7)</f>
        <v>3.455</v>
      </c>
      <c r="U8" s="14"/>
      <c r="V8" s="14">
        <f>SUM(V2:V7)</f>
        <v>0.220031032532</v>
      </c>
      <c r="W8" s="14">
        <f>SUM(W2:W7)</f>
        <v>0.48035</v>
      </c>
      <c r="X8" s="14">
        <f>1-V8/W8</f>
        <v>0.541936020543354</v>
      </c>
      <c r="Y8" s="14">
        <f>SQRT(V8/4)</f>
        <v>0.23453732780306</v>
      </c>
      <c r="Z8">
        <f>AVERAGE(Z2:Z7)</f>
        <v>3.455</v>
      </c>
      <c r="AA8" s="14"/>
      <c r="AB8" s="14">
        <f>SUM(AB2:AB7)</f>
        <v>0.120220961638</v>
      </c>
      <c r="AC8" s="14">
        <f>SUM(AC2:AC7)</f>
        <v>0.48035</v>
      </c>
      <c r="AD8" s="14">
        <f>1-AB8/AC8</f>
        <v>0.749722157514312</v>
      </c>
      <c r="AE8" s="14">
        <f>SQRT(AB8/4)</f>
        <v>0.17336447274312</v>
      </c>
      <c r="AF8">
        <f>AVERAGE(AF2:AF7)</f>
        <v>3.455</v>
      </c>
      <c r="AG8" s="14"/>
      <c r="AH8" s="14">
        <f>SUM(AH2:AH7)</f>
        <v>0.235500336563</v>
      </c>
      <c r="AI8" s="14">
        <f>SUM(AI2:AI7)</f>
        <v>0.48035</v>
      </c>
      <c r="AJ8" s="14">
        <f>1-AH8/AI8</f>
        <v>0.50973178606641</v>
      </c>
      <c r="AK8" s="14">
        <f>SQRT(AH8/4)</f>
        <v>0.242641884555717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K21" sqref="K21"/>
    </sheetView>
  </sheetViews>
  <sheetFormatPr defaultColWidth="9" defaultRowHeight="14.25" outlineLevelRow="7"/>
  <cols>
    <col min="1" max="19" width="12.125" customWidth="1"/>
    <col min="20" max="1025" width="9" customWidth="1"/>
  </cols>
  <sheetData>
    <row r="1" spans="2:19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15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16</v>
      </c>
      <c r="P1" t="s">
        <v>2</v>
      </c>
      <c r="Q1" t="s">
        <v>3</v>
      </c>
      <c r="R1" t="s">
        <v>4</v>
      </c>
      <c r="S1" t="s">
        <v>5</v>
      </c>
    </row>
    <row r="2" spans="2:19">
      <c r="B2" s="3">
        <v>3.71</v>
      </c>
      <c r="C2" s="20">
        <v>3.776494</v>
      </c>
      <c r="D2" s="21">
        <f t="shared" ref="D2:D7" si="0">(B2-C2)^2</f>
        <v>0.00442145203600001</v>
      </c>
      <c r="E2" s="21">
        <f t="shared" ref="E2:E7" si="1">(B2-avge05)^2</f>
        <v>0.0650249999999999</v>
      </c>
      <c r="F2" s="21"/>
      <c r="G2" s="21"/>
      <c r="H2" s="3">
        <v>3.71</v>
      </c>
      <c r="I2" s="20">
        <v>3.518971</v>
      </c>
      <c r="J2" s="12">
        <f t="shared" ref="J2:J7" si="2">(H2-I2)^2</f>
        <v>0.036492078841</v>
      </c>
      <c r="K2" s="12">
        <f t="shared" ref="K2:K7" si="3">(H2-avge05)^2</f>
        <v>0.0650249999999999</v>
      </c>
      <c r="L2" s="12"/>
      <c r="M2" s="12"/>
      <c r="N2" s="3">
        <v>3.71</v>
      </c>
      <c r="O2" s="20">
        <v>3.712466</v>
      </c>
      <c r="P2" s="13">
        <f t="shared" ref="P2:P7" si="4">(N2-O2)^2</f>
        <v>6.08115600000039e-6</v>
      </c>
      <c r="Q2" s="13">
        <f t="shared" ref="Q2:Q7" si="5">(N2-avge05)^2</f>
        <v>0.0650249999999999</v>
      </c>
      <c r="R2" s="13"/>
      <c r="S2" s="13"/>
    </row>
    <row r="3" spans="2:19">
      <c r="B3" s="3">
        <v>3.75</v>
      </c>
      <c r="C3" s="20">
        <v>3.678449</v>
      </c>
      <c r="D3" s="21">
        <f t="shared" si="0"/>
        <v>0.00511954560099999</v>
      </c>
      <c r="E3" s="21">
        <f t="shared" si="1"/>
        <v>0.087025</v>
      </c>
      <c r="F3" s="21"/>
      <c r="G3" s="21"/>
      <c r="H3" s="3">
        <v>3.75</v>
      </c>
      <c r="I3" s="20">
        <v>3.599915</v>
      </c>
      <c r="J3" s="12">
        <f t="shared" si="2"/>
        <v>0.0225255072249999</v>
      </c>
      <c r="K3" s="12">
        <f t="shared" si="3"/>
        <v>0.087025</v>
      </c>
      <c r="L3" s="12"/>
      <c r="M3" s="12"/>
      <c r="N3" s="3">
        <v>3.75</v>
      </c>
      <c r="O3" s="20">
        <v>3.641485</v>
      </c>
      <c r="P3" s="13">
        <f t="shared" si="4"/>
        <v>0.011775505225</v>
      </c>
      <c r="Q3" s="13">
        <f t="shared" si="5"/>
        <v>0.087025</v>
      </c>
      <c r="R3" s="13"/>
      <c r="S3" s="13"/>
    </row>
    <row r="4" spans="2:19">
      <c r="B4" s="3">
        <v>2.91</v>
      </c>
      <c r="C4" s="20">
        <v>3.259303</v>
      </c>
      <c r="D4" s="21">
        <f t="shared" si="0"/>
        <v>0.122012585809</v>
      </c>
      <c r="E4" s="21">
        <f t="shared" si="1"/>
        <v>0.297025</v>
      </c>
      <c r="F4" s="21"/>
      <c r="G4" s="21"/>
      <c r="H4" s="3">
        <v>2.91</v>
      </c>
      <c r="I4" s="20">
        <v>3.297299</v>
      </c>
      <c r="J4" s="12">
        <f t="shared" si="2"/>
        <v>0.150000515401</v>
      </c>
      <c r="K4" s="12">
        <f t="shared" si="3"/>
        <v>0.297025</v>
      </c>
      <c r="L4" s="12"/>
      <c r="M4" s="12"/>
      <c r="N4" s="3">
        <v>2.91</v>
      </c>
      <c r="O4" s="20">
        <v>3.291672</v>
      </c>
      <c r="P4" s="13">
        <f t="shared" si="4"/>
        <v>0.145673515584</v>
      </c>
      <c r="Q4" s="13">
        <f t="shared" si="5"/>
        <v>0.297025</v>
      </c>
      <c r="R4" s="13"/>
      <c r="S4" s="13"/>
    </row>
    <row r="5" spans="2:19">
      <c r="B5" s="3">
        <v>3.58</v>
      </c>
      <c r="C5" s="20">
        <v>3.651295</v>
      </c>
      <c r="D5" s="21">
        <f t="shared" si="0"/>
        <v>0.00508297702500002</v>
      </c>
      <c r="E5" s="21">
        <f t="shared" si="1"/>
        <v>0.015625</v>
      </c>
      <c r="F5" s="21"/>
      <c r="G5" s="21"/>
      <c r="H5" s="3">
        <v>3.58</v>
      </c>
      <c r="I5" s="20">
        <v>3.559968</v>
      </c>
      <c r="J5" s="12">
        <f t="shared" si="2"/>
        <v>0.000401281024000002</v>
      </c>
      <c r="K5" s="12">
        <f t="shared" si="3"/>
        <v>0.015625</v>
      </c>
      <c r="L5" s="12"/>
      <c r="M5" s="12"/>
      <c r="N5" s="3">
        <v>3.58</v>
      </c>
      <c r="O5" s="20">
        <v>3.617029</v>
      </c>
      <c r="P5" s="13">
        <f t="shared" si="4"/>
        <v>0.001371146841</v>
      </c>
      <c r="Q5" s="13">
        <f t="shared" si="5"/>
        <v>0.015625</v>
      </c>
      <c r="R5" s="13"/>
      <c r="S5" s="13"/>
    </row>
    <row r="6" spans="2:19">
      <c r="B6" s="3">
        <v>3.33</v>
      </c>
      <c r="C6" s="20">
        <v>3.506838</v>
      </c>
      <c r="D6" s="21">
        <f t="shared" si="0"/>
        <v>0.031271678244</v>
      </c>
      <c r="E6" s="21">
        <f t="shared" si="1"/>
        <v>0.015625</v>
      </c>
      <c r="F6" s="21"/>
      <c r="G6" s="21"/>
      <c r="H6" s="3">
        <v>3.33</v>
      </c>
      <c r="I6" s="20">
        <v>3.427053</v>
      </c>
      <c r="J6" s="12">
        <f t="shared" si="2"/>
        <v>0.00941928480899997</v>
      </c>
      <c r="K6" s="12">
        <f t="shared" si="3"/>
        <v>0.015625</v>
      </c>
      <c r="L6" s="12"/>
      <c r="M6" s="12"/>
      <c r="N6" s="3">
        <v>3.33</v>
      </c>
      <c r="O6" s="20">
        <v>3.48498</v>
      </c>
      <c r="P6" s="13">
        <f t="shared" si="4"/>
        <v>0.0240188004</v>
      </c>
      <c r="Q6" s="13">
        <f t="shared" si="5"/>
        <v>0.015625</v>
      </c>
      <c r="R6" s="13"/>
      <c r="S6" s="13"/>
    </row>
    <row r="7" spans="2:19">
      <c r="B7" s="3">
        <v>3.45</v>
      </c>
      <c r="C7" s="20">
        <v>3.620948</v>
      </c>
      <c r="D7" s="21">
        <f t="shared" si="0"/>
        <v>0.0292232187039999</v>
      </c>
      <c r="E7" s="21">
        <f t="shared" si="1"/>
        <v>2.49999999999989e-5</v>
      </c>
      <c r="F7" s="21"/>
      <c r="G7" s="21"/>
      <c r="H7" s="3">
        <v>3.45</v>
      </c>
      <c r="I7" s="20">
        <v>3.500975</v>
      </c>
      <c r="J7" s="12">
        <f t="shared" si="2"/>
        <v>0.00259845062499998</v>
      </c>
      <c r="K7" s="12">
        <f t="shared" si="3"/>
        <v>2.49999999999989e-5</v>
      </c>
      <c r="L7" s="12"/>
      <c r="M7" s="12"/>
      <c r="N7" s="3">
        <v>3.45</v>
      </c>
      <c r="O7" s="20">
        <v>3.576926</v>
      </c>
      <c r="P7" s="13">
        <f t="shared" si="4"/>
        <v>0.0161102094759999</v>
      </c>
      <c r="Q7" s="13">
        <f t="shared" si="5"/>
        <v>2.49999999999989e-5</v>
      </c>
      <c r="R7" s="13"/>
      <c r="S7" s="13"/>
    </row>
    <row r="8" spans="1:19">
      <c r="A8" t="s">
        <v>9</v>
      </c>
      <c r="B8">
        <f>AVERAGE(B2:B7)</f>
        <v>3.455</v>
      </c>
      <c r="C8" s="14">
        <f>AVERAGE(C2:D7)</f>
        <v>1.80753820478492</v>
      </c>
      <c r="D8" s="14">
        <f>SUM(D2:D7)</f>
        <v>0.197131457419</v>
      </c>
      <c r="E8" s="14">
        <f>SUM(E2:E7)</f>
        <v>0.48035</v>
      </c>
      <c r="F8" s="14">
        <f>1-D8/E8</f>
        <v>0.589608707361299</v>
      </c>
      <c r="G8" s="14">
        <f>SQRT(D8/4)</f>
        <v>0.221997442225693</v>
      </c>
      <c r="H8">
        <f>AVERAGE(H2:H7)</f>
        <v>3.455</v>
      </c>
      <c r="I8" s="14"/>
      <c r="J8" s="14">
        <f>SUM(J2:J7)</f>
        <v>0.221437117925</v>
      </c>
      <c r="K8" s="14">
        <f>SUM(K2:K7)</f>
        <v>0.48035</v>
      </c>
      <c r="L8" s="14">
        <f>1-J8/K8</f>
        <v>0.539008810398668</v>
      </c>
      <c r="M8" s="14">
        <f>SQRT(J8/4)</f>
        <v>0.235285527564383</v>
      </c>
      <c r="N8">
        <f>AVERAGE(N2:N7)</f>
        <v>3.455</v>
      </c>
      <c r="O8" s="14"/>
      <c r="P8" s="14">
        <f>SUM(P2:P7)</f>
        <v>0.198955258682</v>
      </c>
      <c r="Q8" s="14">
        <f>SUM(Q2:Q7)</f>
        <v>0.48035</v>
      </c>
      <c r="R8" s="14">
        <f>1-P8/Q8</f>
        <v>0.585811889909441</v>
      </c>
      <c r="S8" s="14">
        <f>SQRT(P8/4)</f>
        <v>0.223022004901983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"/>
  <sheetViews>
    <sheetView topLeftCell="V1" workbookViewId="0">
      <selection activeCell="AJ22" sqref="AJ22"/>
    </sheetView>
  </sheetViews>
  <sheetFormatPr defaultColWidth="9" defaultRowHeight="14.25" outlineLevelRow="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>
        <f>(B2-avge06)^2</f>
        <v>0.0495062499999999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>
        <f>(H2-avge06)^2</f>
        <v>0.0495062499999999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>
        <f>(N2-avge06)^2</f>
        <v>0.0495062499999999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>
        <f>(T2-avge06)^2</f>
        <v>0.0495062499999999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>
        <f>(Z2-avge06)^2</f>
        <v>0.0495062499999999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>
        <f>(AF2-avge06)^2</f>
        <v>0.0495062499999999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>
        <f>(B3-avge06)^2</f>
        <v>0.0689062499999999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>
        <f>(H3-avge06)^2</f>
        <v>0.0689062499999999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>
        <f>(N3-avge06)^2</f>
        <v>0.0689062499999999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>
        <f>(T3-avge06)^2</f>
        <v>0.0689062499999999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>
        <f>(Z3-avge06)^2</f>
        <v>0.0689062499999999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>
        <f>(AF3-avge06)^2</f>
        <v>0.0689062499999999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>
        <f>(B4-avge06)^2</f>
        <v>0.33350625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>
        <f>(H4-avge06)^2</f>
        <v>0.33350625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>
        <f>(N4-avge06)^2</f>
        <v>0.33350625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>
        <f>(T4-avge06)^2</f>
        <v>0.33350625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>
        <f>(Z4-avge06)^2</f>
        <v>0.33350625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>
        <f>(AF4-avge06)^2</f>
        <v>0.33350625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>
        <f>(B5-avge06)^2</f>
        <v>0.00855624999999996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>
        <f>(H5-avge06)^2</f>
        <v>0.00855624999999996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>
        <f>(N5-avge06)^2</f>
        <v>0.00855624999999996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>
        <f>(T5-avge06)^2</f>
        <v>0.00855624999999996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>
        <f>(Z5-avge06)^2</f>
        <v>0.00855624999999996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>
        <f>(AF5-avge06)^2</f>
        <v>0.00855624999999996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>
        <f>SUM(E2:E5)</f>
        <v>0.460475</v>
      </c>
      <c r="F6" s="6">
        <f>1-D6/E6</f>
        <v>0.778868103907921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>
        <f>SUM(K2:K5)</f>
        <v>0.460475</v>
      </c>
      <c r="L6" s="14">
        <f>1-J6/K6</f>
        <v>0.320153552996363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>
        <f>SUM(Q2:Q5)</f>
        <v>0.460475</v>
      </c>
      <c r="R6" s="14">
        <f>1-P6/Q6</f>
        <v>0.314401739288778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>
        <f>SUM(W2:W5)</f>
        <v>0.460475</v>
      </c>
      <c r="X6" s="14">
        <f>1-V6/W6</f>
        <v>0.719338328901678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>
        <f>SUM(AC2:AC5)</f>
        <v>0.460475</v>
      </c>
      <c r="AD6" s="14">
        <f>1-AB6/AC6</f>
        <v>0.760512071864922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>
        <f>SUM(AI2:AI5)</f>
        <v>0.460475</v>
      </c>
      <c r="AJ6" s="14">
        <f>1-AH6/AI6</f>
        <v>0.645305101768826</v>
      </c>
      <c r="AK6" s="14">
        <f>SQRT(AH6/4)</f>
        <v>0.202069377481473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7"/>
  <sheetViews>
    <sheetView topLeftCell="A12" workbookViewId="0">
      <selection activeCell="AF41" sqref="AF41"/>
    </sheetView>
  </sheetViews>
  <sheetFormatPr defaultColWidth="9" defaultRowHeight="14.25"/>
  <cols>
    <col min="1" max="19" width="12.125" customWidth="1"/>
    <col min="20" max="1025" width="9" customWidth="1"/>
  </cols>
  <sheetData>
    <row r="1" spans="2:37">
      <c r="B1" t="s">
        <v>0</v>
      </c>
      <c r="C1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t="s">
        <v>0</v>
      </c>
      <c r="I1" t="s">
        <v>11</v>
      </c>
      <c r="J1" s="11" t="s">
        <v>2</v>
      </c>
      <c r="K1" s="11" t="s">
        <v>3</v>
      </c>
      <c r="L1" s="11" t="s">
        <v>4</v>
      </c>
      <c r="M1" s="11" t="s">
        <v>5</v>
      </c>
      <c r="N1" t="s">
        <v>0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0</v>
      </c>
      <c r="U1" t="s">
        <v>8</v>
      </c>
      <c r="V1" t="s">
        <v>2</v>
      </c>
      <c r="W1" t="s">
        <v>3</v>
      </c>
      <c r="X1" t="s">
        <v>4</v>
      </c>
      <c r="Y1" t="s">
        <v>5</v>
      </c>
      <c r="Z1" t="s">
        <v>0</v>
      </c>
      <c r="AA1" t="s">
        <v>13</v>
      </c>
      <c r="AB1" t="s">
        <v>2</v>
      </c>
      <c r="AC1" t="s">
        <v>3</v>
      </c>
      <c r="AD1" t="s">
        <v>4</v>
      </c>
      <c r="AE1" t="s">
        <v>5</v>
      </c>
      <c r="AF1" t="s">
        <v>0</v>
      </c>
      <c r="AG1" t="s">
        <v>14</v>
      </c>
      <c r="AH1" t="s">
        <v>2</v>
      </c>
      <c r="AI1" t="s">
        <v>3</v>
      </c>
      <c r="AJ1" t="s">
        <v>4</v>
      </c>
      <c r="AK1" t="s">
        <v>5</v>
      </c>
    </row>
    <row r="2" spans="2:37">
      <c r="B2" s="3">
        <v>3.71</v>
      </c>
      <c r="C2" s="4">
        <v>3.84715</v>
      </c>
      <c r="D2" s="5">
        <f>(B2-C2)^2</f>
        <v>0.0188101225</v>
      </c>
      <c r="E2" s="5" t="e">
        <f>(B2-avge06)^2</f>
        <v>#REF!</v>
      </c>
      <c r="F2" s="5"/>
      <c r="G2" s="5"/>
      <c r="H2" s="3">
        <v>3.71</v>
      </c>
      <c r="I2" s="3">
        <v>3.732055</v>
      </c>
      <c r="J2" s="12">
        <f>(H2-I2)^2</f>
        <v>0.000486423024999997</v>
      </c>
      <c r="K2" s="12" t="e">
        <f>(H2-avge06)^2</f>
        <v>#REF!</v>
      </c>
      <c r="L2" s="12"/>
      <c r="M2" s="12"/>
      <c r="N2" s="3">
        <v>3.71</v>
      </c>
      <c r="O2" s="3">
        <v>3.675046</v>
      </c>
      <c r="P2" s="13">
        <f>(N2-O2)^2</f>
        <v>0.001221782116</v>
      </c>
      <c r="Q2" s="13" t="e">
        <f>(N2-avge06)^2</f>
        <v>#REF!</v>
      </c>
      <c r="R2" s="13"/>
      <c r="S2" s="13"/>
      <c r="T2" s="3">
        <v>3.71</v>
      </c>
      <c r="U2" s="3">
        <v>3.673959</v>
      </c>
      <c r="V2" s="13">
        <f>(T2-U2)^2</f>
        <v>0.001298953681</v>
      </c>
      <c r="W2" s="13" t="e">
        <f>(T2-avge06)^2</f>
        <v>#REF!</v>
      </c>
      <c r="X2" s="13"/>
      <c r="Y2" s="13"/>
      <c r="Z2" s="3">
        <v>3.71</v>
      </c>
      <c r="AA2" s="3">
        <v>3.623173</v>
      </c>
      <c r="AB2" s="13">
        <f>(Z2-AA2)^2</f>
        <v>0.007538927929</v>
      </c>
      <c r="AC2" s="13" t="e">
        <f>(Z2-avge06)^2</f>
        <v>#REF!</v>
      </c>
      <c r="AD2" s="13"/>
      <c r="AE2" s="13"/>
      <c r="AF2" s="3">
        <v>3.71</v>
      </c>
      <c r="AG2" s="3">
        <v>3.771441</v>
      </c>
      <c r="AH2" s="13">
        <f>(AF2-AG2)^2</f>
        <v>0.00377499648099998</v>
      </c>
      <c r="AI2" s="13" t="e">
        <f>(AF2-avge06)^2</f>
        <v>#REF!</v>
      </c>
      <c r="AJ2" s="13"/>
      <c r="AK2" s="13"/>
    </row>
    <row r="3" spans="2:37">
      <c r="B3" s="3">
        <v>3.75</v>
      </c>
      <c r="C3" s="4">
        <v>3.609236</v>
      </c>
      <c r="D3" s="5">
        <f>(B3-C3)^2</f>
        <v>0.019814503696</v>
      </c>
      <c r="E3" s="5" t="e">
        <f>(B3-avge06)^2</f>
        <v>#REF!</v>
      </c>
      <c r="F3" s="5"/>
      <c r="G3" s="5"/>
      <c r="H3" s="3">
        <v>3.75</v>
      </c>
      <c r="I3" s="3">
        <v>3.522663</v>
      </c>
      <c r="J3" s="12">
        <f>(H3-I3)^2</f>
        <v>0.051682111569</v>
      </c>
      <c r="K3" s="12" t="e">
        <f>(H3-avge06)^2</f>
        <v>#REF!</v>
      </c>
      <c r="L3" s="12"/>
      <c r="M3" s="12"/>
      <c r="N3" s="3">
        <v>3.75</v>
      </c>
      <c r="O3" s="3">
        <v>3.53985</v>
      </c>
      <c r="P3" s="13">
        <f>(N3-O3)^2</f>
        <v>0.0441630225</v>
      </c>
      <c r="Q3" s="13" t="e">
        <f>(N3-avge06)^2</f>
        <v>#REF!</v>
      </c>
      <c r="R3" s="13"/>
      <c r="S3" s="13"/>
      <c r="T3" s="3">
        <v>3.75</v>
      </c>
      <c r="U3" s="3">
        <v>3.655103</v>
      </c>
      <c r="V3" s="13">
        <f>(T3-U3)^2</f>
        <v>0.009005440609</v>
      </c>
      <c r="W3" s="13" t="e">
        <f>(T3-avge06)^2</f>
        <v>#REF!</v>
      </c>
      <c r="X3" s="13"/>
      <c r="Y3" s="13"/>
      <c r="Z3" s="3">
        <v>3.75</v>
      </c>
      <c r="AA3" s="3">
        <v>3.686213</v>
      </c>
      <c r="AB3" s="13">
        <f>(Z3-AA3)^2</f>
        <v>0.004068781369</v>
      </c>
      <c r="AC3" s="13" t="e">
        <f>(Z3-avge06)^2</f>
        <v>#REF!</v>
      </c>
      <c r="AD3" s="13"/>
      <c r="AE3" s="13"/>
      <c r="AF3" s="3">
        <v>3.75</v>
      </c>
      <c r="AG3" s="3">
        <v>3.771734</v>
      </c>
      <c r="AH3" s="13">
        <f>(AF3-AG3)^2</f>
        <v>0.000472366755999997</v>
      </c>
      <c r="AI3" s="13" t="e">
        <f>(AF3-avge06)^2</f>
        <v>#REF!</v>
      </c>
      <c r="AJ3" s="13"/>
      <c r="AK3" s="13"/>
    </row>
    <row r="4" spans="2:37">
      <c r="B4" s="3">
        <v>2.91</v>
      </c>
      <c r="C4" s="4">
        <v>3.160864</v>
      </c>
      <c r="D4" s="5">
        <f>(B4-C4)^2</f>
        <v>0.062932746496</v>
      </c>
      <c r="E4" s="5" t="e">
        <f>(B4-avge06)^2</f>
        <v>#REF!</v>
      </c>
      <c r="F4" s="5"/>
      <c r="G4" s="5"/>
      <c r="H4" s="3">
        <v>2.91</v>
      </c>
      <c r="I4" s="3">
        <v>3.412721</v>
      </c>
      <c r="J4" s="12">
        <f>(H4-I4)^2</f>
        <v>0.252728403841</v>
      </c>
      <c r="K4" s="12" t="e">
        <f>(H4-avge06)^2</f>
        <v>#REF!</v>
      </c>
      <c r="L4" s="12"/>
      <c r="M4" s="12"/>
      <c r="N4" s="3">
        <v>2.91</v>
      </c>
      <c r="O4" s="3">
        <v>3.427449</v>
      </c>
      <c r="P4" s="13">
        <f>(N4-O4)^2</f>
        <v>0.267753467601</v>
      </c>
      <c r="Q4" s="13" t="e">
        <f>(N4-avge06)^2</f>
        <v>#REF!</v>
      </c>
      <c r="R4" s="13"/>
      <c r="S4" s="13"/>
      <c r="T4" s="3">
        <v>2.91</v>
      </c>
      <c r="U4" s="3">
        <v>3.24659</v>
      </c>
      <c r="V4" s="13">
        <f>(T4-U4)^2</f>
        <v>0.1132928281</v>
      </c>
      <c r="W4" s="13" t="e">
        <f>(T4-avge06)^2</f>
        <v>#REF!</v>
      </c>
      <c r="X4" s="13"/>
      <c r="Y4" s="13"/>
      <c r="Z4" s="3">
        <v>2.91</v>
      </c>
      <c r="AA4" s="3">
        <v>3.194657</v>
      </c>
      <c r="AB4" s="13">
        <f>(Z4-AA4)^2</f>
        <v>0.0810296076489998</v>
      </c>
      <c r="AC4" s="13" t="e">
        <f>(Z4-avge06)^2</f>
        <v>#REF!</v>
      </c>
      <c r="AD4" s="13"/>
      <c r="AE4" s="13"/>
      <c r="AF4" s="3">
        <v>2.91</v>
      </c>
      <c r="AG4" s="3">
        <v>3.272151</v>
      </c>
      <c r="AH4" s="13">
        <f>(AF4-AG4)^2</f>
        <v>0.131153346801</v>
      </c>
      <c r="AI4" s="13" t="e">
        <f>(AF4-avge06)^2</f>
        <v>#REF!</v>
      </c>
      <c r="AJ4" s="13"/>
      <c r="AK4" s="13"/>
    </row>
    <row r="5" spans="2:37">
      <c r="B5" s="3">
        <v>3.58</v>
      </c>
      <c r="C5" s="4">
        <v>3.596381</v>
      </c>
      <c r="D5" s="5">
        <f>(B5-C5)^2</f>
        <v>0.000268337160999999</v>
      </c>
      <c r="E5" s="5" t="e">
        <f>(B5-avge06)^2</f>
        <v>#REF!</v>
      </c>
      <c r="F5" s="5"/>
      <c r="G5" s="5"/>
      <c r="H5" s="3">
        <v>3.58</v>
      </c>
      <c r="I5" s="3">
        <v>3.489693</v>
      </c>
      <c r="J5" s="12">
        <f>(H5-I5)^2</f>
        <v>0.00815535424900003</v>
      </c>
      <c r="K5" s="12" t="e">
        <f>(H5-avge06)^2</f>
        <v>#REF!</v>
      </c>
      <c r="L5" s="12"/>
      <c r="M5" s="12"/>
      <c r="N5" s="3">
        <v>3.58</v>
      </c>
      <c r="O5" s="3">
        <v>3.529378</v>
      </c>
      <c r="P5" s="13">
        <f>(N5-O5)^2</f>
        <v>0.00256258688400002</v>
      </c>
      <c r="Q5" s="13" t="e">
        <f>(N5-avge06)^2</f>
        <v>#REF!</v>
      </c>
      <c r="R5" s="13"/>
      <c r="S5" s="13"/>
      <c r="T5" s="3">
        <v>3.58</v>
      </c>
      <c r="U5" s="3">
        <v>3.655103</v>
      </c>
      <c r="V5" s="13">
        <f>(T5-U5)^2</f>
        <v>0.00564046060899999</v>
      </c>
      <c r="W5" s="13" t="e">
        <f>(T5-avge06)^2</f>
        <v>#REF!</v>
      </c>
      <c r="X5" s="13"/>
      <c r="Y5" s="13"/>
      <c r="Z5" s="3">
        <v>3.58</v>
      </c>
      <c r="AA5" s="3">
        <v>3.712819</v>
      </c>
      <c r="AB5" s="13">
        <f>(Z5-AA5)^2</f>
        <v>0.017640886761</v>
      </c>
      <c r="AC5" s="13" t="e">
        <f>(Z5-avge06)^2</f>
        <v>#REF!</v>
      </c>
      <c r="AD5" s="13"/>
      <c r="AE5" s="13"/>
      <c r="AF5" s="3">
        <v>3.58</v>
      </c>
      <c r="AG5" s="3">
        <v>3.747115</v>
      </c>
      <c r="AH5" s="13">
        <f>(AF5-AG5)^2</f>
        <v>0.027927423225</v>
      </c>
      <c r="AI5" s="13" t="e">
        <f>(AF5-avge06)^2</f>
        <v>#REF!</v>
      </c>
      <c r="AJ5" s="13"/>
      <c r="AK5" s="13"/>
    </row>
    <row r="6" spans="1:37">
      <c r="A6" t="s">
        <v>9</v>
      </c>
      <c r="B6">
        <f>AVERAGE(B2:B5)</f>
        <v>3.4875</v>
      </c>
      <c r="C6" s="6">
        <f>AVERAGE(C2:D5)</f>
        <v>1.78943208873162</v>
      </c>
      <c r="D6" s="6">
        <f>SUM(D2:D5)</f>
        <v>0.101825709853</v>
      </c>
      <c r="E6" s="6" t="e">
        <f>SUM(E2:E5)</f>
        <v>#REF!</v>
      </c>
      <c r="F6" s="6" t="e">
        <f>1-D6/E6</f>
        <v>#REF!</v>
      </c>
      <c r="G6" s="6">
        <f>SQRT(D6/4)</f>
        <v>0.159550704991391</v>
      </c>
      <c r="H6">
        <f>AVERAGE(H2:H5)</f>
        <v>3.4875</v>
      </c>
      <c r="I6" s="14"/>
      <c r="J6" s="14">
        <f>SUM(J2:J5)</f>
        <v>0.313052292684</v>
      </c>
      <c r="K6" s="14" t="e">
        <f>SUM(K2:K5)</f>
        <v>#REF!</v>
      </c>
      <c r="L6" s="14" t="e">
        <f>1-J6/K6</f>
        <v>#REF!</v>
      </c>
      <c r="M6" s="14">
        <f>SQRT(J6/4)</f>
        <v>0.27975538095093</v>
      </c>
      <c r="N6">
        <f>AVERAGE(N2:N5)</f>
        <v>3.4875</v>
      </c>
      <c r="O6" s="14"/>
      <c r="P6" s="14">
        <f>SUM(P2:P5)</f>
        <v>0.315700859101</v>
      </c>
      <c r="Q6" s="14" t="e">
        <f>SUM(Q2:Q5)</f>
        <v>#REF!</v>
      </c>
      <c r="R6" s="14" t="e">
        <f>1-P6/Q6</f>
        <v>#REF!</v>
      </c>
      <c r="S6" s="14">
        <f>SQRT(P6/4)</f>
        <v>0.280936318006857</v>
      </c>
      <c r="T6">
        <f>AVERAGE(T2:T5)</f>
        <v>3.4875</v>
      </c>
      <c r="U6" s="14"/>
      <c r="V6" s="14">
        <f>SUM(V2:V5)</f>
        <v>0.129237682999</v>
      </c>
      <c r="W6" s="14" t="e">
        <f>SUM(W2:W5)</f>
        <v>#REF!</v>
      </c>
      <c r="X6" s="14" t="e">
        <f>1-V6/W6</f>
        <v>#REF!</v>
      </c>
      <c r="Y6" s="14">
        <f>SQRT(V6/4)</f>
        <v>0.17974821487222</v>
      </c>
      <c r="Z6">
        <f>AVERAGE(Z2:Z5)</f>
        <v>3.4875</v>
      </c>
      <c r="AA6" s="14"/>
      <c r="AB6" s="14">
        <f>SUM(AB2:AB5)</f>
        <v>0.110278203708</v>
      </c>
      <c r="AC6" s="14" t="e">
        <f>SUM(AC2:AC5)</f>
        <v>#REF!</v>
      </c>
      <c r="AD6" s="14" t="e">
        <f>1-AB6/AC6</f>
        <v>#REF!</v>
      </c>
      <c r="AE6" s="14">
        <f>SQRT(AB6/4)</f>
        <v>0.166040811028494</v>
      </c>
      <c r="AF6">
        <f>AVERAGE(AF2:AF5)</f>
        <v>3.4875</v>
      </c>
      <c r="AG6" s="14"/>
      <c r="AH6" s="14">
        <f>SUM(AH2:AH5)</f>
        <v>0.163328133263</v>
      </c>
      <c r="AI6" s="14" t="e">
        <f>SUM(AI2:AI5)</f>
        <v>#REF!</v>
      </c>
      <c r="AJ6" s="14" t="e">
        <f>1-AH6/AI6</f>
        <v>#REF!</v>
      </c>
      <c r="AK6" s="14">
        <f>SQRT(AH6/4)</f>
        <v>0.202069377481473</v>
      </c>
    </row>
    <row r="21" spans="2:37">
      <c r="B21" t="s">
        <v>0</v>
      </c>
      <c r="C21" t="s">
        <v>10</v>
      </c>
      <c r="D21" s="2" t="s">
        <v>2</v>
      </c>
      <c r="E21" s="2" t="s">
        <v>3</v>
      </c>
      <c r="F21" s="2" t="s">
        <v>4</v>
      </c>
      <c r="G21" s="2" t="s">
        <v>5</v>
      </c>
      <c r="H21" t="s">
        <v>0</v>
      </c>
      <c r="I21" t="s">
        <v>11</v>
      </c>
      <c r="J21" s="11" t="s">
        <v>2</v>
      </c>
      <c r="K21" s="11" t="s">
        <v>3</v>
      </c>
      <c r="L21" s="11" t="s">
        <v>4</v>
      </c>
      <c r="M21" s="11" t="s">
        <v>5</v>
      </c>
      <c r="N21" t="s">
        <v>0</v>
      </c>
      <c r="O21" t="s">
        <v>12</v>
      </c>
      <c r="P21" t="s">
        <v>2</v>
      </c>
      <c r="Q21" t="s">
        <v>3</v>
      </c>
      <c r="R21" t="s">
        <v>4</v>
      </c>
      <c r="S21" t="s">
        <v>5</v>
      </c>
      <c r="T21" t="s">
        <v>0</v>
      </c>
      <c r="U21" t="s">
        <v>8</v>
      </c>
      <c r="V21" t="s">
        <v>2</v>
      </c>
      <c r="W21" t="s">
        <v>3</v>
      </c>
      <c r="X21" t="s">
        <v>4</v>
      </c>
      <c r="Y21" t="s">
        <v>5</v>
      </c>
      <c r="Z21" t="s">
        <v>0</v>
      </c>
      <c r="AA21" t="s">
        <v>13</v>
      </c>
      <c r="AB21" t="s">
        <v>2</v>
      </c>
      <c r="AC21" t="s">
        <v>3</v>
      </c>
      <c r="AD21" t="s">
        <v>4</v>
      </c>
      <c r="AE21" t="s">
        <v>5</v>
      </c>
      <c r="AF21" t="s">
        <v>0</v>
      </c>
      <c r="AG21" t="s">
        <v>14</v>
      </c>
      <c r="AH21" t="s">
        <v>2</v>
      </c>
      <c r="AI21" t="s">
        <v>3</v>
      </c>
      <c r="AJ21" t="s">
        <v>4</v>
      </c>
      <c r="AK21" t="s">
        <v>5</v>
      </c>
    </row>
    <row r="22" spans="2:37">
      <c r="B22">
        <v>3.41</v>
      </c>
      <c r="C22">
        <v>3.08084755756399</v>
      </c>
      <c r="D22" s="5">
        <f>(B22-C22)^2</f>
        <v>0.108341330361591</v>
      </c>
      <c r="E22" s="5">
        <f t="shared" ref="E22:E27" si="0">(B22-avgLogEff)^2</f>
        <v>0.0373777777777778</v>
      </c>
      <c r="F22" s="5"/>
      <c r="G22" s="5"/>
      <c r="H22">
        <v>3.41</v>
      </c>
      <c r="I22">
        <v>3.15924965502441</v>
      </c>
      <c r="J22" s="5">
        <f t="shared" ref="J22:J27" si="1">(H22-I22)^2</f>
        <v>0.0628757355053776</v>
      </c>
      <c r="K22" s="5">
        <f t="shared" ref="K22:K27" si="2">(H22-avgLogEff)^2</f>
        <v>0.0373777777777778</v>
      </c>
      <c r="L22" s="12"/>
      <c r="M22" s="12"/>
      <c r="N22">
        <v>3.41</v>
      </c>
      <c r="O22">
        <v>3.24822130452678</v>
      </c>
      <c r="P22" s="5">
        <f t="shared" ref="P22:P27" si="3">(N22-O22)^2</f>
        <v>0.026172346309017</v>
      </c>
      <c r="Q22" s="5">
        <f t="shared" ref="Q22:Q27" si="4">(N22-avgLogEff)^2</f>
        <v>0.0373777777777778</v>
      </c>
      <c r="R22" s="13"/>
      <c r="S22" s="13"/>
      <c r="T22">
        <v>3.41</v>
      </c>
      <c r="U22">
        <v>3.28400068481138</v>
      </c>
      <c r="V22" s="5">
        <f t="shared" ref="V22:V27" si="5">(T22-U22)^2</f>
        <v>0.0158758274280013</v>
      </c>
      <c r="W22" s="5">
        <f t="shared" ref="W22:W27" si="6">(T22-avgLogEff)^2</f>
        <v>0.0373777777777778</v>
      </c>
      <c r="X22" s="13"/>
      <c r="Y22" s="13"/>
      <c r="Z22">
        <v>3.41</v>
      </c>
      <c r="AA22">
        <v>3.30539333333333</v>
      </c>
      <c r="AB22" s="5">
        <f t="shared" ref="AB22:AB27" si="7">(Z22-AA22)^2</f>
        <v>0.0109425547111119</v>
      </c>
      <c r="AC22" s="5">
        <f t="shared" ref="AC22:AC27" si="8">(Z22-avgLogEff)^2</f>
        <v>0.0373777777777778</v>
      </c>
      <c r="AD22" s="13"/>
      <c r="AE22" s="13"/>
      <c r="AF22">
        <v>3.41</v>
      </c>
      <c r="AG22">
        <v>3.23096680641174</v>
      </c>
      <c r="AH22" s="5">
        <f t="shared" ref="AH22:AH27" si="9">(AF22-AG22)^2</f>
        <v>0.0320528844064114</v>
      </c>
      <c r="AI22" s="5">
        <f t="shared" ref="AI22:AI27" si="10">(AF22-avgLogEff)^2</f>
        <v>0.0373777777777778</v>
      </c>
      <c r="AJ22" s="13"/>
      <c r="AK22" s="13"/>
    </row>
    <row r="23" spans="2:37">
      <c r="B23">
        <v>3.06</v>
      </c>
      <c r="C23">
        <v>3.16798356948779</v>
      </c>
      <c r="D23" s="5">
        <f t="shared" ref="D23:D27" si="11">(B23-C23)^2</f>
        <v>0.0116604512793243</v>
      </c>
      <c r="E23" s="5">
        <f t="shared" si="0"/>
        <v>0.0245444444444445</v>
      </c>
      <c r="F23" s="5"/>
      <c r="G23" s="5"/>
      <c r="H23">
        <v>3.06</v>
      </c>
      <c r="I23">
        <v>3.378297315596</v>
      </c>
      <c r="J23" s="5">
        <f t="shared" si="1"/>
        <v>0.10131318111562</v>
      </c>
      <c r="K23" s="5">
        <f t="shared" si="2"/>
        <v>0.0245444444444445</v>
      </c>
      <c r="L23" s="12"/>
      <c r="M23" s="12"/>
      <c r="N23">
        <v>3.06</v>
      </c>
      <c r="O23">
        <v>3.30547813035544</v>
      </c>
      <c r="P23" s="5">
        <f t="shared" si="3"/>
        <v>0.0602595124828024</v>
      </c>
      <c r="Q23" s="5">
        <f t="shared" si="4"/>
        <v>0.0245444444444445</v>
      </c>
      <c r="R23" s="13"/>
      <c r="S23" s="13"/>
      <c r="T23">
        <v>3.06</v>
      </c>
      <c r="U23">
        <v>3.31681108019843</v>
      </c>
      <c r="V23" s="5">
        <f t="shared" si="5"/>
        <v>0.0659519309126845</v>
      </c>
      <c r="W23" s="5">
        <f t="shared" si="6"/>
        <v>0.0245444444444445</v>
      </c>
      <c r="X23" s="13"/>
      <c r="Y23" s="13"/>
      <c r="Z23">
        <v>3.06</v>
      </c>
      <c r="AA23">
        <v>3.34241733333333</v>
      </c>
      <c r="AB23" s="5">
        <f t="shared" si="7"/>
        <v>0.0797595501671092</v>
      </c>
      <c r="AC23" s="5">
        <f t="shared" si="8"/>
        <v>0.0245444444444445</v>
      </c>
      <c r="AD23" s="13"/>
      <c r="AE23" s="13"/>
      <c r="AF23">
        <v>3.06</v>
      </c>
      <c r="AG23">
        <v>3.35425567626953</v>
      </c>
      <c r="AH23" s="5">
        <f t="shared" si="9"/>
        <v>0.0865864030168384</v>
      </c>
      <c r="AI23" s="5">
        <f t="shared" si="10"/>
        <v>0.0245444444444445</v>
      </c>
      <c r="AJ23" s="13"/>
      <c r="AK23" s="13"/>
    </row>
    <row r="24" spans="2:37">
      <c r="B24">
        <v>2.74</v>
      </c>
      <c r="C24">
        <v>2.97409252536898</v>
      </c>
      <c r="D24" s="5">
        <f t="shared" si="11"/>
        <v>0.0547993104336265</v>
      </c>
      <c r="E24" s="5">
        <f t="shared" si="0"/>
        <v>0.227211111111111</v>
      </c>
      <c r="F24" s="5"/>
      <c r="G24" s="5"/>
      <c r="H24">
        <v>2.74</v>
      </c>
      <c r="I24">
        <v>3.28451466949557</v>
      </c>
      <c r="J24" s="5">
        <f t="shared" si="1"/>
        <v>0.296496225295869</v>
      </c>
      <c r="K24" s="5">
        <f t="shared" si="2"/>
        <v>0.227211111111111</v>
      </c>
      <c r="L24" s="12"/>
      <c r="M24" s="12"/>
      <c r="N24">
        <v>2.74</v>
      </c>
      <c r="O24">
        <v>3.08602491268655</v>
      </c>
      <c r="P24" s="5">
        <f t="shared" si="3"/>
        <v>0.119733240199734</v>
      </c>
      <c r="Q24" s="5">
        <f t="shared" si="4"/>
        <v>0.227211111111111</v>
      </c>
      <c r="R24" s="13"/>
      <c r="S24" s="13"/>
      <c r="T24">
        <v>2.74</v>
      </c>
      <c r="U24">
        <v>2.70297049697474</v>
      </c>
      <c r="V24" s="5">
        <f t="shared" si="5"/>
        <v>0.00137118409429775</v>
      </c>
      <c r="W24" s="5">
        <f t="shared" si="6"/>
        <v>0.227211111111111</v>
      </c>
      <c r="X24" s="13"/>
      <c r="Y24" s="13"/>
      <c r="Z24">
        <v>2.74</v>
      </c>
      <c r="AA24">
        <v>3.15506899999999</v>
      </c>
      <c r="AB24" s="5">
        <f t="shared" si="7"/>
        <v>0.172282274760991</v>
      </c>
      <c r="AC24" s="5">
        <f t="shared" si="8"/>
        <v>0.227211111111111</v>
      </c>
      <c r="AD24" s="13"/>
      <c r="AE24" s="13"/>
      <c r="AF24">
        <v>2.74</v>
      </c>
      <c r="AG24">
        <v>2.87797522544861</v>
      </c>
      <c r="AH24" s="5">
        <f t="shared" si="9"/>
        <v>0.0190371628375947</v>
      </c>
      <c r="AI24" s="5">
        <f t="shared" si="10"/>
        <v>0.227211111111111</v>
      </c>
      <c r="AJ24" s="13"/>
      <c r="AK24" s="13"/>
    </row>
    <row r="25" spans="2:37">
      <c r="B25">
        <v>3.36</v>
      </c>
      <c r="C25">
        <v>3.61144883638395</v>
      </c>
      <c r="D25" s="5">
        <f t="shared" si="11"/>
        <v>0.0632265173188424</v>
      </c>
      <c r="E25" s="5">
        <f t="shared" si="0"/>
        <v>0.0205444444444444</v>
      </c>
      <c r="F25" s="5"/>
      <c r="G25" s="5"/>
      <c r="H25">
        <v>3.36</v>
      </c>
      <c r="I25">
        <v>3.47873605029163</v>
      </c>
      <c r="J25" s="5">
        <f t="shared" si="1"/>
        <v>0.0140982496388565</v>
      </c>
      <c r="K25" s="5">
        <f t="shared" si="2"/>
        <v>0.0205444444444444</v>
      </c>
      <c r="L25" s="12"/>
      <c r="M25" s="12"/>
      <c r="N25">
        <v>3.36</v>
      </c>
      <c r="O25">
        <v>3.40757416624961</v>
      </c>
      <c r="P25" s="5">
        <f t="shared" si="3"/>
        <v>0.00226330129434554</v>
      </c>
      <c r="Q25" s="5">
        <f t="shared" si="4"/>
        <v>0.0205444444444444</v>
      </c>
      <c r="R25" s="13"/>
      <c r="S25" s="13"/>
      <c r="T25">
        <v>3.36</v>
      </c>
      <c r="U25">
        <v>3.44805266174664</v>
      </c>
      <c r="V25" s="5">
        <f t="shared" si="5"/>
        <v>0.00775327124066819</v>
      </c>
      <c r="W25" s="5">
        <f t="shared" si="6"/>
        <v>0.0205444444444444</v>
      </c>
      <c r="X25" s="13"/>
      <c r="Y25" s="13"/>
      <c r="Z25">
        <v>3.36</v>
      </c>
      <c r="AA25">
        <v>3.35133649999999</v>
      </c>
      <c r="AB25" s="5">
        <f t="shared" si="7"/>
        <v>7.50562322501682e-5</v>
      </c>
      <c r="AC25" s="5">
        <f t="shared" si="8"/>
        <v>0.0205444444444444</v>
      </c>
      <c r="AD25" s="13"/>
      <c r="AE25" s="13"/>
      <c r="AF25">
        <v>3.36</v>
      </c>
      <c r="AG25">
        <v>3.48874831199646</v>
      </c>
      <c r="AH25" s="5">
        <f t="shared" si="9"/>
        <v>0.0165761278419378</v>
      </c>
      <c r="AI25" s="5">
        <f t="shared" si="10"/>
        <v>0.0205444444444444</v>
      </c>
      <c r="AJ25" s="13"/>
      <c r="AK25" s="13"/>
    </row>
    <row r="26" spans="2:37">
      <c r="B26">
        <v>3.96</v>
      </c>
      <c r="C26">
        <v>4.00500106399761</v>
      </c>
      <c r="D26" s="5">
        <f t="shared" si="11"/>
        <v>0.00202509576091699</v>
      </c>
      <c r="E26" s="5">
        <f t="shared" si="0"/>
        <v>0.552544444444444</v>
      </c>
      <c r="F26" s="5"/>
      <c r="G26" s="5"/>
      <c r="H26">
        <v>3.96</v>
      </c>
      <c r="I26">
        <v>3.83684069132953</v>
      </c>
      <c r="J26" s="5">
        <f t="shared" si="1"/>
        <v>0.0151682153121881</v>
      </c>
      <c r="K26" s="5">
        <f t="shared" si="2"/>
        <v>0.552544444444444</v>
      </c>
      <c r="L26" s="12"/>
      <c r="M26" s="12"/>
      <c r="N26">
        <v>3.96</v>
      </c>
      <c r="O26">
        <v>3.98521262796129</v>
      </c>
      <c r="P26" s="5">
        <f t="shared" si="3"/>
        <v>0.000635676608714416</v>
      </c>
      <c r="Q26" s="5">
        <f t="shared" si="4"/>
        <v>0.552544444444444</v>
      </c>
      <c r="R26" s="13"/>
      <c r="S26" s="13"/>
      <c r="T26">
        <v>3.96</v>
      </c>
      <c r="U26">
        <v>4.03637313700575</v>
      </c>
      <c r="V26" s="5">
        <f t="shared" si="5"/>
        <v>0.00583285605609908</v>
      </c>
      <c r="W26" s="5">
        <f t="shared" si="6"/>
        <v>0.552544444444444</v>
      </c>
      <c r="X26" s="13"/>
      <c r="Y26" s="13"/>
      <c r="Z26">
        <v>3.96</v>
      </c>
      <c r="AA26">
        <v>4.07598416666666</v>
      </c>
      <c r="AB26" s="5">
        <f t="shared" si="7"/>
        <v>0.0134523269173596</v>
      </c>
      <c r="AC26" s="5">
        <f t="shared" si="8"/>
        <v>0.552544444444444</v>
      </c>
      <c r="AD26" s="13"/>
      <c r="AE26" s="13"/>
      <c r="AF26">
        <v>3.96</v>
      </c>
      <c r="AG26">
        <v>4.12193536758423</v>
      </c>
      <c r="AH26" s="5">
        <f t="shared" si="9"/>
        <v>0.0262230632746398</v>
      </c>
      <c r="AI26" s="5">
        <f t="shared" si="10"/>
        <v>0.552544444444444</v>
      </c>
      <c r="AJ26" s="13"/>
      <c r="AK26" s="13"/>
    </row>
    <row r="27" spans="2:37">
      <c r="B27">
        <v>2.77</v>
      </c>
      <c r="C27">
        <v>2.98165790604076</v>
      </c>
      <c r="D27" s="5">
        <f t="shared" si="11"/>
        <v>0.0447990691895592</v>
      </c>
      <c r="E27" s="5">
        <f t="shared" si="0"/>
        <v>0.199511111111111</v>
      </c>
      <c r="F27" s="5"/>
      <c r="G27" s="5"/>
      <c r="H27">
        <v>2.77</v>
      </c>
      <c r="I27">
        <v>3.31565371069003</v>
      </c>
      <c r="J27" s="5">
        <f t="shared" si="1"/>
        <v>0.297737971989799</v>
      </c>
      <c r="K27" s="5">
        <f t="shared" si="2"/>
        <v>0.199511111111111</v>
      </c>
      <c r="L27" s="12"/>
      <c r="M27" s="12"/>
      <c r="N27">
        <v>2.77</v>
      </c>
      <c r="O27">
        <v>3.16945198425022</v>
      </c>
      <c r="P27" s="5">
        <f t="shared" si="3"/>
        <v>0.159561887721438</v>
      </c>
      <c r="Q27" s="5">
        <f t="shared" si="4"/>
        <v>0.199511111111111</v>
      </c>
      <c r="R27" s="13"/>
      <c r="S27" s="13"/>
      <c r="T27">
        <v>2.77</v>
      </c>
      <c r="U27">
        <v>2.98732725699584</v>
      </c>
      <c r="V27" s="5">
        <f t="shared" si="5"/>
        <v>0.0472311366333358</v>
      </c>
      <c r="W27" s="5">
        <f t="shared" si="6"/>
        <v>0.199511111111111</v>
      </c>
      <c r="X27" s="13"/>
      <c r="Y27" s="13"/>
      <c r="Z27">
        <v>2.77</v>
      </c>
      <c r="AA27">
        <v>3.20823999999999</v>
      </c>
      <c r="AB27" s="5">
        <f t="shared" si="7"/>
        <v>0.192054297599991</v>
      </c>
      <c r="AC27" s="5">
        <f t="shared" si="8"/>
        <v>0.199511111111111</v>
      </c>
      <c r="AD27" s="13"/>
      <c r="AE27" s="13"/>
      <c r="AF27">
        <v>2.77</v>
      </c>
      <c r="AG27">
        <v>3.01732397079468</v>
      </c>
      <c r="AH27" s="5">
        <f t="shared" si="9"/>
        <v>0.0611691465296477</v>
      </c>
      <c r="AI27" s="5">
        <f t="shared" si="10"/>
        <v>0.199511111111111</v>
      </c>
      <c r="AJ27" s="13"/>
      <c r="AK27" s="13"/>
    </row>
    <row r="28" spans="1:37">
      <c r="A28" t="s">
        <v>9</v>
      </c>
      <c r="B28" s="8">
        <f>AVERAGE(B22:B27)</f>
        <v>3.21666666666667</v>
      </c>
      <c r="C28" s="6">
        <f>AVERAGE(C22:D27)</f>
        <v>1.67549026943224</v>
      </c>
      <c r="D28" s="6">
        <f>SUM(D22:D27)</f>
        <v>0.28485177434386</v>
      </c>
      <c r="E28" s="6">
        <f>SUM(E22:E27)</f>
        <v>1.06173333333333</v>
      </c>
      <c r="F28" s="6">
        <f>1-D28/E28</f>
        <v>0.731710623184861</v>
      </c>
      <c r="G28" s="6">
        <f>SQRT(D28/6)</f>
        <v>0.217888264309891</v>
      </c>
      <c r="H28">
        <f>AVERAGE(H22:H27)</f>
        <v>3.21666666666667</v>
      </c>
      <c r="I28" s="14"/>
      <c r="J28" s="14">
        <f>SUM(J22:J27)</f>
        <v>0.78768957885771</v>
      </c>
      <c r="K28" s="14">
        <f>SUM(K22:K27)</f>
        <v>1.06173333333333</v>
      </c>
      <c r="L28" s="14">
        <f>1-J28/K28</f>
        <v>0.258109777542028</v>
      </c>
      <c r="M28" s="6">
        <f>SQRT(J28/6)</f>
        <v>0.362328023310763</v>
      </c>
      <c r="N28">
        <f>AVERAGE(N22:N27)</f>
        <v>3.21666666666667</v>
      </c>
      <c r="O28" s="14"/>
      <c r="P28" s="14">
        <f>SUM(P22:P27)</f>
        <v>0.368625964616052</v>
      </c>
      <c r="Q28" s="14">
        <f>SUM(Q22:Q27)</f>
        <v>1.06173333333333</v>
      </c>
      <c r="R28" s="14">
        <f>1-P28/Q28</f>
        <v>0.652807392362126</v>
      </c>
      <c r="S28" s="6">
        <f>SQRT(P28/6)</f>
        <v>0.247866215465807</v>
      </c>
      <c r="T28">
        <f>AVERAGE(T22:T27)</f>
        <v>3.21666666666667</v>
      </c>
      <c r="U28" s="14"/>
      <c r="V28" s="14">
        <f>SUM(V22:V27)</f>
        <v>0.144016206365087</v>
      </c>
      <c r="W28" s="14">
        <f>SUM(W22:W27)</f>
        <v>1.06173333333333</v>
      </c>
      <c r="X28" s="14">
        <f>1-V28/W28</f>
        <v>0.864357459784233</v>
      </c>
      <c r="Y28" s="6">
        <f>SQRT(V28/6)</f>
        <v>0.154928051239431</v>
      </c>
      <c r="Z28">
        <f>AVERAGE(Z22:Z27)</f>
        <v>3.21666666666667</v>
      </c>
      <c r="AA28" s="14"/>
      <c r="AB28" s="14">
        <f>SUM(AB22:AB27)</f>
        <v>0.468566060388814</v>
      </c>
      <c r="AC28" s="14">
        <f>SUM(AC22:AC27)</f>
        <v>1.06173333333333</v>
      </c>
      <c r="AD28" s="14">
        <f>1-AB28/AC28</f>
        <v>0.558678205084001</v>
      </c>
      <c r="AE28" s="6">
        <f>SQRT(AB28/6)</f>
        <v>0.279453651609951</v>
      </c>
      <c r="AF28">
        <f>AVERAGE(AF22:AF27)</f>
        <v>3.21666666666667</v>
      </c>
      <c r="AG28" s="14"/>
      <c r="AH28" s="14">
        <f>SUM(AH22:AH27)</f>
        <v>0.24164478790707</v>
      </c>
      <c r="AI28" s="14">
        <f>SUM(AI22:AI27)</f>
        <v>1.06173333333333</v>
      </c>
      <c r="AJ28" s="14">
        <f>1-AH28/AI28</f>
        <v>0.772405386248521</v>
      </c>
      <c r="AK28" s="6">
        <f>SQRT(AH28/6)</f>
        <v>0.200684158113801</v>
      </c>
    </row>
    <row r="31" spans="2:31">
      <c r="B31">
        <v>3.41</v>
      </c>
      <c r="C31" t="s">
        <v>17</v>
      </c>
      <c r="D31" s="2" t="s">
        <v>2</v>
      </c>
      <c r="E31" s="2" t="s">
        <v>3</v>
      </c>
      <c r="F31" s="2" t="s">
        <v>4</v>
      </c>
      <c r="G31" s="2" t="s">
        <v>5</v>
      </c>
      <c r="H31" t="s">
        <v>0</v>
      </c>
      <c r="I31" t="s">
        <v>18</v>
      </c>
      <c r="J31" s="11" t="s">
        <v>2</v>
      </c>
      <c r="K31" s="11" t="s">
        <v>3</v>
      </c>
      <c r="L31" s="11" t="s">
        <v>4</v>
      </c>
      <c r="M31" s="11" t="s">
        <v>5</v>
      </c>
      <c r="N31" t="s">
        <v>0</v>
      </c>
      <c r="O31" t="s">
        <v>6</v>
      </c>
      <c r="P31" t="s">
        <v>2</v>
      </c>
      <c r="Q31" t="s">
        <v>3</v>
      </c>
      <c r="R31" t="s">
        <v>4</v>
      </c>
      <c r="S31" t="s">
        <v>5</v>
      </c>
      <c r="T31" t="s">
        <v>0</v>
      </c>
      <c r="U31" t="s">
        <v>15</v>
      </c>
      <c r="V31" s="11" t="s">
        <v>2</v>
      </c>
      <c r="W31" s="11" t="s">
        <v>3</v>
      </c>
      <c r="X31" s="11" t="s">
        <v>4</v>
      </c>
      <c r="Y31" s="11" t="s">
        <v>5</v>
      </c>
      <c r="Z31" t="s">
        <v>0</v>
      </c>
      <c r="AA31" t="s">
        <v>19</v>
      </c>
      <c r="AB31" t="s">
        <v>2</v>
      </c>
      <c r="AC31" t="s">
        <v>3</v>
      </c>
      <c r="AD31" t="s">
        <v>4</v>
      </c>
      <c r="AE31" t="s">
        <v>5</v>
      </c>
    </row>
    <row r="32" spans="2:31">
      <c r="B32">
        <v>3.41</v>
      </c>
      <c r="C32">
        <v>3.23780843411944</v>
      </c>
      <c r="D32" s="5">
        <f>(B32-C32)^2</f>
        <v>0.0296499353603992</v>
      </c>
      <c r="E32" s="5">
        <f t="shared" ref="E32:E37" si="12">(B32-avgLogEff)^2</f>
        <v>0.0373777777777778</v>
      </c>
      <c r="F32" s="5"/>
      <c r="G32" s="5"/>
      <c r="H32">
        <v>3.41</v>
      </c>
      <c r="I32">
        <v>3.24588709030784</v>
      </c>
      <c r="J32" s="5">
        <f t="shared" ref="J32:J37" si="13">(H32-I32)^2</f>
        <v>0.0269330471276271</v>
      </c>
      <c r="K32" s="5">
        <f t="shared" ref="K32:K37" si="14">(H32-avgLogEff)^2</f>
        <v>0.0373777777777778</v>
      </c>
      <c r="L32" s="12"/>
      <c r="M32" s="12"/>
      <c r="N32">
        <v>3.41</v>
      </c>
      <c r="O32">
        <v>3.25904015968832</v>
      </c>
      <c r="P32" s="5">
        <f t="shared" ref="P32:P37" si="15">(N32-O32)^2</f>
        <v>0.0227888733869279</v>
      </c>
      <c r="Q32" s="5">
        <f t="shared" ref="Q32:Q37" si="16">(N32-avgLogEff)^2</f>
        <v>0.0373777777777778</v>
      </c>
      <c r="R32" s="13"/>
      <c r="S32" s="13"/>
      <c r="T32">
        <v>3.41</v>
      </c>
      <c r="U32">
        <v>3.33062332322713</v>
      </c>
      <c r="V32" s="5">
        <f t="shared" ref="V32:V37" si="17">(T32-U32)^2</f>
        <v>0.00630065681550469</v>
      </c>
      <c r="W32" s="5">
        <f t="shared" ref="W32:W37" si="18">(T32-avgLogEff)^2</f>
        <v>0.0373777777777778</v>
      </c>
      <c r="X32" s="12"/>
      <c r="Y32" s="12"/>
      <c r="Z32">
        <v>3.41</v>
      </c>
      <c r="AA32">
        <v>3.33079166426211</v>
      </c>
      <c r="AB32" s="5">
        <f t="shared" ref="AB32:AB37" si="19">(Z32-AA32)^2</f>
        <v>0.00627396045036635</v>
      </c>
      <c r="AC32" s="5">
        <f t="shared" ref="AC32:AC37" si="20">(Z32-avgLogEff)^2</f>
        <v>0.0373777777777778</v>
      </c>
      <c r="AD32" s="13"/>
      <c r="AE32" s="13"/>
    </row>
    <row r="33" spans="2:31">
      <c r="B33">
        <v>3.06</v>
      </c>
      <c r="C33">
        <v>3.17380020257747</v>
      </c>
      <c r="D33" s="5">
        <f t="shared" ref="D33:D37" si="21">(B33-C33)^2</f>
        <v>0.0129504861066732</v>
      </c>
      <c r="E33" s="5">
        <f t="shared" si="12"/>
        <v>0.0245444444444445</v>
      </c>
      <c r="F33" s="5"/>
      <c r="G33" s="5"/>
      <c r="H33">
        <v>3.06</v>
      </c>
      <c r="I33">
        <v>3.21166866646441</v>
      </c>
      <c r="J33" s="5">
        <f t="shared" si="13"/>
        <v>0.0230033843870924</v>
      </c>
      <c r="K33" s="5">
        <f t="shared" si="14"/>
        <v>0.0245444444444445</v>
      </c>
      <c r="L33" s="12"/>
      <c r="M33" s="12"/>
      <c r="N33">
        <v>3.06</v>
      </c>
      <c r="O33">
        <v>3.27987922552591</v>
      </c>
      <c r="P33" s="5">
        <f t="shared" si="15"/>
        <v>0.048346873817874</v>
      </c>
      <c r="Q33" s="5">
        <f t="shared" si="16"/>
        <v>0.0245444444444445</v>
      </c>
      <c r="R33" s="13"/>
      <c r="S33" s="13"/>
      <c r="T33">
        <v>3.06</v>
      </c>
      <c r="U33">
        <v>3.35227280859788</v>
      </c>
      <c r="V33" s="5">
        <f t="shared" si="17"/>
        <v>0.0854233946456929</v>
      </c>
      <c r="W33" s="5">
        <f t="shared" si="18"/>
        <v>0.0245444444444445</v>
      </c>
      <c r="X33" s="12"/>
      <c r="Y33" s="12"/>
      <c r="Z33">
        <v>3.06</v>
      </c>
      <c r="AA33">
        <v>3.35440466432488</v>
      </c>
      <c r="AB33" s="5">
        <f t="shared" si="19"/>
        <v>0.0866741063762453</v>
      </c>
      <c r="AC33" s="5">
        <f t="shared" si="20"/>
        <v>0.0245444444444445</v>
      </c>
      <c r="AD33" s="13"/>
      <c r="AE33" s="13"/>
    </row>
    <row r="34" spans="2:31">
      <c r="B34">
        <v>2.74</v>
      </c>
      <c r="C34">
        <v>3.0042071431588</v>
      </c>
      <c r="D34" s="5">
        <f t="shared" si="21"/>
        <v>0.0698054144961345</v>
      </c>
      <c r="E34" s="5">
        <f t="shared" si="12"/>
        <v>0.227211111111111</v>
      </c>
      <c r="F34" s="5"/>
      <c r="G34" s="5"/>
      <c r="H34">
        <v>2.74</v>
      </c>
      <c r="I34">
        <v>3.07046138567347</v>
      </c>
      <c r="J34" s="5">
        <f t="shared" si="13"/>
        <v>0.10920472742123</v>
      </c>
      <c r="K34" s="5">
        <f t="shared" si="14"/>
        <v>0.227211111111111</v>
      </c>
      <c r="L34" s="12"/>
      <c r="M34" s="12"/>
      <c r="N34">
        <v>2.74</v>
      </c>
      <c r="O34">
        <v>3.06093135774567</v>
      </c>
      <c r="P34" s="5">
        <f t="shared" si="15"/>
        <v>0.102996936384479</v>
      </c>
      <c r="Q34" s="5">
        <f t="shared" si="16"/>
        <v>0.227211111111111</v>
      </c>
      <c r="R34" s="13"/>
      <c r="S34" s="13"/>
      <c r="T34">
        <v>2.74</v>
      </c>
      <c r="U34">
        <v>3.32144927637122</v>
      </c>
      <c r="V34" s="5">
        <f t="shared" si="17"/>
        <v>0.338083260992615</v>
      </c>
      <c r="W34" s="5">
        <f t="shared" si="18"/>
        <v>0.227211111111111</v>
      </c>
      <c r="X34" s="12"/>
      <c r="Y34" s="12"/>
      <c r="Z34">
        <v>2.74</v>
      </c>
      <c r="AA34">
        <v>3.32388733825948</v>
      </c>
      <c r="AB34" s="5">
        <f t="shared" si="19"/>
        <v>0.34092442377974</v>
      </c>
      <c r="AC34" s="5">
        <f t="shared" si="20"/>
        <v>0.227211111111111</v>
      </c>
      <c r="AD34" s="13"/>
      <c r="AE34" s="13"/>
    </row>
    <row r="35" spans="2:31">
      <c r="B35">
        <v>3.36</v>
      </c>
      <c r="C35">
        <v>3.30598945100957</v>
      </c>
      <c r="D35" s="5">
        <f t="shared" si="21"/>
        <v>0.00291713940224763</v>
      </c>
      <c r="E35" s="5">
        <f t="shared" si="12"/>
        <v>0.0205444444444444</v>
      </c>
      <c r="F35" s="5"/>
      <c r="G35" s="5"/>
      <c r="H35">
        <v>3.36</v>
      </c>
      <c r="I35">
        <v>3.31957510098282</v>
      </c>
      <c r="J35" s="5">
        <f t="shared" si="13"/>
        <v>0.0016341724605492</v>
      </c>
      <c r="K35" s="5">
        <f t="shared" si="14"/>
        <v>0.0205444444444444</v>
      </c>
      <c r="L35" s="12"/>
      <c r="M35" s="12"/>
      <c r="N35">
        <v>3.36</v>
      </c>
      <c r="O35">
        <v>3.36487207238564</v>
      </c>
      <c r="P35" s="5">
        <f t="shared" si="15"/>
        <v>2.3737089330915e-5</v>
      </c>
      <c r="Q35" s="5">
        <f t="shared" si="16"/>
        <v>0.0205444444444444</v>
      </c>
      <c r="R35" s="13"/>
      <c r="S35" s="13"/>
      <c r="T35">
        <v>3.36</v>
      </c>
      <c r="U35">
        <v>3.41471284346602</v>
      </c>
      <c r="V35" s="5">
        <f t="shared" si="17"/>
        <v>0.00299349524013721</v>
      </c>
      <c r="W35" s="5">
        <f t="shared" si="18"/>
        <v>0.0205444444444444</v>
      </c>
      <c r="X35" s="12"/>
      <c r="Y35" s="12"/>
      <c r="Z35">
        <v>3.36</v>
      </c>
      <c r="AA35">
        <v>3.41686666958037</v>
      </c>
      <c r="AB35" s="5">
        <f t="shared" si="19"/>
        <v>0.00323381810916299</v>
      </c>
      <c r="AC35" s="5">
        <f t="shared" si="20"/>
        <v>0.0205444444444444</v>
      </c>
      <c r="AD35" s="13"/>
      <c r="AE35" s="13"/>
    </row>
    <row r="36" spans="2:31">
      <c r="B36">
        <v>3.96</v>
      </c>
      <c r="C36">
        <v>3.94028814682454</v>
      </c>
      <c r="D36" s="5">
        <f t="shared" si="21"/>
        <v>0.000388557155610896</v>
      </c>
      <c r="E36" s="5">
        <f t="shared" si="12"/>
        <v>0.552544444444444</v>
      </c>
      <c r="F36" s="5"/>
      <c r="G36" s="5"/>
      <c r="H36">
        <v>3.96</v>
      </c>
      <c r="I36">
        <v>3.87482565142307</v>
      </c>
      <c r="J36" s="5">
        <f t="shared" si="13"/>
        <v>0.00725466965550435</v>
      </c>
      <c r="K36" s="5">
        <f t="shared" si="14"/>
        <v>0.552544444444444</v>
      </c>
      <c r="L36" s="12"/>
      <c r="M36" s="12"/>
      <c r="N36">
        <v>3.96</v>
      </c>
      <c r="O36">
        <v>3.92892692623639</v>
      </c>
      <c r="P36" s="5">
        <f t="shared" si="15"/>
        <v>0.000965535913118749</v>
      </c>
      <c r="Q36" s="5">
        <f t="shared" si="16"/>
        <v>0.552544444444444</v>
      </c>
      <c r="R36" s="13"/>
      <c r="S36" s="13"/>
      <c r="T36">
        <v>3.96</v>
      </c>
      <c r="U36">
        <v>3.99100879267317</v>
      </c>
      <c r="V36" s="5">
        <f t="shared" si="17"/>
        <v>0.00096154522304765</v>
      </c>
      <c r="W36" s="5">
        <f t="shared" si="18"/>
        <v>0.552544444444444</v>
      </c>
      <c r="X36" s="12"/>
      <c r="Y36" s="12"/>
      <c r="Z36">
        <v>3.96</v>
      </c>
      <c r="AA36">
        <v>3.99427714834991</v>
      </c>
      <c r="AB36" s="5">
        <f t="shared" si="19"/>
        <v>0.00117492289900174</v>
      </c>
      <c r="AC36" s="5">
        <f t="shared" si="20"/>
        <v>0.552544444444444</v>
      </c>
      <c r="AD36" s="13"/>
      <c r="AE36" s="13"/>
    </row>
    <row r="37" spans="2:31">
      <c r="B37">
        <v>2.77</v>
      </c>
      <c r="C37">
        <v>3.05651854478941</v>
      </c>
      <c r="D37" s="5">
        <f t="shared" si="21"/>
        <v>0.0820928765082412</v>
      </c>
      <c r="E37" s="5">
        <f t="shared" si="12"/>
        <v>0.199511111111111</v>
      </c>
      <c r="F37" s="5"/>
      <c r="G37" s="5"/>
      <c r="H37">
        <v>2.77</v>
      </c>
      <c r="I37">
        <v>3.02660816532465</v>
      </c>
      <c r="J37" s="5">
        <f t="shared" si="13"/>
        <v>0.0658477505112829</v>
      </c>
      <c r="K37" s="5">
        <f t="shared" si="14"/>
        <v>0.199511111111111</v>
      </c>
      <c r="L37" s="12"/>
      <c r="M37" s="12"/>
      <c r="N37">
        <v>2.77</v>
      </c>
      <c r="O37">
        <v>3.14482490379747</v>
      </c>
      <c r="P37" s="5">
        <f t="shared" si="15"/>
        <v>0.140493708506783</v>
      </c>
      <c r="Q37" s="5">
        <f t="shared" si="16"/>
        <v>0.199511111111111</v>
      </c>
      <c r="R37" s="13"/>
      <c r="S37" s="13"/>
      <c r="T37">
        <v>2.77</v>
      </c>
      <c r="U37">
        <v>3.44233219599285</v>
      </c>
      <c r="V37" s="5">
        <f t="shared" si="17"/>
        <v>0.452030581768568</v>
      </c>
      <c r="W37" s="5">
        <f t="shared" si="18"/>
        <v>0.199511111111111</v>
      </c>
      <c r="X37" s="12"/>
      <c r="Y37" s="12"/>
      <c r="Z37">
        <v>2.77</v>
      </c>
      <c r="AA37">
        <v>3.4472669133107</v>
      </c>
      <c r="AB37" s="5">
        <f t="shared" si="19"/>
        <v>0.458690471865403</v>
      </c>
      <c r="AC37" s="5">
        <f t="shared" si="20"/>
        <v>0.199511111111111</v>
      </c>
      <c r="AD37" s="13"/>
      <c r="AE37" s="13"/>
    </row>
    <row r="38" spans="3:31">
      <c r="C38" s="6">
        <f>AVERAGE(C32:D37)</f>
        <v>1.65970136095904</v>
      </c>
      <c r="D38" s="6">
        <f>SUM(D32:D37)</f>
        <v>0.197804409029307</v>
      </c>
      <c r="E38" s="6">
        <f>SUM(E32:E37)</f>
        <v>1.06173333333333</v>
      </c>
      <c r="F38" s="6">
        <f>1-D38/E38</f>
        <v>0.813696713836519</v>
      </c>
      <c r="G38" s="6">
        <f>SQRT(D38/6)</f>
        <v>0.181569274671913</v>
      </c>
      <c r="H38">
        <f>AVERAGE(H32:H37)</f>
        <v>3.21666666666667</v>
      </c>
      <c r="I38" s="14"/>
      <c r="J38" s="14">
        <f>SUM(J32:J37)</f>
        <v>0.233877751563286</v>
      </c>
      <c r="K38" s="14">
        <f>SUM(K32:K37)</f>
        <v>1.06173333333333</v>
      </c>
      <c r="L38" s="14">
        <f>1-J38/K38</f>
        <v>0.779720816686595</v>
      </c>
      <c r="M38" s="6">
        <f>SQRT(J38/6)</f>
        <v>0.197432584090235</v>
      </c>
      <c r="N38">
        <f>AVERAGE(N32:N37)</f>
        <v>3.21666666666667</v>
      </c>
      <c r="O38" s="14"/>
      <c r="P38" s="14">
        <f>SUM(P32:P37)</f>
        <v>0.315615665098513</v>
      </c>
      <c r="Q38" s="14">
        <f>SUM(Q32:Q37)</f>
        <v>1.06173333333333</v>
      </c>
      <c r="R38" s="14">
        <f>1-P38/Q38</f>
        <v>0.702735465498072</v>
      </c>
      <c r="S38" s="6">
        <f>SQRT(P38/6)</f>
        <v>0.229352590675912</v>
      </c>
      <c r="T38">
        <f>AVERAGE(T32:T37)</f>
        <v>3.21666666666667</v>
      </c>
      <c r="U38" s="14"/>
      <c r="V38" s="14">
        <f>SUM(V32:V37)</f>
        <v>0.885792934685566</v>
      </c>
      <c r="W38" s="14">
        <f>SUM(W32:W37)</f>
        <v>1.06173333333333</v>
      </c>
      <c r="X38" s="14">
        <f>1-V38/W38</f>
        <v>0.165710534956456</v>
      </c>
      <c r="Y38" s="6">
        <f>SQRT(V38/6)</f>
        <v>0.384229301044217</v>
      </c>
      <c r="Z38">
        <f>AVERAGE(Z32:Z37)</f>
        <v>3.21666666666667</v>
      </c>
      <c r="AA38" s="14"/>
      <c r="AB38" s="14">
        <f>SUM(AB32:AB37)</f>
        <v>0.89697170347992</v>
      </c>
      <c r="AC38" s="14">
        <f>SUM(AC32:AC37)</f>
        <v>1.06173333333333</v>
      </c>
      <c r="AD38" s="14">
        <f>1-AB38/AC38</f>
        <v>0.155181743551501</v>
      </c>
      <c r="AE38" s="6">
        <f>SQRT(AB38/6)</f>
        <v>0.386646199920961</v>
      </c>
    </row>
    <row r="50" spans="1:5">
      <c r="A50" s="9" t="s">
        <v>20</v>
      </c>
      <c r="B50" s="9" t="s">
        <v>21</v>
      </c>
      <c r="C50" s="9" t="s">
        <v>22</v>
      </c>
      <c r="D50" s="2" t="s">
        <v>2</v>
      </c>
      <c r="E50" s="2" t="s">
        <v>3</v>
      </c>
    </row>
    <row r="51" spans="1:5">
      <c r="A51" s="10">
        <v>65</v>
      </c>
      <c r="B51" s="10">
        <v>110.6</v>
      </c>
      <c r="C51">
        <f t="shared" ref="C51:C82" si="22">66.8+0.644*A51</f>
        <v>108.66</v>
      </c>
      <c r="D51" s="5">
        <f>(B51-C51)^2</f>
        <v>3.76359999999999</v>
      </c>
      <c r="E51" s="5">
        <f t="shared" ref="E51:E82" si="23">(B51-Ybar_height)^2</f>
        <v>0.503212890624992</v>
      </c>
    </row>
    <row r="52" spans="1:5">
      <c r="A52" s="10">
        <v>60</v>
      </c>
      <c r="B52" s="10">
        <v>103.2</v>
      </c>
      <c r="C52">
        <f t="shared" si="22"/>
        <v>105.44</v>
      </c>
      <c r="D52" s="5">
        <f t="shared" ref="D52:D115" si="24">(B52-C52)^2</f>
        <v>5.01759999999998</v>
      </c>
      <c r="E52" s="5">
        <f t="shared" si="23"/>
        <v>44.764462890625</v>
      </c>
    </row>
    <row r="53" spans="1:5">
      <c r="A53" s="10">
        <v>70</v>
      </c>
      <c r="B53" s="10">
        <v>112.5</v>
      </c>
      <c r="C53">
        <f t="shared" si="22"/>
        <v>111.88</v>
      </c>
      <c r="D53" s="5">
        <f t="shared" si="24"/>
        <v>0.384400000000006</v>
      </c>
      <c r="E53" s="5">
        <f t="shared" si="23"/>
        <v>6.808837890625</v>
      </c>
    </row>
    <row r="54" spans="1:5">
      <c r="A54" s="10">
        <v>71</v>
      </c>
      <c r="B54" s="10">
        <v>106.8</v>
      </c>
      <c r="C54">
        <f t="shared" si="22"/>
        <v>112.524</v>
      </c>
      <c r="D54" s="5">
        <f t="shared" si="24"/>
        <v>32.764176</v>
      </c>
      <c r="E54" s="5">
        <f t="shared" si="23"/>
        <v>9.55196289062502</v>
      </c>
    </row>
    <row r="55" spans="1:5">
      <c r="A55" s="10">
        <v>73</v>
      </c>
      <c r="B55" s="10">
        <v>109.7</v>
      </c>
      <c r="C55">
        <f t="shared" si="22"/>
        <v>113.812</v>
      </c>
      <c r="D55" s="5">
        <f t="shared" si="24"/>
        <v>16.908544</v>
      </c>
      <c r="E55" s="5">
        <f t="shared" si="23"/>
        <v>0.0363378906249989</v>
      </c>
    </row>
    <row r="56" spans="1:5">
      <c r="A56" s="10">
        <v>61</v>
      </c>
      <c r="B56" s="10">
        <v>111.1</v>
      </c>
      <c r="C56">
        <f t="shared" si="22"/>
        <v>106.084</v>
      </c>
      <c r="D56" s="5">
        <f t="shared" si="24"/>
        <v>25.1602559999999</v>
      </c>
      <c r="E56" s="5">
        <f t="shared" si="23"/>
        <v>1.46258789062499</v>
      </c>
    </row>
    <row r="57" spans="1:5">
      <c r="A57" s="10">
        <v>66</v>
      </c>
      <c r="B57" s="10">
        <v>105.8</v>
      </c>
      <c r="C57">
        <f t="shared" si="22"/>
        <v>109.304</v>
      </c>
      <c r="D57" s="5">
        <f t="shared" si="24"/>
        <v>12.278016</v>
      </c>
      <c r="E57" s="5">
        <f t="shared" si="23"/>
        <v>16.733212890625</v>
      </c>
    </row>
    <row r="58" spans="1:5">
      <c r="A58" s="10">
        <v>69</v>
      </c>
      <c r="B58" s="10">
        <v>109.5</v>
      </c>
      <c r="C58">
        <f t="shared" si="22"/>
        <v>111.236</v>
      </c>
      <c r="D58" s="5">
        <f t="shared" si="24"/>
        <v>3.01369599999997</v>
      </c>
      <c r="E58" s="5">
        <f t="shared" si="23"/>
        <v>0.152587890625</v>
      </c>
    </row>
    <row r="59" spans="1:5">
      <c r="A59" s="10">
        <v>63</v>
      </c>
      <c r="B59" s="10">
        <v>109.2</v>
      </c>
      <c r="C59">
        <f t="shared" si="22"/>
        <v>107.372</v>
      </c>
      <c r="D59" s="5">
        <f t="shared" si="24"/>
        <v>3.34158400000001</v>
      </c>
      <c r="E59" s="5">
        <f t="shared" si="23"/>
        <v>0.476962890624996</v>
      </c>
    </row>
    <row r="60" spans="1:5">
      <c r="A60" s="10">
        <v>69</v>
      </c>
      <c r="B60" s="10">
        <v>107</v>
      </c>
      <c r="C60">
        <f t="shared" si="22"/>
        <v>111.236</v>
      </c>
      <c r="D60" s="5">
        <f t="shared" si="24"/>
        <v>17.9436959999999</v>
      </c>
      <c r="E60" s="5">
        <f t="shared" si="23"/>
        <v>8.355712890625</v>
      </c>
    </row>
    <row r="61" spans="1:5">
      <c r="A61" s="10">
        <v>57</v>
      </c>
      <c r="B61" s="10">
        <v>105.6</v>
      </c>
      <c r="C61">
        <f t="shared" si="22"/>
        <v>103.508</v>
      </c>
      <c r="D61" s="5">
        <f t="shared" si="24"/>
        <v>4.376464</v>
      </c>
      <c r="E61" s="5">
        <f t="shared" si="23"/>
        <v>18.409462890625</v>
      </c>
    </row>
    <row r="62" spans="1:5">
      <c r="A62" s="10">
        <v>53</v>
      </c>
      <c r="B62" s="10">
        <v>102</v>
      </c>
      <c r="C62">
        <f t="shared" si="22"/>
        <v>100.932</v>
      </c>
      <c r="D62" s="5">
        <f t="shared" si="24"/>
        <v>1.14062400000003</v>
      </c>
      <c r="E62" s="5">
        <f t="shared" si="23"/>
        <v>62.261962890625</v>
      </c>
    </row>
    <row r="63" spans="1:5">
      <c r="A63" s="10">
        <v>64</v>
      </c>
      <c r="B63" s="10">
        <v>105.2</v>
      </c>
      <c r="C63">
        <f t="shared" si="22"/>
        <v>108.016</v>
      </c>
      <c r="D63" s="5">
        <f t="shared" si="24"/>
        <v>7.92985599999993</v>
      </c>
      <c r="E63" s="5">
        <f t="shared" si="23"/>
        <v>22.001962890625</v>
      </c>
    </row>
    <row r="64" spans="1:5">
      <c r="A64" s="10">
        <v>65</v>
      </c>
      <c r="B64" s="10">
        <v>105.1</v>
      </c>
      <c r="C64">
        <f t="shared" si="22"/>
        <v>108.66</v>
      </c>
      <c r="D64" s="5">
        <f t="shared" si="24"/>
        <v>12.6736</v>
      </c>
      <c r="E64" s="5">
        <f t="shared" si="23"/>
        <v>22.9500878906251</v>
      </c>
    </row>
    <row r="65" spans="1:5">
      <c r="A65" s="10">
        <v>74</v>
      </c>
      <c r="B65" s="10">
        <v>100.1</v>
      </c>
      <c r="C65">
        <f t="shared" si="22"/>
        <v>114.456</v>
      </c>
      <c r="D65" s="5">
        <f t="shared" si="24"/>
        <v>206.094736</v>
      </c>
      <c r="E65" s="5">
        <f t="shared" si="23"/>
        <v>95.8563378906251</v>
      </c>
    </row>
    <row r="66" spans="1:5">
      <c r="A66" s="10">
        <v>64</v>
      </c>
      <c r="B66" s="10">
        <v>110.2</v>
      </c>
      <c r="C66">
        <f t="shared" si="22"/>
        <v>108.016</v>
      </c>
      <c r="D66" s="5">
        <f t="shared" si="24"/>
        <v>4.76985600000005</v>
      </c>
      <c r="E66" s="5">
        <f t="shared" si="23"/>
        <v>0.0957128906250018</v>
      </c>
    </row>
    <row r="67" spans="1:5">
      <c r="A67" s="10">
        <v>66</v>
      </c>
      <c r="B67" s="10">
        <v>100.5</v>
      </c>
      <c r="C67">
        <f t="shared" si="22"/>
        <v>109.304</v>
      </c>
      <c r="D67" s="5">
        <f t="shared" si="24"/>
        <v>77.510416</v>
      </c>
      <c r="E67" s="5">
        <f t="shared" si="23"/>
        <v>88.183837890625</v>
      </c>
    </row>
    <row r="68" spans="1:5">
      <c r="A68" s="10">
        <v>64</v>
      </c>
      <c r="B68" s="10">
        <v>107.6</v>
      </c>
      <c r="C68">
        <f t="shared" si="22"/>
        <v>108.016</v>
      </c>
      <c r="D68" s="5">
        <f t="shared" si="24"/>
        <v>0.173055999999997</v>
      </c>
      <c r="E68" s="5">
        <f t="shared" si="23"/>
        <v>5.24696289062503</v>
      </c>
    </row>
    <row r="69" spans="1:5">
      <c r="A69" s="10">
        <v>69</v>
      </c>
      <c r="B69" s="10">
        <v>104.6</v>
      </c>
      <c r="C69">
        <f t="shared" si="22"/>
        <v>111.236</v>
      </c>
      <c r="D69" s="5">
        <f t="shared" si="24"/>
        <v>44.0364959999999</v>
      </c>
      <c r="E69" s="5">
        <f t="shared" si="23"/>
        <v>27.9907128906251</v>
      </c>
    </row>
    <row r="70" spans="1:5">
      <c r="A70" s="10">
        <v>65</v>
      </c>
      <c r="B70" s="10">
        <v>110.3</v>
      </c>
      <c r="C70">
        <f t="shared" si="22"/>
        <v>108.66</v>
      </c>
      <c r="D70" s="5">
        <f t="shared" si="24"/>
        <v>2.6896</v>
      </c>
      <c r="E70" s="5">
        <f t="shared" si="23"/>
        <v>0.167587890624998</v>
      </c>
    </row>
    <row r="71" spans="1:5">
      <c r="A71" s="10">
        <v>64</v>
      </c>
      <c r="B71" s="10">
        <v>106.6</v>
      </c>
      <c r="C71">
        <f t="shared" si="22"/>
        <v>108.016</v>
      </c>
      <c r="D71" s="5">
        <f t="shared" si="24"/>
        <v>2.00505599999999</v>
      </c>
      <c r="E71" s="5">
        <f t="shared" si="23"/>
        <v>10.828212890625</v>
      </c>
    </row>
    <row r="72" spans="1:5">
      <c r="A72" s="10">
        <v>60</v>
      </c>
      <c r="B72" s="10">
        <v>106.9</v>
      </c>
      <c r="C72">
        <f t="shared" si="22"/>
        <v>105.44</v>
      </c>
      <c r="D72" s="5">
        <f t="shared" si="24"/>
        <v>2.13160000000002</v>
      </c>
      <c r="E72" s="5">
        <f t="shared" si="23"/>
        <v>8.94383789062497</v>
      </c>
    </row>
    <row r="73" spans="1:5">
      <c r="A73" s="10">
        <v>64</v>
      </c>
      <c r="B73" s="10">
        <v>108.7</v>
      </c>
      <c r="C73">
        <f t="shared" si="22"/>
        <v>108.016</v>
      </c>
      <c r="D73" s="5">
        <f t="shared" si="24"/>
        <v>0.467856000000016</v>
      </c>
      <c r="E73" s="5">
        <f t="shared" si="23"/>
        <v>1.41758789062499</v>
      </c>
    </row>
    <row r="74" spans="1:5">
      <c r="A74" s="10">
        <v>58</v>
      </c>
      <c r="B74" s="10">
        <v>100.7</v>
      </c>
      <c r="C74">
        <f t="shared" si="22"/>
        <v>104.152</v>
      </c>
      <c r="D74" s="5">
        <f t="shared" si="24"/>
        <v>11.916304</v>
      </c>
      <c r="E74" s="5">
        <f t="shared" si="23"/>
        <v>84.4675878906249</v>
      </c>
    </row>
    <row r="75" spans="1:5">
      <c r="A75" s="10">
        <v>65</v>
      </c>
      <c r="B75" s="10">
        <v>100.6</v>
      </c>
      <c r="C75">
        <f t="shared" si="22"/>
        <v>108.66</v>
      </c>
      <c r="D75" s="5">
        <f t="shared" si="24"/>
        <v>64.9636</v>
      </c>
      <c r="E75" s="5">
        <f t="shared" si="23"/>
        <v>86.3157128906251</v>
      </c>
    </row>
    <row r="76" spans="1:5">
      <c r="A76" s="10">
        <v>59</v>
      </c>
      <c r="B76" s="10">
        <v>103.4</v>
      </c>
      <c r="C76">
        <f t="shared" si="22"/>
        <v>104.796</v>
      </c>
      <c r="D76" s="5">
        <f t="shared" si="24"/>
        <v>1.94881599999996</v>
      </c>
      <c r="E76" s="5">
        <f t="shared" si="23"/>
        <v>42.1282128906249</v>
      </c>
    </row>
    <row r="77" spans="1:5">
      <c r="A77" s="10">
        <v>69</v>
      </c>
      <c r="B77" s="10">
        <v>108.2</v>
      </c>
      <c r="C77">
        <f t="shared" si="22"/>
        <v>111.236</v>
      </c>
      <c r="D77" s="5">
        <f t="shared" si="24"/>
        <v>9.21729599999992</v>
      </c>
      <c r="E77" s="5">
        <f t="shared" si="23"/>
        <v>2.85821289062499</v>
      </c>
    </row>
    <row r="78" spans="1:5">
      <c r="A78" s="10">
        <v>60</v>
      </c>
      <c r="B78" s="10">
        <v>105</v>
      </c>
      <c r="C78">
        <f t="shared" si="22"/>
        <v>105.44</v>
      </c>
      <c r="D78" s="5">
        <f t="shared" si="24"/>
        <v>0.193599999999998</v>
      </c>
      <c r="E78" s="5">
        <f t="shared" si="23"/>
        <v>23.918212890625</v>
      </c>
    </row>
    <row r="79" spans="1:5">
      <c r="A79" s="10">
        <v>63</v>
      </c>
      <c r="B79" s="10">
        <v>108.2</v>
      </c>
      <c r="C79">
        <f t="shared" si="22"/>
        <v>107.372</v>
      </c>
      <c r="D79" s="5">
        <f t="shared" si="24"/>
        <v>0.685584000000005</v>
      </c>
      <c r="E79" s="5">
        <f t="shared" si="23"/>
        <v>2.85821289062499</v>
      </c>
    </row>
    <row r="80" spans="1:5">
      <c r="A80" s="10">
        <v>60</v>
      </c>
      <c r="B80" s="10">
        <v>105.5</v>
      </c>
      <c r="C80">
        <f t="shared" si="22"/>
        <v>105.44</v>
      </c>
      <c r="D80" s="5">
        <f t="shared" si="24"/>
        <v>0.00360000000000027</v>
      </c>
      <c r="E80" s="5">
        <f t="shared" si="23"/>
        <v>19.277587890625</v>
      </c>
    </row>
    <row r="81" spans="1:5">
      <c r="A81" s="10">
        <v>63</v>
      </c>
      <c r="B81" s="10">
        <v>109</v>
      </c>
      <c r="C81">
        <f t="shared" si="22"/>
        <v>107.372</v>
      </c>
      <c r="D81" s="5">
        <f t="shared" si="24"/>
        <v>2.650384</v>
      </c>
      <c r="E81" s="5">
        <f t="shared" si="23"/>
        <v>0.793212890625</v>
      </c>
    </row>
    <row r="82" spans="1:5">
      <c r="A82" s="10">
        <v>50</v>
      </c>
      <c r="B82" s="10">
        <v>100</v>
      </c>
      <c r="C82">
        <f t="shared" si="22"/>
        <v>99</v>
      </c>
      <c r="D82" s="5">
        <f t="shared" si="24"/>
        <v>1</v>
      </c>
      <c r="E82" s="5">
        <f t="shared" si="23"/>
        <v>97.824462890625</v>
      </c>
    </row>
    <row r="83" spans="1:5">
      <c r="A83" s="10">
        <v>59</v>
      </c>
      <c r="B83" s="10">
        <v>99.7</v>
      </c>
      <c r="C83">
        <f t="shared" ref="C83:C114" si="25">66.8+0.644*A83</f>
        <v>104.796</v>
      </c>
      <c r="D83" s="5">
        <f t="shared" si="24"/>
        <v>25.9692159999999</v>
      </c>
      <c r="E83" s="5">
        <f t="shared" ref="E83:E114" si="26">(B83-Ybar_height)^2</f>
        <v>103.848837890625</v>
      </c>
    </row>
    <row r="84" spans="1:5">
      <c r="A84" s="10">
        <v>61</v>
      </c>
      <c r="B84" s="10">
        <v>107.5</v>
      </c>
      <c r="C84">
        <f t="shared" si="25"/>
        <v>106.084</v>
      </c>
      <c r="D84" s="5">
        <f t="shared" si="24"/>
        <v>2.00505599999999</v>
      </c>
      <c r="E84" s="5">
        <f t="shared" si="26"/>
        <v>5.715087890625</v>
      </c>
    </row>
    <row r="85" spans="1:5">
      <c r="A85" s="10">
        <v>59</v>
      </c>
      <c r="B85" s="10">
        <v>99.3</v>
      </c>
      <c r="C85">
        <f t="shared" si="25"/>
        <v>104.796</v>
      </c>
      <c r="D85" s="5">
        <f t="shared" si="24"/>
        <v>30.2060159999999</v>
      </c>
      <c r="E85" s="5">
        <f t="shared" si="26"/>
        <v>112.161337890625</v>
      </c>
    </row>
    <row r="86" spans="1:5">
      <c r="A86" s="10">
        <v>57</v>
      </c>
      <c r="B86" s="10">
        <v>105.7</v>
      </c>
      <c r="C86">
        <f t="shared" si="25"/>
        <v>103.508</v>
      </c>
      <c r="D86" s="5">
        <f t="shared" si="24"/>
        <v>4.80486400000003</v>
      </c>
      <c r="E86" s="5">
        <f t="shared" si="26"/>
        <v>17.561337890625</v>
      </c>
    </row>
    <row r="87" spans="1:5">
      <c r="A87" s="10">
        <v>57</v>
      </c>
      <c r="B87" s="10">
        <v>100.5</v>
      </c>
      <c r="C87">
        <f t="shared" si="25"/>
        <v>103.508</v>
      </c>
      <c r="D87" s="5">
        <f t="shared" si="24"/>
        <v>9.04806399999997</v>
      </c>
      <c r="E87" s="5">
        <f t="shared" si="26"/>
        <v>88.183837890625</v>
      </c>
    </row>
    <row r="88" spans="1:5">
      <c r="A88" s="10">
        <v>61</v>
      </c>
      <c r="B88" s="10">
        <v>102.5</v>
      </c>
      <c r="C88">
        <f t="shared" si="25"/>
        <v>106.084</v>
      </c>
      <c r="D88" s="5">
        <f t="shared" si="24"/>
        <v>12.845056</v>
      </c>
      <c r="E88" s="5">
        <f t="shared" si="26"/>
        <v>54.621337890625</v>
      </c>
    </row>
    <row r="89" spans="1:5">
      <c r="A89" s="10">
        <v>65</v>
      </c>
      <c r="B89" s="10">
        <v>110.5</v>
      </c>
      <c r="C89">
        <f t="shared" si="25"/>
        <v>108.66</v>
      </c>
      <c r="D89" s="5">
        <f t="shared" si="24"/>
        <v>3.38560000000001</v>
      </c>
      <c r="E89" s="5">
        <f t="shared" si="26"/>
        <v>0.371337890625</v>
      </c>
    </row>
    <row r="90" spans="1:5">
      <c r="A90" s="10">
        <v>65</v>
      </c>
      <c r="B90" s="10">
        <v>116.2</v>
      </c>
      <c r="C90">
        <f t="shared" si="25"/>
        <v>108.66</v>
      </c>
      <c r="D90" s="5">
        <f t="shared" si="24"/>
        <v>56.8516000000001</v>
      </c>
      <c r="E90" s="5">
        <f t="shared" si="26"/>
        <v>39.808212890625</v>
      </c>
    </row>
    <row r="91" spans="1:5">
      <c r="A91" s="10">
        <v>65</v>
      </c>
      <c r="B91" s="10">
        <v>106.8</v>
      </c>
      <c r="C91">
        <f t="shared" si="25"/>
        <v>108.66</v>
      </c>
      <c r="D91" s="5">
        <f t="shared" si="24"/>
        <v>3.4596</v>
      </c>
      <c r="E91" s="5">
        <f t="shared" si="26"/>
        <v>9.55196289062502</v>
      </c>
    </row>
    <row r="92" spans="1:5">
      <c r="A92" s="10">
        <v>68</v>
      </c>
      <c r="B92" s="10">
        <v>104.2</v>
      </c>
      <c r="C92">
        <f t="shared" si="25"/>
        <v>110.592</v>
      </c>
      <c r="D92" s="5">
        <f t="shared" si="24"/>
        <v>40.857664</v>
      </c>
      <c r="E92" s="5">
        <f t="shared" si="26"/>
        <v>32.383212890625</v>
      </c>
    </row>
    <row r="93" spans="1:5">
      <c r="A93" s="10">
        <v>64</v>
      </c>
      <c r="B93" s="10">
        <v>111.5</v>
      </c>
      <c r="C93">
        <f t="shared" si="25"/>
        <v>108.016</v>
      </c>
      <c r="D93" s="5">
        <f t="shared" si="24"/>
        <v>12.1382560000001</v>
      </c>
      <c r="E93" s="5">
        <f t="shared" si="26"/>
        <v>2.590087890625</v>
      </c>
    </row>
    <row r="94" spans="1:5">
      <c r="A94" s="10">
        <v>60</v>
      </c>
      <c r="B94" s="10">
        <v>109.3</v>
      </c>
      <c r="C94">
        <f t="shared" si="25"/>
        <v>105.44</v>
      </c>
      <c r="D94" s="5">
        <f t="shared" si="24"/>
        <v>14.8996</v>
      </c>
      <c r="E94" s="5">
        <f t="shared" si="26"/>
        <v>0.348837890625003</v>
      </c>
    </row>
    <row r="95" spans="1:5">
      <c r="A95" s="10">
        <v>65</v>
      </c>
      <c r="B95" s="10">
        <v>109.3</v>
      </c>
      <c r="C95">
        <f t="shared" si="25"/>
        <v>108.66</v>
      </c>
      <c r="D95" s="5">
        <f t="shared" si="24"/>
        <v>0.409600000000001</v>
      </c>
      <c r="E95" s="5">
        <f t="shared" si="26"/>
        <v>0.348837890625003</v>
      </c>
    </row>
    <row r="96" spans="1:5">
      <c r="A96" s="10">
        <v>66</v>
      </c>
      <c r="B96" s="10">
        <v>107.5</v>
      </c>
      <c r="C96">
        <f t="shared" si="25"/>
        <v>109.304</v>
      </c>
      <c r="D96" s="5">
        <f t="shared" si="24"/>
        <v>3.25441600000001</v>
      </c>
      <c r="E96" s="5">
        <f t="shared" si="26"/>
        <v>5.715087890625</v>
      </c>
    </row>
    <row r="97" spans="1:5">
      <c r="A97" s="10">
        <v>66</v>
      </c>
      <c r="B97" s="10">
        <v>109.2</v>
      </c>
      <c r="C97">
        <f t="shared" si="25"/>
        <v>109.304</v>
      </c>
      <c r="D97" s="5">
        <f t="shared" si="24"/>
        <v>0.0108159999999998</v>
      </c>
      <c r="E97" s="5">
        <f t="shared" si="26"/>
        <v>0.476962890624996</v>
      </c>
    </row>
    <row r="98" spans="1:5">
      <c r="A98" s="10">
        <v>66</v>
      </c>
      <c r="B98" s="10">
        <v>109.4</v>
      </c>
      <c r="C98">
        <f t="shared" si="25"/>
        <v>109.304</v>
      </c>
      <c r="D98" s="5">
        <f t="shared" si="24"/>
        <v>0.0092160000000007</v>
      </c>
      <c r="E98" s="5">
        <f t="shared" si="26"/>
        <v>0.240712890624994</v>
      </c>
    </row>
    <row r="99" spans="1:5">
      <c r="A99" s="10">
        <v>60</v>
      </c>
      <c r="B99" s="10">
        <v>101.7</v>
      </c>
      <c r="C99">
        <f t="shared" si="25"/>
        <v>105.44</v>
      </c>
      <c r="D99" s="5">
        <f t="shared" si="24"/>
        <v>13.9876</v>
      </c>
      <c r="E99" s="5">
        <f t="shared" si="26"/>
        <v>67.0863378906249</v>
      </c>
    </row>
    <row r="100" spans="1:5">
      <c r="A100" s="10">
        <v>50</v>
      </c>
      <c r="B100" s="10">
        <v>105.7</v>
      </c>
      <c r="C100">
        <f t="shared" si="25"/>
        <v>99</v>
      </c>
      <c r="D100" s="5">
        <f t="shared" si="24"/>
        <v>44.89</v>
      </c>
      <c r="E100" s="5">
        <f t="shared" si="26"/>
        <v>17.561337890625</v>
      </c>
    </row>
    <row r="101" spans="1:5">
      <c r="A101" s="10">
        <v>74</v>
      </c>
      <c r="B101" s="10">
        <v>112.1</v>
      </c>
      <c r="C101">
        <f t="shared" si="25"/>
        <v>114.456</v>
      </c>
      <c r="D101" s="5">
        <f t="shared" si="24"/>
        <v>5.55073599999997</v>
      </c>
      <c r="E101" s="5">
        <f t="shared" si="26"/>
        <v>4.88133789062497</v>
      </c>
    </row>
    <row r="102" spans="1:5">
      <c r="A102" s="10">
        <v>74</v>
      </c>
      <c r="B102" s="10">
        <v>118.6</v>
      </c>
      <c r="C102">
        <f t="shared" si="25"/>
        <v>114.456</v>
      </c>
      <c r="D102" s="5">
        <f t="shared" si="24"/>
        <v>17.172736</v>
      </c>
      <c r="E102" s="5">
        <f t="shared" si="26"/>
        <v>75.8532128906249</v>
      </c>
    </row>
    <row r="103" spans="1:5">
      <c r="A103" s="10">
        <v>63</v>
      </c>
      <c r="B103" s="10">
        <v>109.6</v>
      </c>
      <c r="C103">
        <f t="shared" si="25"/>
        <v>107.372</v>
      </c>
      <c r="D103" s="5">
        <f t="shared" si="24"/>
        <v>4.96398399999998</v>
      </c>
      <c r="E103" s="5">
        <f t="shared" si="26"/>
        <v>0.0844628906250033</v>
      </c>
    </row>
    <row r="104" spans="1:5">
      <c r="A104" s="10">
        <v>73</v>
      </c>
      <c r="B104" s="10">
        <v>115</v>
      </c>
      <c r="C104">
        <f t="shared" si="25"/>
        <v>113.812</v>
      </c>
      <c r="D104" s="5">
        <f t="shared" si="24"/>
        <v>1.41134400000001</v>
      </c>
      <c r="E104" s="5">
        <f t="shared" si="26"/>
        <v>26.105712890625</v>
      </c>
    </row>
    <row r="105" spans="1:5">
      <c r="A105" s="10">
        <v>64</v>
      </c>
      <c r="B105" s="10">
        <v>106.8</v>
      </c>
      <c r="C105">
        <f t="shared" si="25"/>
        <v>108.016</v>
      </c>
      <c r="D105" s="5">
        <f t="shared" si="24"/>
        <v>1.47865599999999</v>
      </c>
      <c r="E105" s="5">
        <f t="shared" si="26"/>
        <v>9.55196289062502</v>
      </c>
    </row>
    <row r="106" spans="1:5">
      <c r="A106" s="10">
        <v>70</v>
      </c>
      <c r="B106" s="10">
        <v>112.2</v>
      </c>
      <c r="C106">
        <f t="shared" si="25"/>
        <v>111.88</v>
      </c>
      <c r="D106" s="5">
        <f t="shared" si="24"/>
        <v>0.102400000000005</v>
      </c>
      <c r="E106" s="5">
        <f t="shared" si="26"/>
        <v>5.33321289062501</v>
      </c>
    </row>
    <row r="107" spans="1:5">
      <c r="A107" s="10">
        <v>66</v>
      </c>
      <c r="B107" s="10">
        <v>108.8</v>
      </c>
      <c r="C107">
        <f t="shared" si="25"/>
        <v>109.304</v>
      </c>
      <c r="D107" s="5">
        <f t="shared" si="24"/>
        <v>0.254016000000005</v>
      </c>
      <c r="E107" s="5">
        <f t="shared" si="26"/>
        <v>1.18946289062501</v>
      </c>
    </row>
    <row r="108" spans="1:5">
      <c r="A108" s="10">
        <v>76</v>
      </c>
      <c r="B108" s="10">
        <v>119.1</v>
      </c>
      <c r="C108">
        <f t="shared" si="25"/>
        <v>115.744</v>
      </c>
      <c r="D108" s="5">
        <f t="shared" si="24"/>
        <v>11.262736</v>
      </c>
      <c r="E108" s="5">
        <f t="shared" si="26"/>
        <v>84.8125878906249</v>
      </c>
    </row>
    <row r="109" spans="1:5">
      <c r="A109" s="10">
        <v>76</v>
      </c>
      <c r="B109" s="10">
        <v>112.6</v>
      </c>
      <c r="C109">
        <f t="shared" si="25"/>
        <v>115.744</v>
      </c>
      <c r="D109" s="5">
        <f t="shared" si="24"/>
        <v>9.88473600000003</v>
      </c>
      <c r="E109" s="5">
        <f t="shared" si="26"/>
        <v>7.34071289062497</v>
      </c>
    </row>
    <row r="110" spans="1:5">
      <c r="A110" s="10">
        <v>66</v>
      </c>
      <c r="B110" s="10">
        <v>109.5</v>
      </c>
      <c r="C110">
        <f t="shared" si="25"/>
        <v>109.304</v>
      </c>
      <c r="D110" s="5">
        <f t="shared" si="24"/>
        <v>0.0384159999999992</v>
      </c>
      <c r="E110" s="5">
        <f t="shared" si="26"/>
        <v>0.152587890625</v>
      </c>
    </row>
    <row r="111" spans="1:5">
      <c r="A111" s="10">
        <v>68</v>
      </c>
      <c r="B111" s="10">
        <v>109</v>
      </c>
      <c r="C111">
        <f t="shared" si="25"/>
        <v>110.592</v>
      </c>
      <c r="D111" s="5">
        <f t="shared" si="24"/>
        <v>2.534464</v>
      </c>
      <c r="E111" s="5">
        <f t="shared" si="26"/>
        <v>0.793212890625</v>
      </c>
    </row>
    <row r="112" spans="1:5">
      <c r="A112" s="10">
        <v>62</v>
      </c>
      <c r="B112" s="10">
        <v>103.5</v>
      </c>
      <c r="C112">
        <f t="shared" si="25"/>
        <v>106.728</v>
      </c>
      <c r="D112" s="5">
        <f t="shared" si="24"/>
        <v>10.4199840000001</v>
      </c>
      <c r="E112" s="5">
        <f t="shared" si="26"/>
        <v>40.840087890625</v>
      </c>
    </row>
    <row r="113" spans="1:5">
      <c r="A113" s="10">
        <v>65</v>
      </c>
      <c r="B113" s="10">
        <v>115.8</v>
      </c>
      <c r="C113">
        <f t="shared" si="25"/>
        <v>108.66</v>
      </c>
      <c r="D113" s="5">
        <f t="shared" si="24"/>
        <v>50.9796</v>
      </c>
      <c r="E113" s="5">
        <f t="shared" si="26"/>
        <v>34.920712890625</v>
      </c>
    </row>
    <row r="114" spans="1:5">
      <c r="A114" s="10">
        <v>65</v>
      </c>
      <c r="B114" s="10">
        <v>109.8</v>
      </c>
      <c r="C114">
        <f t="shared" si="25"/>
        <v>108.66</v>
      </c>
      <c r="D114" s="5">
        <f t="shared" si="24"/>
        <v>1.2996</v>
      </c>
      <c r="E114" s="5">
        <f t="shared" si="26"/>
        <v>0.00821289062500052</v>
      </c>
    </row>
    <row r="115" spans="1:5">
      <c r="A115" s="10">
        <v>73</v>
      </c>
      <c r="B115" s="10">
        <v>109.5</v>
      </c>
      <c r="C115">
        <f t="shared" ref="C115:C146" si="27">66.8+0.644*A115</f>
        <v>113.812</v>
      </c>
      <c r="D115" s="5">
        <f t="shared" si="24"/>
        <v>18.593344</v>
      </c>
      <c r="E115" s="5">
        <f t="shared" ref="E115:E146" si="28">(B115-Ybar_height)^2</f>
        <v>0.152587890625</v>
      </c>
    </row>
    <row r="116" spans="1:5">
      <c r="A116" s="10">
        <v>75</v>
      </c>
      <c r="B116" s="10">
        <v>114</v>
      </c>
      <c r="C116">
        <f t="shared" si="27"/>
        <v>115.1</v>
      </c>
      <c r="D116" s="5">
        <f t="shared" ref="D116:D146" si="29">(B116-C116)^2</f>
        <v>1.20999999999999</v>
      </c>
      <c r="E116" s="5">
        <f t="shared" si="28"/>
        <v>16.886962890625</v>
      </c>
    </row>
    <row r="117" spans="1:5">
      <c r="A117" s="10">
        <v>75</v>
      </c>
      <c r="B117" s="10">
        <v>117</v>
      </c>
      <c r="C117">
        <f t="shared" si="27"/>
        <v>115.1</v>
      </c>
      <c r="D117" s="5">
        <f t="shared" si="29"/>
        <v>3.61000000000002</v>
      </c>
      <c r="E117" s="5">
        <f t="shared" si="28"/>
        <v>50.543212890625</v>
      </c>
    </row>
    <row r="118" spans="1:5">
      <c r="A118" s="10">
        <v>74</v>
      </c>
      <c r="B118" s="10">
        <v>113.2</v>
      </c>
      <c r="C118">
        <f t="shared" si="27"/>
        <v>114.456</v>
      </c>
      <c r="D118" s="5">
        <f t="shared" si="29"/>
        <v>1.57753599999996</v>
      </c>
      <c r="E118" s="5">
        <f t="shared" si="28"/>
        <v>10.951962890625</v>
      </c>
    </row>
    <row r="119" spans="1:5">
      <c r="A119" s="10">
        <v>64</v>
      </c>
      <c r="B119" s="10">
        <v>110.8</v>
      </c>
      <c r="C119">
        <f t="shared" si="27"/>
        <v>108.016</v>
      </c>
      <c r="D119" s="5">
        <f t="shared" si="29"/>
        <v>7.75065600000003</v>
      </c>
      <c r="E119" s="5">
        <f t="shared" si="28"/>
        <v>0.826962890624995</v>
      </c>
    </row>
    <row r="120" spans="1:5">
      <c r="A120" s="10">
        <v>73</v>
      </c>
      <c r="B120" s="10">
        <v>118.5</v>
      </c>
      <c r="C120">
        <f t="shared" si="27"/>
        <v>113.812</v>
      </c>
      <c r="D120" s="5">
        <f t="shared" si="29"/>
        <v>21.977344</v>
      </c>
      <c r="E120" s="5">
        <f t="shared" si="28"/>
        <v>74.121337890625</v>
      </c>
    </row>
    <row r="121" spans="1:5">
      <c r="A121" s="10">
        <v>65</v>
      </c>
      <c r="B121" s="10">
        <v>108.8</v>
      </c>
      <c r="C121">
        <f t="shared" si="27"/>
        <v>108.66</v>
      </c>
      <c r="D121" s="5">
        <f t="shared" si="29"/>
        <v>0.0196000000000002</v>
      </c>
      <c r="E121" s="5">
        <f t="shared" si="28"/>
        <v>1.18946289062501</v>
      </c>
    </row>
    <row r="122" spans="1:5">
      <c r="A122" s="10">
        <v>75</v>
      </c>
      <c r="B122" s="10">
        <v>115.3</v>
      </c>
      <c r="C122">
        <f t="shared" si="27"/>
        <v>115.1</v>
      </c>
      <c r="D122" s="5">
        <f t="shared" si="29"/>
        <v>0.0400000000000011</v>
      </c>
      <c r="E122" s="5">
        <f t="shared" si="28"/>
        <v>29.261337890625</v>
      </c>
    </row>
    <row r="123" spans="1:5">
      <c r="A123" s="10">
        <v>71</v>
      </c>
      <c r="B123" s="10">
        <v>110.8</v>
      </c>
      <c r="C123">
        <f t="shared" si="27"/>
        <v>112.524</v>
      </c>
      <c r="D123" s="5">
        <f t="shared" si="29"/>
        <v>2.97217600000001</v>
      </c>
      <c r="E123" s="5">
        <f t="shared" si="28"/>
        <v>0.826962890624995</v>
      </c>
    </row>
    <row r="124" spans="1:5">
      <c r="A124" s="10">
        <v>72</v>
      </c>
      <c r="B124" s="10">
        <v>116.2</v>
      </c>
      <c r="C124">
        <f t="shared" si="27"/>
        <v>113.168</v>
      </c>
      <c r="D124" s="5">
        <f t="shared" si="29"/>
        <v>9.19302399999998</v>
      </c>
      <c r="E124" s="5">
        <f t="shared" si="28"/>
        <v>39.808212890625</v>
      </c>
    </row>
    <row r="125" spans="1:5">
      <c r="A125" s="10">
        <v>73</v>
      </c>
      <c r="B125" s="10">
        <v>114.3</v>
      </c>
      <c r="C125">
        <f t="shared" si="27"/>
        <v>113.812</v>
      </c>
      <c r="D125" s="5">
        <f t="shared" si="29"/>
        <v>0.238144</v>
      </c>
      <c r="E125" s="5">
        <f t="shared" si="28"/>
        <v>19.442587890625</v>
      </c>
    </row>
    <row r="126" spans="1:5">
      <c r="A126" s="10">
        <v>75</v>
      </c>
      <c r="B126" s="10">
        <v>116.4</v>
      </c>
      <c r="C126">
        <f t="shared" si="27"/>
        <v>115.1</v>
      </c>
      <c r="D126" s="5">
        <f t="shared" si="29"/>
        <v>1.69000000000003</v>
      </c>
      <c r="E126" s="5">
        <f t="shared" si="28"/>
        <v>42.3719628906251</v>
      </c>
    </row>
    <row r="127" spans="1:5">
      <c r="A127" s="10">
        <v>77</v>
      </c>
      <c r="B127" s="10">
        <v>117.5</v>
      </c>
      <c r="C127">
        <f t="shared" si="27"/>
        <v>116.388</v>
      </c>
      <c r="D127" s="5">
        <f t="shared" si="29"/>
        <v>1.23654399999999</v>
      </c>
      <c r="E127" s="5">
        <f t="shared" si="28"/>
        <v>57.902587890625</v>
      </c>
    </row>
    <row r="128" spans="1:5">
      <c r="A128" s="10">
        <v>67</v>
      </c>
      <c r="B128" s="10">
        <v>119</v>
      </c>
      <c r="C128">
        <f t="shared" si="27"/>
        <v>109.948</v>
      </c>
      <c r="D128" s="5">
        <f t="shared" si="29"/>
        <v>81.9387039999999</v>
      </c>
      <c r="E128" s="5">
        <f t="shared" si="28"/>
        <v>82.980712890625</v>
      </c>
    </row>
    <row r="129" spans="1:5">
      <c r="A129" s="10">
        <v>78</v>
      </c>
      <c r="B129" s="10">
        <v>112.8</v>
      </c>
      <c r="C129">
        <f t="shared" si="27"/>
        <v>117.032</v>
      </c>
      <c r="D129" s="5">
        <f t="shared" si="29"/>
        <v>17.909824</v>
      </c>
      <c r="E129" s="5">
        <f t="shared" si="28"/>
        <v>8.46446289062498</v>
      </c>
    </row>
    <row r="130" spans="1:5">
      <c r="A130" s="10">
        <v>73</v>
      </c>
      <c r="B130" s="10">
        <v>113.6</v>
      </c>
      <c r="C130">
        <f t="shared" si="27"/>
        <v>113.812</v>
      </c>
      <c r="D130" s="5">
        <f t="shared" si="29"/>
        <v>0.0449440000000014</v>
      </c>
      <c r="E130" s="5">
        <f t="shared" si="28"/>
        <v>13.759462890625</v>
      </c>
    </row>
    <row r="131" spans="1:5">
      <c r="A131" s="10">
        <v>76</v>
      </c>
      <c r="B131" s="10">
        <v>119.9</v>
      </c>
      <c r="C131">
        <f t="shared" si="27"/>
        <v>115.744</v>
      </c>
      <c r="D131" s="5">
        <f t="shared" si="29"/>
        <v>17.272336</v>
      </c>
      <c r="E131" s="5">
        <f t="shared" si="28"/>
        <v>100.187587890625</v>
      </c>
    </row>
    <row r="132" spans="1:5">
      <c r="A132" s="10">
        <v>74</v>
      </c>
      <c r="B132" s="10">
        <v>108.2</v>
      </c>
      <c r="C132">
        <f t="shared" si="27"/>
        <v>114.456</v>
      </c>
      <c r="D132" s="5">
        <f t="shared" si="29"/>
        <v>39.1375359999998</v>
      </c>
      <c r="E132" s="5">
        <f t="shared" si="28"/>
        <v>2.85821289062499</v>
      </c>
    </row>
    <row r="133" spans="1:5">
      <c r="A133" s="10">
        <v>77</v>
      </c>
      <c r="B133" s="10">
        <v>120</v>
      </c>
      <c r="C133">
        <f t="shared" si="27"/>
        <v>116.388</v>
      </c>
      <c r="D133" s="5">
        <f t="shared" si="29"/>
        <v>13.046544</v>
      </c>
      <c r="E133" s="5">
        <f t="shared" si="28"/>
        <v>102.199462890625</v>
      </c>
    </row>
    <row r="134" spans="1:5">
      <c r="A134" s="10">
        <v>75</v>
      </c>
      <c r="B134" s="10">
        <v>125</v>
      </c>
      <c r="C134">
        <f t="shared" si="27"/>
        <v>115.1</v>
      </c>
      <c r="D134" s="5">
        <f t="shared" si="29"/>
        <v>98.0100000000001</v>
      </c>
      <c r="E134" s="5">
        <f t="shared" si="28"/>
        <v>228.293212890625</v>
      </c>
    </row>
    <row r="135" spans="1:5">
      <c r="A135" s="10">
        <v>77</v>
      </c>
      <c r="B135" s="10">
        <v>120.8</v>
      </c>
      <c r="C135">
        <f t="shared" si="27"/>
        <v>116.388</v>
      </c>
      <c r="D135" s="5">
        <f t="shared" si="29"/>
        <v>19.4657439999999</v>
      </c>
      <c r="E135" s="5">
        <f t="shared" si="28"/>
        <v>119.014462890625</v>
      </c>
    </row>
    <row r="136" spans="1:5">
      <c r="A136" s="10">
        <v>64</v>
      </c>
      <c r="B136" s="10">
        <v>109.2</v>
      </c>
      <c r="C136">
        <f t="shared" si="27"/>
        <v>108.016</v>
      </c>
      <c r="D136" s="5">
        <f t="shared" si="29"/>
        <v>1.40185600000003</v>
      </c>
      <c r="E136" s="5">
        <f t="shared" si="28"/>
        <v>0.476962890624996</v>
      </c>
    </row>
    <row r="137" spans="1:5">
      <c r="A137" s="10">
        <v>78</v>
      </c>
      <c r="B137" s="10">
        <v>120</v>
      </c>
      <c r="C137">
        <f t="shared" si="27"/>
        <v>117.032</v>
      </c>
      <c r="D137" s="5">
        <f t="shared" si="29"/>
        <v>8.80902400000002</v>
      </c>
      <c r="E137" s="5">
        <f t="shared" si="28"/>
        <v>102.199462890625</v>
      </c>
    </row>
    <row r="138" spans="1:5">
      <c r="A138" s="10">
        <v>77</v>
      </c>
      <c r="B138" s="10">
        <v>120.4</v>
      </c>
      <c r="C138">
        <f t="shared" si="27"/>
        <v>116.388</v>
      </c>
      <c r="D138" s="5">
        <f t="shared" si="29"/>
        <v>16.096144</v>
      </c>
      <c r="E138" s="5">
        <f t="shared" si="28"/>
        <v>110.446962890625</v>
      </c>
    </row>
    <row r="139" spans="1:5">
      <c r="A139" s="10">
        <v>66</v>
      </c>
      <c r="B139" s="10">
        <v>120.5</v>
      </c>
      <c r="C139">
        <f t="shared" si="27"/>
        <v>109.304</v>
      </c>
      <c r="D139" s="5">
        <f t="shared" si="29"/>
        <v>125.350416</v>
      </c>
      <c r="E139" s="5">
        <f t="shared" si="28"/>
        <v>112.558837890625</v>
      </c>
    </row>
    <row r="140" spans="1:5">
      <c r="A140" s="10">
        <v>74</v>
      </c>
      <c r="B140" s="10">
        <v>120.5</v>
      </c>
      <c r="C140">
        <f t="shared" si="27"/>
        <v>114.456</v>
      </c>
      <c r="D140" s="5">
        <f t="shared" si="29"/>
        <v>36.5299360000001</v>
      </c>
      <c r="E140" s="5">
        <f t="shared" si="28"/>
        <v>112.558837890625</v>
      </c>
    </row>
    <row r="141" spans="1:5">
      <c r="A141" s="10">
        <v>66</v>
      </c>
      <c r="B141" s="10">
        <v>108</v>
      </c>
      <c r="C141">
        <f t="shared" si="27"/>
        <v>109.304</v>
      </c>
      <c r="D141" s="5">
        <f t="shared" si="29"/>
        <v>1.70041600000001</v>
      </c>
      <c r="E141" s="5">
        <f t="shared" si="28"/>
        <v>3.574462890625</v>
      </c>
    </row>
    <row r="142" spans="1:5">
      <c r="A142" s="10">
        <v>68</v>
      </c>
      <c r="B142" s="10">
        <v>103.7</v>
      </c>
      <c r="C142">
        <f t="shared" si="27"/>
        <v>110.592</v>
      </c>
      <c r="D142" s="5">
        <f t="shared" si="29"/>
        <v>47.4996639999999</v>
      </c>
      <c r="E142" s="5">
        <f t="shared" si="28"/>
        <v>38.323837890625</v>
      </c>
    </row>
    <row r="143" spans="1:5">
      <c r="A143" s="10">
        <v>64</v>
      </c>
      <c r="B143" s="10">
        <v>109.2</v>
      </c>
      <c r="C143">
        <f t="shared" si="27"/>
        <v>108.016</v>
      </c>
      <c r="D143" s="5">
        <f t="shared" si="29"/>
        <v>1.40185600000003</v>
      </c>
      <c r="E143" s="5">
        <f t="shared" si="28"/>
        <v>0.476962890624996</v>
      </c>
    </row>
    <row r="144" spans="1:5">
      <c r="A144" s="10">
        <v>54</v>
      </c>
      <c r="B144" s="10">
        <v>102</v>
      </c>
      <c r="C144">
        <f t="shared" si="27"/>
        <v>101.576</v>
      </c>
      <c r="D144" s="5">
        <f t="shared" si="29"/>
        <v>0.179776000000006</v>
      </c>
      <c r="E144" s="5">
        <f t="shared" si="28"/>
        <v>62.261962890625</v>
      </c>
    </row>
    <row r="145" spans="1:5">
      <c r="A145" s="10">
        <v>80</v>
      </c>
      <c r="B145" s="10">
        <v>113.8</v>
      </c>
      <c r="C145">
        <f t="shared" si="27"/>
        <v>118.32</v>
      </c>
      <c r="D145" s="5">
        <f t="shared" si="29"/>
        <v>20.4304</v>
      </c>
      <c r="E145" s="5">
        <f t="shared" si="28"/>
        <v>15.283212890625</v>
      </c>
    </row>
    <row r="146" spans="1:5">
      <c r="A146" s="10">
        <v>77</v>
      </c>
      <c r="B146" s="10">
        <v>122.3</v>
      </c>
      <c r="C146">
        <f t="shared" si="27"/>
        <v>116.388</v>
      </c>
      <c r="D146" s="5">
        <f t="shared" si="29"/>
        <v>34.9517439999999</v>
      </c>
      <c r="E146" s="5">
        <f t="shared" si="28"/>
        <v>153.992587890625</v>
      </c>
    </row>
    <row r="147" spans="1:7">
      <c r="A147" s="9" t="s">
        <v>23</v>
      </c>
      <c r="B147" s="6">
        <f>AVERAGE(B51:B146)</f>
        <v>109.890625</v>
      </c>
      <c r="C147" s="6">
        <f>AVERAGE(C51:C146)</f>
        <v>109.90775</v>
      </c>
      <c r="D147" s="6">
        <f>SUM(D51:D146)</f>
        <v>1626.824848</v>
      </c>
      <c r="E147" s="6">
        <f>SUM(E51:E146)</f>
        <v>3378.2815625</v>
      </c>
      <c r="F147" s="6">
        <f>1-D147/E147</f>
        <v>0.518446044859531</v>
      </c>
      <c r="G147" s="6">
        <f>SQRT(D147/(146-50))</f>
        <v>4.11656314984559</v>
      </c>
    </row>
    <row r="148" spans="6:7">
      <c r="F148" s="2" t="s">
        <v>4</v>
      </c>
      <c r="G148" s="2" t="s">
        <v>5</v>
      </c>
    </row>
    <row r="150" spans="1:5">
      <c r="A150" s="9" t="s">
        <v>24</v>
      </c>
      <c r="B150" s="9" t="s">
        <v>25</v>
      </c>
      <c r="C150" s="9" t="s">
        <v>22</v>
      </c>
      <c r="D150" s="2" t="s">
        <v>2</v>
      </c>
      <c r="E150" s="2" t="s">
        <v>3</v>
      </c>
    </row>
    <row r="151" spans="1:5">
      <c r="A151" s="10">
        <v>2</v>
      </c>
      <c r="B151" s="10">
        <v>58</v>
      </c>
      <c r="C151">
        <f>60+5*A151</f>
        <v>70</v>
      </c>
      <c r="D151" s="5">
        <f>(B151-C151)^2</f>
        <v>144</v>
      </c>
      <c r="E151" s="5">
        <f t="shared" ref="E151:E160" si="30">(B151-Ybar_prod)^2</f>
        <v>3844</v>
      </c>
    </row>
    <row r="152" spans="1:5">
      <c r="A152" s="10">
        <v>6</v>
      </c>
      <c r="B152" s="10">
        <v>105</v>
      </c>
      <c r="C152">
        <f t="shared" ref="C152:C160" si="31">60+5*A152</f>
        <v>90</v>
      </c>
      <c r="D152" s="5">
        <f t="shared" ref="D152:D159" si="32">(B152-C152)^2</f>
        <v>225</v>
      </c>
      <c r="E152" s="5">
        <f t="shared" si="30"/>
        <v>225</v>
      </c>
    </row>
    <row r="153" spans="1:5">
      <c r="A153" s="10">
        <v>8</v>
      </c>
      <c r="B153" s="10">
        <v>88</v>
      </c>
      <c r="C153">
        <f t="shared" si="31"/>
        <v>100</v>
      </c>
      <c r="D153" s="5">
        <f t="shared" si="32"/>
        <v>144</v>
      </c>
      <c r="E153" s="5">
        <f t="shared" si="30"/>
        <v>1024</v>
      </c>
    </row>
    <row r="154" spans="1:5">
      <c r="A154" s="10">
        <v>8</v>
      </c>
      <c r="B154" s="10">
        <v>118</v>
      </c>
      <c r="C154">
        <f t="shared" si="31"/>
        <v>100</v>
      </c>
      <c r="D154" s="5">
        <f t="shared" si="32"/>
        <v>324</v>
      </c>
      <c r="E154" s="5">
        <f t="shared" si="30"/>
        <v>4</v>
      </c>
    </row>
    <row r="155" spans="1:5">
      <c r="A155" s="10">
        <v>12</v>
      </c>
      <c r="B155" s="10">
        <v>17</v>
      </c>
      <c r="C155">
        <f t="shared" si="31"/>
        <v>120</v>
      </c>
      <c r="D155" s="5">
        <f t="shared" si="32"/>
        <v>10609</v>
      </c>
      <c r="E155" s="5">
        <f t="shared" si="30"/>
        <v>10609</v>
      </c>
    </row>
    <row r="156" spans="1:5">
      <c r="A156" s="10">
        <v>16</v>
      </c>
      <c r="B156" s="10">
        <v>137</v>
      </c>
      <c r="C156">
        <f t="shared" si="31"/>
        <v>140</v>
      </c>
      <c r="D156" s="5">
        <f t="shared" si="32"/>
        <v>9</v>
      </c>
      <c r="E156" s="5">
        <f t="shared" si="30"/>
        <v>289</v>
      </c>
    </row>
    <row r="157" spans="1:5">
      <c r="A157" s="10">
        <v>20</v>
      </c>
      <c r="B157" s="10">
        <v>157</v>
      </c>
      <c r="C157">
        <f t="shared" si="31"/>
        <v>160</v>
      </c>
      <c r="D157" s="5">
        <f t="shared" si="32"/>
        <v>9</v>
      </c>
      <c r="E157" s="5">
        <f t="shared" si="30"/>
        <v>1369</v>
      </c>
    </row>
    <row r="158" spans="1:5">
      <c r="A158" s="10">
        <v>20</v>
      </c>
      <c r="B158" s="10">
        <v>169</v>
      </c>
      <c r="C158">
        <f t="shared" si="31"/>
        <v>160</v>
      </c>
      <c r="D158" s="5">
        <f t="shared" si="32"/>
        <v>81</v>
      </c>
      <c r="E158" s="5">
        <f t="shared" si="30"/>
        <v>2401</v>
      </c>
    </row>
    <row r="159" spans="1:5">
      <c r="A159" s="10">
        <v>22</v>
      </c>
      <c r="B159" s="10">
        <v>149</v>
      </c>
      <c r="C159">
        <f t="shared" si="31"/>
        <v>170</v>
      </c>
      <c r="D159" s="5">
        <f t="shared" si="32"/>
        <v>441</v>
      </c>
      <c r="E159" s="5">
        <f t="shared" si="30"/>
        <v>841</v>
      </c>
    </row>
    <row r="160" spans="1:5">
      <c r="A160" s="10">
        <v>26</v>
      </c>
      <c r="B160" s="10">
        <v>202</v>
      </c>
      <c r="C160">
        <f t="shared" si="31"/>
        <v>190</v>
      </c>
      <c r="D160" s="5">
        <f t="shared" ref="D160" si="33">(B160-C160)^2</f>
        <v>144</v>
      </c>
      <c r="E160" s="5">
        <f t="shared" si="30"/>
        <v>6724</v>
      </c>
    </row>
    <row r="161" spans="1:7">
      <c r="A161" s="9" t="s">
        <v>26</v>
      </c>
      <c r="B161" s="6">
        <f>AVERAGE(B151:B160)</f>
        <v>120</v>
      </c>
      <c r="C161" s="6">
        <f>AVERAGE(C151:C160)</f>
        <v>130</v>
      </c>
      <c r="D161" s="6">
        <f>SUM(D151:D160)</f>
        <v>12130</v>
      </c>
      <c r="E161" s="6">
        <f>SUM(E151:E160)</f>
        <v>27330</v>
      </c>
      <c r="F161" s="6">
        <f>1-D161/E161</f>
        <v>0.556165386022686</v>
      </c>
      <c r="G161" s="6">
        <f>SQRT(D161/(160-150))</f>
        <v>34.828149534536</v>
      </c>
    </row>
    <row r="162" spans="6:7">
      <c r="F162" s="2" t="s">
        <v>4</v>
      </c>
      <c r="G162" s="2" t="s">
        <v>5</v>
      </c>
    </row>
    <row r="170" spans="1:5">
      <c r="A170" s="9" t="s">
        <v>24</v>
      </c>
      <c r="B170" s="9" t="s">
        <v>25</v>
      </c>
      <c r="C170" s="9" t="s">
        <v>22</v>
      </c>
      <c r="D170" s="2" t="s">
        <v>2</v>
      </c>
      <c r="E170" s="2" t="s">
        <v>3</v>
      </c>
    </row>
    <row r="171" spans="1:5">
      <c r="A171" s="10">
        <v>794</v>
      </c>
      <c r="B171" s="10">
        <v>9.33</v>
      </c>
      <c r="C171">
        <f>-16.03+0.03*A171</f>
        <v>7.79</v>
      </c>
      <c r="D171" s="5">
        <f>(B171-C171)^2</f>
        <v>2.3716</v>
      </c>
      <c r="E171" s="5">
        <f t="shared" ref="E171:E185" si="34">(B171-Ybar_sales)^2</f>
        <v>1.28746844444444</v>
      </c>
    </row>
    <row r="172" spans="1:5">
      <c r="A172" s="10">
        <v>799</v>
      </c>
      <c r="B172" s="10">
        <v>8.26</v>
      </c>
      <c r="C172">
        <f t="shared" ref="C172:C185" si="35">-16.03+0.03*A172</f>
        <v>7.94</v>
      </c>
      <c r="D172" s="5">
        <f t="shared" ref="D172:D185" si="36">(B172-C172)^2</f>
        <v>0.102400000000001</v>
      </c>
      <c r="E172" s="5">
        <f t="shared" si="34"/>
        <v>4.8605551111111</v>
      </c>
    </row>
    <row r="173" spans="1:5">
      <c r="A173" s="10">
        <v>837</v>
      </c>
      <c r="B173" s="10">
        <v>7.48</v>
      </c>
      <c r="C173">
        <f t="shared" si="35"/>
        <v>9.08</v>
      </c>
      <c r="D173" s="5">
        <f t="shared" si="36"/>
        <v>2.55999999999999</v>
      </c>
      <c r="E173" s="5">
        <f t="shared" si="34"/>
        <v>8.90823511111109</v>
      </c>
    </row>
    <row r="174" spans="1:5">
      <c r="A174" s="10">
        <v>855</v>
      </c>
      <c r="B174" s="10">
        <v>9.08</v>
      </c>
      <c r="C174">
        <f t="shared" si="35"/>
        <v>9.62</v>
      </c>
      <c r="D174" s="5">
        <f t="shared" si="36"/>
        <v>0.291599999999997</v>
      </c>
      <c r="E174" s="5">
        <f t="shared" si="34"/>
        <v>1.91730177777777</v>
      </c>
    </row>
    <row r="175" spans="1:5">
      <c r="A175" s="10">
        <v>845</v>
      </c>
      <c r="B175" s="10">
        <v>9.83</v>
      </c>
      <c r="C175">
        <f t="shared" si="35"/>
        <v>9.32</v>
      </c>
      <c r="D175" s="5">
        <f t="shared" si="36"/>
        <v>0.260100000000003</v>
      </c>
      <c r="E175" s="5">
        <f t="shared" si="34"/>
        <v>0.402801777777775</v>
      </c>
    </row>
    <row r="176" spans="1:5">
      <c r="A176" s="10">
        <v>844</v>
      </c>
      <c r="B176" s="10">
        <v>10.09</v>
      </c>
      <c r="C176">
        <f t="shared" si="35"/>
        <v>9.29</v>
      </c>
      <c r="D176" s="5">
        <f t="shared" si="36"/>
        <v>0.640000000000001</v>
      </c>
      <c r="E176" s="5">
        <f t="shared" si="34"/>
        <v>0.140375111111109</v>
      </c>
    </row>
    <row r="177" spans="1:5">
      <c r="A177" s="10">
        <v>863</v>
      </c>
      <c r="B177" s="10">
        <v>11.01</v>
      </c>
      <c r="C177">
        <f t="shared" si="35"/>
        <v>9.86</v>
      </c>
      <c r="D177" s="5">
        <f t="shared" si="36"/>
        <v>1.3225</v>
      </c>
      <c r="E177" s="5">
        <f t="shared" si="34"/>
        <v>0.297388444444447</v>
      </c>
    </row>
    <row r="178" spans="1:5">
      <c r="A178" s="10">
        <v>875</v>
      </c>
      <c r="B178" s="10">
        <v>11.49</v>
      </c>
      <c r="C178">
        <f t="shared" si="35"/>
        <v>10.22</v>
      </c>
      <c r="D178" s="5">
        <f t="shared" si="36"/>
        <v>1.6129</v>
      </c>
      <c r="E178" s="5">
        <f t="shared" si="34"/>
        <v>1.05130844444445</v>
      </c>
    </row>
    <row r="179" spans="1:5">
      <c r="A179" s="10">
        <v>880</v>
      </c>
      <c r="B179" s="10">
        <v>12.07</v>
      </c>
      <c r="C179">
        <f t="shared" si="35"/>
        <v>10.37</v>
      </c>
      <c r="D179" s="5">
        <f t="shared" si="36"/>
        <v>2.89000000000001</v>
      </c>
      <c r="E179" s="5">
        <f t="shared" si="34"/>
        <v>2.57709511111112</v>
      </c>
    </row>
    <row r="180" spans="1:5">
      <c r="A180" s="10">
        <v>905</v>
      </c>
      <c r="B180" s="10">
        <v>12.55</v>
      </c>
      <c r="C180">
        <f t="shared" si="35"/>
        <v>11.12</v>
      </c>
      <c r="D180" s="5">
        <f t="shared" si="36"/>
        <v>2.04490000000001</v>
      </c>
      <c r="E180" s="5">
        <f t="shared" si="34"/>
        <v>4.34861511111112</v>
      </c>
    </row>
    <row r="181" spans="1:5">
      <c r="A181" s="10">
        <v>886</v>
      </c>
      <c r="B181" s="10">
        <v>11.92</v>
      </c>
      <c r="C181">
        <f t="shared" si="35"/>
        <v>10.55</v>
      </c>
      <c r="D181" s="5">
        <f t="shared" si="36"/>
        <v>1.87690000000001</v>
      </c>
      <c r="E181" s="5">
        <f t="shared" si="34"/>
        <v>2.11799511111112</v>
      </c>
    </row>
    <row r="182" spans="1:5">
      <c r="A182" s="10">
        <v>843</v>
      </c>
      <c r="B182" s="10">
        <v>10.27</v>
      </c>
      <c r="C182">
        <f t="shared" si="35"/>
        <v>9.26</v>
      </c>
      <c r="D182" s="5">
        <f t="shared" si="36"/>
        <v>1.0201</v>
      </c>
      <c r="E182" s="5">
        <f t="shared" si="34"/>
        <v>0.0378951111111104</v>
      </c>
    </row>
    <row r="183" spans="1:5">
      <c r="A183" s="10">
        <v>904</v>
      </c>
      <c r="B183" s="10">
        <v>11.8</v>
      </c>
      <c r="C183">
        <f t="shared" si="35"/>
        <v>11.09</v>
      </c>
      <c r="D183" s="5">
        <f t="shared" si="36"/>
        <v>0.504100000000006</v>
      </c>
      <c r="E183" s="5">
        <f t="shared" si="34"/>
        <v>1.78311511111112</v>
      </c>
    </row>
    <row r="184" spans="1:5">
      <c r="A184" s="10">
        <v>950</v>
      </c>
      <c r="B184" s="10">
        <v>12.15</v>
      </c>
      <c r="C184">
        <f t="shared" si="35"/>
        <v>12.47</v>
      </c>
      <c r="D184" s="5">
        <f t="shared" si="36"/>
        <v>0.102399999999999</v>
      </c>
      <c r="E184" s="5">
        <f t="shared" si="34"/>
        <v>2.84034844444445</v>
      </c>
    </row>
    <row r="185" spans="1:5">
      <c r="A185" s="10">
        <v>841</v>
      </c>
      <c r="B185" s="10">
        <v>9.64</v>
      </c>
      <c r="C185">
        <f t="shared" si="35"/>
        <v>9.2</v>
      </c>
      <c r="D185" s="5">
        <f t="shared" si="36"/>
        <v>0.193600000000001</v>
      </c>
      <c r="E185" s="5">
        <f t="shared" si="34"/>
        <v>0.680075111111106</v>
      </c>
    </row>
    <row r="186" spans="1:7">
      <c r="A186" s="9" t="s">
        <v>27</v>
      </c>
      <c r="B186" s="6">
        <f>AVERAGE(B171:B185)</f>
        <v>10.4646666666667</v>
      </c>
      <c r="C186" s="6">
        <f>AVERAGE(C171:C185)</f>
        <v>9.812</v>
      </c>
      <c r="D186" s="6">
        <f>SUM(D171:D185)</f>
        <v>17.7931</v>
      </c>
      <c r="E186" s="6">
        <f>SUM(E171:E185)</f>
        <v>33.2505733333333</v>
      </c>
      <c r="F186" s="6">
        <f>1-D186/E186</f>
        <v>0.464878400091747</v>
      </c>
      <c r="G186" s="6">
        <f>SQRT(D186/(185-170))</f>
        <v>1.08913115218814</v>
      </c>
    </row>
    <row r="187" spans="6:7">
      <c r="F187" s="2" t="s">
        <v>4</v>
      </c>
      <c r="G187" s="2" t="s">
        <v>5</v>
      </c>
    </row>
  </sheetData>
  <pageMargins left="0" right="0" top="0.39375" bottom="0.39375" header="0" footer="0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selection activeCell="G10" sqref="G10"/>
    </sheetView>
  </sheetViews>
  <sheetFormatPr defaultColWidth="9" defaultRowHeight="14.25"/>
  <cols>
    <col min="1" max="1025" width="9" customWidth="1"/>
  </cols>
  <sheetData>
    <row r="1" ht="15" spans="1:9">
      <c r="A1" s="15" t="s">
        <v>28</v>
      </c>
      <c r="I1" s="15" t="s">
        <v>29</v>
      </c>
    </row>
    <row r="3" spans="2:9">
      <c r="B3" t="s">
        <v>18</v>
      </c>
      <c r="I3" t="s">
        <v>18</v>
      </c>
    </row>
    <row r="4" spans="3:12">
      <c r="C4" t="s">
        <v>5</v>
      </c>
      <c r="E4" t="s">
        <v>30</v>
      </c>
      <c r="J4" t="s">
        <v>5</v>
      </c>
      <c r="L4" t="s">
        <v>30</v>
      </c>
    </row>
    <row r="5" spans="3:12">
      <c r="C5">
        <v>0.2023</v>
      </c>
      <c r="E5">
        <v>0.6826</v>
      </c>
      <c r="J5" s="16">
        <v>2925.931</v>
      </c>
      <c r="L5" s="16">
        <v>0.5612575</v>
      </c>
    </row>
    <row r="7" spans="2:9">
      <c r="B7" t="s">
        <v>31</v>
      </c>
      <c r="I7" t="s">
        <v>31</v>
      </c>
    </row>
    <row r="8" spans="3:12">
      <c r="C8" t="s">
        <v>5</v>
      </c>
      <c r="E8" t="s">
        <v>30</v>
      </c>
      <c r="J8" t="s">
        <v>5</v>
      </c>
      <c r="L8" t="s">
        <v>30</v>
      </c>
    </row>
    <row r="9" spans="3:12">
      <c r="C9">
        <v>0.2028</v>
      </c>
      <c r="E9">
        <v>0.6996</v>
      </c>
      <c r="J9" s="16">
        <v>2871.628</v>
      </c>
      <c r="L9" s="16">
        <v>0.5848923</v>
      </c>
    </row>
    <row r="11" spans="2:9">
      <c r="B11" t="s">
        <v>32</v>
      </c>
      <c r="I11" t="s">
        <v>32</v>
      </c>
    </row>
    <row r="12" spans="3:12">
      <c r="C12" t="s">
        <v>5</v>
      </c>
      <c r="E12" t="s">
        <v>30</v>
      </c>
      <c r="J12" t="s">
        <v>5</v>
      </c>
      <c r="L12" t="s">
        <v>30</v>
      </c>
    </row>
    <row r="13" spans="3:12">
      <c r="C13">
        <v>0.2017</v>
      </c>
      <c r="E13">
        <v>0.6991</v>
      </c>
      <c r="J13" s="16">
        <v>2832.397</v>
      </c>
      <c r="L13" s="16">
        <v>0.5837196</v>
      </c>
    </row>
    <row r="15" spans="2:9">
      <c r="B15" t="s">
        <v>33</v>
      </c>
      <c r="I15" t="s">
        <v>33</v>
      </c>
    </row>
    <row r="16" spans="3:12">
      <c r="C16" t="s">
        <v>5</v>
      </c>
      <c r="E16" t="s">
        <v>30</v>
      </c>
      <c r="J16" t="s">
        <v>5</v>
      </c>
      <c r="L16" t="s">
        <v>30</v>
      </c>
    </row>
    <row r="17" spans="3:12">
      <c r="C17">
        <v>0.1859</v>
      </c>
      <c r="E17">
        <v>0.6896</v>
      </c>
      <c r="J17" s="16">
        <v>2769.474</v>
      </c>
      <c r="L17" s="16">
        <v>0.5471172</v>
      </c>
    </row>
    <row r="19" spans="2:9">
      <c r="B19" t="s">
        <v>34</v>
      </c>
      <c r="I19" t="s">
        <v>34</v>
      </c>
    </row>
    <row r="20" spans="3:12">
      <c r="C20" t="s">
        <v>5</v>
      </c>
      <c r="E20" t="s">
        <v>30</v>
      </c>
      <c r="J20" t="s">
        <v>5</v>
      </c>
      <c r="L20" t="s">
        <v>30</v>
      </c>
    </row>
    <row r="21" spans="3:12">
      <c r="C21">
        <v>0.2208</v>
      </c>
      <c r="E21">
        <v>0.6922</v>
      </c>
      <c r="J21" s="16">
        <v>2954.2</v>
      </c>
      <c r="L21" s="16">
        <v>0.4892411</v>
      </c>
    </row>
    <row r="23" spans="2:9">
      <c r="B23" t="s">
        <v>35</v>
      </c>
      <c r="I23" t="s">
        <v>35</v>
      </c>
    </row>
    <row r="24" spans="3:12">
      <c r="C24" t="s">
        <v>5</v>
      </c>
      <c r="E24" t="s">
        <v>30</v>
      </c>
      <c r="J24" t="s">
        <v>5</v>
      </c>
      <c r="L24" t="s">
        <v>30</v>
      </c>
    </row>
    <row r="25" spans="3:12">
      <c r="C25">
        <v>0.2216</v>
      </c>
      <c r="E25">
        <v>0.6912</v>
      </c>
      <c r="J25" s="16">
        <v>2971.04</v>
      </c>
      <c r="L25" s="16">
        <v>0.4896663</v>
      </c>
    </row>
    <row r="27" spans="2:9">
      <c r="B27" t="s">
        <v>36</v>
      </c>
      <c r="I27" t="s">
        <v>36</v>
      </c>
    </row>
    <row r="28" spans="3:12">
      <c r="C28" t="s">
        <v>5</v>
      </c>
      <c r="E28" t="s">
        <v>30</v>
      </c>
      <c r="J28" t="s">
        <v>5</v>
      </c>
      <c r="L28" t="s">
        <v>30</v>
      </c>
    </row>
    <row r="29" spans="3:12">
      <c r="C29">
        <v>0.1987</v>
      </c>
      <c r="E29">
        <v>0.5975</v>
      </c>
      <c r="J29" s="16">
        <v>2924.327</v>
      </c>
      <c r="L29" s="16">
        <v>0.5371873</v>
      </c>
    </row>
    <row r="31" spans="2:9">
      <c r="B31" s="16" t="s">
        <v>37</v>
      </c>
      <c r="I31" s="16" t="s">
        <v>37</v>
      </c>
    </row>
    <row r="32" spans="3:12">
      <c r="C32" t="s">
        <v>5</v>
      </c>
      <c r="E32" t="s">
        <v>30</v>
      </c>
      <c r="J32" t="s">
        <v>5</v>
      </c>
      <c r="L32" t="s">
        <v>30</v>
      </c>
    </row>
    <row r="33" spans="3:5">
      <c r="C33" s="16">
        <v>0.21761</v>
      </c>
      <c r="E33" s="16">
        <v>0.6867</v>
      </c>
    </row>
    <row r="35" spans="2:9">
      <c r="B35" s="16" t="s">
        <v>38</v>
      </c>
      <c r="I35" s="16" t="s">
        <v>38</v>
      </c>
    </row>
    <row r="36" spans="3:12">
      <c r="C36" t="s">
        <v>5</v>
      </c>
      <c r="E36" t="s">
        <v>30</v>
      </c>
      <c r="J36" t="s">
        <v>5</v>
      </c>
      <c r="L36" t="s">
        <v>30</v>
      </c>
    </row>
    <row r="37" spans="3:12">
      <c r="C37" s="16">
        <v>0.1929</v>
      </c>
      <c r="E37" s="16">
        <v>0.7273</v>
      </c>
      <c r="J37" s="16">
        <v>2736.526</v>
      </c>
      <c r="L37" s="16">
        <v>0.5723</v>
      </c>
    </row>
    <row r="39" spans="2:9">
      <c r="B39" s="16" t="s">
        <v>39</v>
      </c>
      <c r="I39" s="16" t="s">
        <v>39</v>
      </c>
    </row>
    <row r="40" spans="3:12">
      <c r="C40" t="s">
        <v>5</v>
      </c>
      <c r="E40" t="s">
        <v>30</v>
      </c>
      <c r="J40" t="s">
        <v>5</v>
      </c>
      <c r="L40" t="s">
        <v>30</v>
      </c>
    </row>
    <row r="41" spans="3:12">
      <c r="C41" s="16">
        <v>0.1922</v>
      </c>
      <c r="E41" s="16">
        <v>0.6214</v>
      </c>
      <c r="J41" s="16">
        <v>3150.155</v>
      </c>
      <c r="L41" s="16">
        <v>0.4919</v>
      </c>
    </row>
    <row r="43" spans="2:9">
      <c r="B43" s="16" t="s">
        <v>37</v>
      </c>
      <c r="I43" s="16" t="s">
        <v>37</v>
      </c>
    </row>
    <row r="44" spans="3:12">
      <c r="C44" t="s">
        <v>5</v>
      </c>
      <c r="E44" t="s">
        <v>30</v>
      </c>
      <c r="J44" t="s">
        <v>5</v>
      </c>
      <c r="L44" t="s">
        <v>30</v>
      </c>
    </row>
    <row r="45" spans="3:12">
      <c r="C45" s="16">
        <v>0.2176</v>
      </c>
      <c r="E45" s="16">
        <v>0.6867</v>
      </c>
      <c r="J45" s="16">
        <v>3009.949</v>
      </c>
      <c r="L45" s="16">
        <v>0.5239201</v>
      </c>
    </row>
    <row r="47" spans="2:9">
      <c r="B47" s="16" t="s">
        <v>38</v>
      </c>
      <c r="I47" s="16" t="s">
        <v>38</v>
      </c>
    </row>
    <row r="48" spans="3:12">
      <c r="C48" t="s">
        <v>5</v>
      </c>
      <c r="E48" t="s">
        <v>30</v>
      </c>
      <c r="J48" t="s">
        <v>5</v>
      </c>
      <c r="L48" t="s">
        <v>30</v>
      </c>
    </row>
    <row r="49" spans="3:12">
      <c r="C49" s="16">
        <v>0.1931</v>
      </c>
      <c r="E49" s="16">
        <v>0.7204</v>
      </c>
      <c r="J49" s="16">
        <v>2742.722</v>
      </c>
      <c r="L49" s="16">
        <v>0.5665471</v>
      </c>
    </row>
    <row r="51" spans="2:9">
      <c r="B51" s="16" t="s">
        <v>40</v>
      </c>
      <c r="I51" s="16" t="s">
        <v>40</v>
      </c>
    </row>
    <row r="52" spans="3:12">
      <c r="C52" t="s">
        <v>5</v>
      </c>
      <c r="E52" t="s">
        <v>30</v>
      </c>
      <c r="J52" t="s">
        <v>5</v>
      </c>
      <c r="L52" t="s">
        <v>30</v>
      </c>
    </row>
    <row r="53" spans="3:12">
      <c r="C53" s="16">
        <v>0.1863</v>
      </c>
      <c r="E53" s="16">
        <v>0.6491</v>
      </c>
      <c r="J53" s="16">
        <v>3063.725</v>
      </c>
      <c r="L53" s="16">
        <v>0.5764093</v>
      </c>
    </row>
    <row r="55" spans="2:9">
      <c r="B55" s="16" t="s">
        <v>41</v>
      </c>
      <c r="I55" s="16" t="s">
        <v>41</v>
      </c>
    </row>
    <row r="56" spans="3:12">
      <c r="C56" t="s">
        <v>5</v>
      </c>
      <c r="E56" t="s">
        <v>30</v>
      </c>
      <c r="J56" t="s">
        <v>5</v>
      </c>
      <c r="L56" t="s">
        <v>30</v>
      </c>
    </row>
    <row r="57" spans="3:12">
      <c r="C57" s="16">
        <v>0.2073</v>
      </c>
      <c r="E57" s="16">
        <v>0.6432</v>
      </c>
      <c r="J57" s="16">
        <v>2497.462</v>
      </c>
      <c r="L57" s="16">
        <v>0.6631501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LogEffortAllLang</vt:lpstr>
      <vt:lpstr>testResults77orgDeshaDataLR</vt:lpstr>
      <vt:lpstr>testResults77orgDeshaDataNnet2C</vt:lpstr>
      <vt:lpstr>testResultsLang1onlyLRenet</vt:lpstr>
      <vt:lpstr>testResultsLangDummyVar</vt:lpstr>
      <vt:lpstr>testResultsLangDummyVarLRplsEne</vt:lpstr>
      <vt:lpstr>testResultsLogEffLang1onlyRfCub</vt:lpstr>
      <vt:lpstr>desharnaisLogEffort77kaggleLang</vt:lpstr>
      <vt:lpstr>Sheet1</vt:lpstr>
      <vt:lpstr>Sheet2</vt:lpstr>
      <vt:lpstr>desharnaisLogEffDummyKaggle (2)</vt:lpstr>
      <vt:lpstr>desharnaisLogLang1onlyKaggle </vt:lpstr>
      <vt:lpstr>desharnaisLogLang1only (1107)</vt:lpstr>
      <vt:lpstr>desharnaisLogEffort77all (1107)</vt:lpstr>
      <vt:lpstr>Sheet4</vt:lpstr>
      <vt:lpstr>Sheet3</vt:lpstr>
      <vt:lpstr>desharnaisLog123only (411)</vt:lpstr>
      <vt:lpstr>计算用表</vt:lpstr>
      <vt:lpstr>结果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</dc:creator>
  <cp:lastModifiedBy>Administrator</cp:lastModifiedBy>
  <cp:revision>14</cp:revision>
  <dcterms:created xsi:type="dcterms:W3CDTF">2020-10-08T01:48:00Z</dcterms:created>
  <cp:lastPrinted>2020-10-19T06:02:00Z</cp:lastPrinted>
  <dcterms:modified xsi:type="dcterms:W3CDTF">2021-04-16T08:51:25Z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5DB104B894F84C0FB36547258ABD82C2</vt:lpwstr>
  </property>
</Properties>
</file>